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30" windowWidth="18195" windowHeight="11820" tabRatio="822"/>
  </bookViews>
  <sheets>
    <sheet name="RAP-NATURAL GAS PRICES" sheetId="1" r:id="rId1"/>
    <sheet name="RAP TEMPLATE-GAS AVAILABILITY" sheetId="2" r:id="rId2"/>
    <sheet name="RAP-HEAVY &amp; LIGHT OIL &amp; WTI" sheetId="3" r:id="rId3"/>
    <sheet name="RAP-SOLID FUEL PRICES" sheetId="4" r:id="rId4"/>
    <sheet name="CONTROL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\a">[1]HISTORY!#REF!</definedName>
    <definedName name="__123Graph_A" localSheetId="1" hidden="1">'[2]FPL MOST LIKELY GAS BACKUP 1'!#REF!</definedName>
    <definedName name="__123Graph_A" hidden="1">'[2]FPL MOST LIKELY GAS BACKUP 1'!#REF!</definedName>
    <definedName name="__123Graph_B" localSheetId="1" hidden="1">'[2]FPL MOST LIKELY GAS BACKUP 1'!#REF!</definedName>
    <definedName name="__123Graph_B" hidden="1">'[2]FPL MOST LIKELY GAS BACKUP 1'!#REF!</definedName>
    <definedName name="__123Graph_X" localSheetId="1" hidden="1">'[2]FPL MOST LIKELY GAS BACKUP 1'!#REF!</definedName>
    <definedName name="__123Graph_X" hidden="1">'[2]FPL MOST LIKELY GAS BACKUP 1'!#REF!</definedName>
    <definedName name="_1" localSheetId="1">#REF!</definedName>
    <definedName name="_1">#REF!</definedName>
    <definedName name="_1A" localSheetId="1">#REF!</definedName>
    <definedName name="_1A">#REF!</definedName>
    <definedName name="_2" localSheetId="1">#REF!</definedName>
    <definedName name="_2">#REF!</definedName>
    <definedName name="_3" localSheetId="1">#REF!</definedName>
    <definedName name="_3">#REF!</definedName>
    <definedName name="_4" localSheetId="1">#REF!</definedName>
    <definedName name="_4">#REF!</definedName>
    <definedName name="_5" localSheetId="1">#REF!</definedName>
    <definedName name="_5">#REF!</definedName>
    <definedName name="_6" localSheetId="1">#REF!</definedName>
    <definedName name="_6">#REF!</definedName>
    <definedName name="_7" localSheetId="1">#REF!</definedName>
    <definedName name="_7">#REF!</definedName>
    <definedName name="_8" localSheetId="1">#REF!</definedName>
    <definedName name="_8">#REF!</definedName>
    <definedName name="_9394GAS" localSheetId="1">#REF!</definedName>
    <definedName name="_9394GAS">#REF!</definedName>
    <definedName name="_9394OIL" localSheetId="1">#REF!</definedName>
    <definedName name="_9394OIL">#REF!</definedName>
    <definedName name="_C1" localSheetId="1">#REF!</definedName>
    <definedName name="_C1">#REF!</definedName>
    <definedName name="_GIP1" localSheetId="1">#REF!</definedName>
    <definedName name="_GIP1">#REF!</definedName>
    <definedName name="_SYP1" localSheetId="1">#REF!</definedName>
    <definedName name="_SYP1">#REF!</definedName>
    <definedName name="C_" localSheetId="1">#REF!</definedName>
    <definedName name="C_">#REF!</definedName>
    <definedName name="CC1_" localSheetId="1">#REF!</definedName>
    <definedName name="CC1_">#REF!</definedName>
    <definedName name="COMPET" localSheetId="1">#REF!</definedName>
    <definedName name="COMPET">#REF!</definedName>
    <definedName name="CopyXC" localSheetId="1">#REF!</definedName>
    <definedName name="CopyXC">#REF!</definedName>
    <definedName name="DatabaseNameCopy" localSheetId="1">#REF!</definedName>
    <definedName name="DatabaseNameCopy">#REF!</definedName>
    <definedName name="DatabaseNameDG" localSheetId="1">#REF!</definedName>
    <definedName name="DatabaseNameDG">#REF!</definedName>
    <definedName name="DateColumn" localSheetId="1">[3]_Setup_!#REF!</definedName>
    <definedName name="DateColumn">[3]_Setup_!#REF!</definedName>
    <definedName name="DestColRowXC" localSheetId="1">#REF!</definedName>
    <definedName name="DestColRowXC">#REF!</definedName>
    <definedName name="DestDBname" localSheetId="1">#REF!</definedName>
    <definedName name="DestDBname">#REF!</definedName>
    <definedName name="DestHdrRowColXC" localSheetId="1">#REF!</definedName>
    <definedName name="DestHdrRowColXC">#REF!</definedName>
    <definedName name="DestLayoutXC" localSheetId="1">#REF!</definedName>
    <definedName name="DestLayoutXC">#REF!</definedName>
    <definedName name="DestRowColXC" localSheetId="1">#REF!</definedName>
    <definedName name="DestRowColXC">#REF!</definedName>
    <definedName name="DestStudyName" localSheetId="1">#REF!</definedName>
    <definedName name="DestStudyName">#REF!</definedName>
    <definedName name="DestStudyNameCopy" localSheetId="1">#REF!</definedName>
    <definedName name="DestStudyNameCopy">#REF!</definedName>
    <definedName name="DestUserName" localSheetId="1">#REF!</definedName>
    <definedName name="DestUserName">#REF!</definedName>
    <definedName name="DestWorksheetXC" localSheetId="1">#REF!</definedName>
    <definedName name="DestWorksheetXC">#REF!</definedName>
    <definedName name="EffectiveDate" localSheetId="1">[3]_Setup_!#REF!</definedName>
    <definedName name="EffectiveDate">[3]_Setup_!#REF!</definedName>
    <definedName name="FIRM" localSheetId="1">#REF!</definedName>
    <definedName name="FIRM">#REF!</definedName>
    <definedName name="FIRM1" localSheetId="1">#REF!</definedName>
    <definedName name="FIRM1">#REF!</definedName>
    <definedName name="GAS" localSheetId="1">#REF!</definedName>
    <definedName name="GAS">#REF!</definedName>
    <definedName name="GASAVAIL" localSheetId="1">#REF!</definedName>
    <definedName name="GASAVAIL">#REF!</definedName>
    <definedName name="GIP" localSheetId="1">#REF!</definedName>
    <definedName name="GIP">#REF!</definedName>
    <definedName name="HeaderXC" localSheetId="1">#REF!</definedName>
    <definedName name="HeaderXC">#REF!</definedName>
    <definedName name="I5_" localSheetId="1">#REF!</definedName>
    <definedName name="I5_">#REF!</definedName>
    <definedName name="I6_" localSheetId="1">#REF!</definedName>
    <definedName name="I6_">#REF!</definedName>
    <definedName name="I7_" localSheetId="1">#REF!</definedName>
    <definedName name="I7_">#REF!</definedName>
    <definedName name="ImportListDG" localSheetId="1">#REF!</definedName>
    <definedName name="ImportListDG">#REF!</definedName>
    <definedName name="INDEXDATA">'[4]Index-Data'!$A$2:$CG$68</definedName>
    <definedName name="INFLAT" localSheetId="1">#REF!</definedName>
    <definedName name="INFLAT">#REF!</definedName>
    <definedName name="LayoutXC" localSheetId="1">#REF!</definedName>
    <definedName name="LayoutXC">#REF!</definedName>
    <definedName name="Messages" localSheetId="1">[5]_UnregulatedCurves_!#REF!</definedName>
    <definedName name="Messages">[5]_UnregulatedCurves_!#REF!</definedName>
    <definedName name="MessagesDG" localSheetId="1">#REF!</definedName>
    <definedName name="MessagesDG">#REF!</definedName>
    <definedName name="MessagesDW" localSheetId="1">[5]_UnregulatedCurves_!#REF!</definedName>
    <definedName name="MessagesDW">[5]_UnregulatedCurves_!#REF!</definedName>
    <definedName name="MONTH" localSheetId="1">#REF!</definedName>
    <definedName name="MONTH">#REF!</definedName>
    <definedName name="MONTH1" localSheetId="1">#REF!</definedName>
    <definedName name="MONTH1">#REF!</definedName>
    <definedName name="MONTHID">'[4]Misc-Data'!$A$2:$F$85</definedName>
    <definedName name="MONTHS2" localSheetId="1">#REF!</definedName>
    <definedName name="MONTHS2">#REF!</definedName>
    <definedName name="MONTHS3" localSheetId="1">#REF!</definedName>
    <definedName name="MONTHS3">#REF!</definedName>
    <definedName name="MONTHS4" localSheetId="1">#REF!</definedName>
    <definedName name="MONTHS4">#REF!</definedName>
    <definedName name="MONTHS5" localSheetId="1">#REF!</definedName>
    <definedName name="MONTHS5">#REF!</definedName>
    <definedName name="MONTHS6" localSheetId="1">#REF!</definedName>
    <definedName name="MONTHS6">#REF!</definedName>
    <definedName name="MONTHS7" localSheetId="1">#REF!</definedName>
    <definedName name="MONTHS7">#REF!</definedName>
    <definedName name="OIPBBL" localSheetId="1">#REF!</definedName>
    <definedName name="OIPBBL">#REF!</definedName>
    <definedName name="OIPBBL1" localSheetId="1">#REF!</definedName>
    <definedName name="OIPBBL1">#REF!</definedName>
    <definedName name="PasswordCopy" localSheetId="1">#REF!</definedName>
    <definedName name="PasswordCopy">#REF!</definedName>
    <definedName name="PasswordDG" localSheetId="1">#REF!</definedName>
    <definedName name="PasswordDG">#REF!</definedName>
    <definedName name="PHASEII" localSheetId="1">#REF!</definedName>
    <definedName name="PHASEII">#REF!</definedName>
    <definedName name="PHASEII1" localSheetId="1">#REF!</definedName>
    <definedName name="PHASEII1">#REF!</definedName>
    <definedName name="PHASEIII" localSheetId="1">#REF!</definedName>
    <definedName name="PHASEIII">#REF!</definedName>
    <definedName name="PHASEIII1" localSheetId="1">#REF!</definedName>
    <definedName name="PHASEIII1">#REF!</definedName>
    <definedName name="pipedes">'[4]Misc-Data'!$D$2:$F$69</definedName>
    <definedName name="PRINT">#N/A</definedName>
    <definedName name="_xlnm.Print_Area" localSheetId="1">'RAP TEMPLATE-GAS AVAILABILITY'!$A$17:$J$1149</definedName>
    <definedName name="_xlnm.Print_Area" localSheetId="2">'RAP-HEAVY &amp; LIGHT OIL &amp; WTI'!$A$17:$H$1149</definedName>
    <definedName name="_xlnm.Print_Area" localSheetId="0">'RAP-NATURAL GAS PRICES'!$A$17:$S$1149</definedName>
    <definedName name="_xlnm.Print_Area" localSheetId="3">'RAP-SOLID FUEL PRICES'!$A$17:$K$1150</definedName>
    <definedName name="_xlnm.Print_Titles" localSheetId="1">'RAP TEMPLATE-GAS AVAILABILITY'!$1:$16</definedName>
    <definedName name="_xlnm.Print_Titles" localSheetId="2">'RAP-HEAVY &amp; LIGHT OIL &amp; WTI'!$1:$16</definedName>
    <definedName name="_xlnm.Print_Titles" localSheetId="0">'RAP-NATURAL GAS PRICES'!$1:$16</definedName>
    <definedName name="_xlnm.Print_Titles" localSheetId="3">'RAP-SOLID FUEL PRICES'!$1:$16</definedName>
    <definedName name="RESULTS" localSheetId="1">#REF!</definedName>
    <definedName name="RESULTS">#REF!</definedName>
    <definedName name="RESULTS1" localSheetId="1">#REF!</definedName>
    <definedName name="RESULTS1">#REF!</definedName>
    <definedName name="RESULTS2" localSheetId="1">#REF!</definedName>
    <definedName name="RESULTS2">#REF!</definedName>
    <definedName name="RESULTS3" localSheetId="1">#REF!</definedName>
    <definedName name="RESULTS3">#REF!</definedName>
    <definedName name="RESULTS4" localSheetId="1">#REF!</definedName>
    <definedName name="RESULTS4">#REF!</definedName>
    <definedName name="RESULTSA" localSheetId="1">#REF!</definedName>
    <definedName name="RESULTSA">#REF!</definedName>
    <definedName name="RowStart" localSheetId="1">[3]_Setup_!#REF!</definedName>
    <definedName name="RowStart">[3]_Setup_!#REF!</definedName>
    <definedName name="SelectListCopy" localSheetId="1">#REF!</definedName>
    <definedName name="SelectListCopy">#REF!</definedName>
    <definedName name="SFOR" localSheetId="1">#REF!</definedName>
    <definedName name="SFOR">#REF!</definedName>
    <definedName name="SFOR1" localSheetId="1">#REF!</definedName>
    <definedName name="SFOR1">#REF!</definedName>
    <definedName name="SourceDBname" localSheetId="1">#REF!</definedName>
    <definedName name="SourceDBname">#REF!</definedName>
    <definedName name="SourceStudyName" localSheetId="1">#REF!</definedName>
    <definedName name="SourceStudyName">#REF!</definedName>
    <definedName name="SourceStudyNameCopy" localSheetId="1">#REF!</definedName>
    <definedName name="SourceStudyNameCopy">#REF!</definedName>
    <definedName name="SourceUserName" localSheetId="1">#REF!</definedName>
    <definedName name="SourceUserName">#REF!</definedName>
    <definedName name="SrcColRowXC" localSheetId="1">#REF!</definedName>
    <definedName name="SrcColRowXC">#REF!</definedName>
    <definedName name="SrcFileXC" localSheetId="1">#REF!</definedName>
    <definedName name="SrcFileXC">#REF!</definedName>
    <definedName name="SrcStartRowColXC" localSheetId="1">#REF!</definedName>
    <definedName name="SrcStartRowColXC">#REF!</definedName>
    <definedName name="SrcWorksheetXC" localSheetId="1">#REF!</definedName>
    <definedName name="SrcWorksheetXC">#REF!</definedName>
    <definedName name="StatusCopy" localSheetId="1">#REF!</definedName>
    <definedName name="StatusCopy">#REF!</definedName>
    <definedName name="StatusDG" localSheetId="1">#REF!</definedName>
    <definedName name="StatusDG">#REF!</definedName>
    <definedName name="StatusXC" localSheetId="1">#REF!</definedName>
    <definedName name="StatusXC">#REF!</definedName>
    <definedName name="StudyNameDG" localSheetId="1">#REF!</definedName>
    <definedName name="StudyNameDG">#REF!</definedName>
    <definedName name="SYP" localSheetId="1">#REF!</definedName>
    <definedName name="SYP">#REF!</definedName>
    <definedName name="SYSGAS" localSheetId="1">#REF!</definedName>
    <definedName name="SYSGAS">#REF!</definedName>
    <definedName name="test" hidden="1">'[2]FPL MOST LIKELY GAS BACKUP 1'!#REF!</definedName>
    <definedName name="TITLES" localSheetId="1">#REF!</definedName>
    <definedName name="TITLES">#REF!</definedName>
    <definedName name="TOBBL" localSheetId="1">#REF!</definedName>
    <definedName name="TOBBL">#REF!</definedName>
    <definedName name="TotalRowColXC" localSheetId="1">#REF!</definedName>
    <definedName name="TotalRowColXC">#REF!</definedName>
    <definedName name="TransferListDG" localSheetId="1">#REF!</definedName>
    <definedName name="TransferListDG">#REF!</definedName>
    <definedName name="TTG" localSheetId="1">#REF!</definedName>
    <definedName name="TTG">#REF!</definedName>
    <definedName name="UserNameCopy" localSheetId="1">#REF!</definedName>
    <definedName name="UserNameCopy">#REF!</definedName>
    <definedName name="UserNameDG" localSheetId="1">#REF!</definedName>
    <definedName name="UserNameDG">#REF!</definedName>
    <definedName name="VOLUMES" localSheetId="1">#REF!</definedName>
    <definedName name="VOLUMES">#REF!</definedName>
    <definedName name="VOLUMES1" localSheetId="1">#REF!</definedName>
    <definedName name="VOLUMES1">#REF!</definedName>
    <definedName name="YEAR" localSheetId="1">#REF!</definedName>
    <definedName name="YEAR">#REF!</definedName>
    <definedName name="YEARS" localSheetId="1">#REF!</definedName>
    <definedName name="YEARS">#REF!</definedName>
  </definedNames>
  <calcPr calcId="145621" calcMode="manual"/>
</workbook>
</file>

<file path=xl/calcChain.xml><?xml version="1.0" encoding="utf-8"?>
<calcChain xmlns="http://schemas.openxmlformats.org/spreadsheetml/2006/main">
  <c r="C13" i="4" l="1"/>
  <c r="E13" i="4"/>
  <c r="B17" i="4"/>
  <c r="C17" i="4"/>
  <c r="D17" i="4"/>
  <c r="E17" i="4"/>
  <c r="F17" i="4"/>
  <c r="G17" i="4"/>
  <c r="H17" i="4"/>
  <c r="I17" i="4"/>
  <c r="J17" i="4"/>
  <c r="K17" i="4"/>
  <c r="B18" i="4"/>
  <c r="C18" i="4"/>
  <c r="D18" i="4"/>
  <c r="E18" i="4"/>
  <c r="F18" i="4"/>
  <c r="G18" i="4"/>
  <c r="H18" i="4"/>
  <c r="I18" i="4"/>
  <c r="J18" i="4"/>
  <c r="K18" i="4"/>
  <c r="B19" i="4"/>
  <c r="C19" i="4"/>
  <c r="D19" i="4"/>
  <c r="E19" i="4"/>
  <c r="F19" i="4"/>
  <c r="G19" i="4"/>
  <c r="H19" i="4"/>
  <c r="I19" i="4"/>
  <c r="J19" i="4"/>
  <c r="K19" i="4"/>
  <c r="B20" i="4"/>
  <c r="C20" i="4"/>
  <c r="D20" i="4"/>
  <c r="E20" i="4"/>
  <c r="F20" i="4"/>
  <c r="G20" i="4"/>
  <c r="H20" i="4"/>
  <c r="I20" i="4"/>
  <c r="J20" i="4"/>
  <c r="K20" i="4"/>
  <c r="B21" i="4"/>
  <c r="C21" i="4"/>
  <c r="D21" i="4"/>
  <c r="E21" i="4"/>
  <c r="F21" i="4"/>
  <c r="G21" i="4"/>
  <c r="H21" i="4"/>
  <c r="I21" i="4"/>
  <c r="J21" i="4"/>
  <c r="K21" i="4"/>
  <c r="B22" i="4"/>
  <c r="C22" i="4"/>
  <c r="D22" i="4"/>
  <c r="E22" i="4"/>
  <c r="F22" i="4"/>
  <c r="G22" i="4"/>
  <c r="H22" i="4"/>
  <c r="I22" i="4"/>
  <c r="J22" i="4"/>
  <c r="K22" i="4"/>
  <c r="B23" i="4"/>
  <c r="C23" i="4"/>
  <c r="D23" i="4"/>
  <c r="E23" i="4"/>
  <c r="F23" i="4"/>
  <c r="G23" i="4"/>
  <c r="H23" i="4"/>
  <c r="I23" i="4"/>
  <c r="J23" i="4"/>
  <c r="K23" i="4"/>
  <c r="B24" i="4"/>
  <c r="C24" i="4"/>
  <c r="D24" i="4"/>
  <c r="E24" i="4"/>
  <c r="F24" i="4"/>
  <c r="G24" i="4"/>
  <c r="H24" i="4"/>
  <c r="I24" i="4"/>
  <c r="J24" i="4"/>
  <c r="K24" i="4"/>
  <c r="B25" i="4"/>
  <c r="C25" i="4"/>
  <c r="D25" i="4"/>
  <c r="E25" i="4"/>
  <c r="F25" i="4"/>
  <c r="G25" i="4"/>
  <c r="H25" i="4"/>
  <c r="I25" i="4"/>
  <c r="J25" i="4"/>
  <c r="K25" i="4"/>
  <c r="B26" i="4"/>
  <c r="C26" i="4"/>
  <c r="D26" i="4"/>
  <c r="E26" i="4"/>
  <c r="F26" i="4"/>
  <c r="G26" i="4"/>
  <c r="H26" i="4"/>
  <c r="I26" i="4"/>
  <c r="J26" i="4"/>
  <c r="K26" i="4"/>
  <c r="B27" i="4"/>
  <c r="C27" i="4"/>
  <c r="D27" i="4"/>
  <c r="E27" i="4"/>
  <c r="F27" i="4"/>
  <c r="G27" i="4"/>
  <c r="H27" i="4"/>
  <c r="I27" i="4"/>
  <c r="J27" i="4"/>
  <c r="K27" i="4"/>
  <c r="B28" i="4"/>
  <c r="C28" i="4"/>
  <c r="D28" i="4"/>
  <c r="E28" i="4"/>
  <c r="F28" i="4"/>
  <c r="G28" i="4"/>
  <c r="H28" i="4"/>
  <c r="I28" i="4"/>
  <c r="J28" i="4"/>
  <c r="K28" i="4"/>
  <c r="B29" i="4"/>
  <c r="C29" i="4"/>
  <c r="D29" i="4"/>
  <c r="E29" i="4"/>
  <c r="F29" i="4"/>
  <c r="G29" i="4"/>
  <c r="H29" i="4"/>
  <c r="I29" i="4"/>
  <c r="J29" i="4"/>
  <c r="K29" i="4"/>
  <c r="B30" i="4"/>
  <c r="C30" i="4"/>
  <c r="D30" i="4"/>
  <c r="E30" i="4"/>
  <c r="F30" i="4"/>
  <c r="G30" i="4"/>
  <c r="H30" i="4"/>
  <c r="I30" i="4"/>
  <c r="J30" i="4"/>
  <c r="K30" i="4"/>
  <c r="B31" i="4"/>
  <c r="C31" i="4"/>
  <c r="D31" i="4"/>
  <c r="E31" i="4"/>
  <c r="F31" i="4"/>
  <c r="G31" i="4"/>
  <c r="H31" i="4"/>
  <c r="I31" i="4"/>
  <c r="J31" i="4"/>
  <c r="K31" i="4"/>
  <c r="B32" i="4"/>
  <c r="C32" i="4"/>
  <c r="D32" i="4"/>
  <c r="E32" i="4"/>
  <c r="F32" i="4"/>
  <c r="G32" i="4"/>
  <c r="H32" i="4"/>
  <c r="I32" i="4"/>
  <c r="J32" i="4"/>
  <c r="K32" i="4"/>
  <c r="B33" i="4"/>
  <c r="C33" i="4"/>
  <c r="D33" i="4"/>
  <c r="E33" i="4"/>
  <c r="F33" i="4"/>
  <c r="G33" i="4"/>
  <c r="H33" i="4"/>
  <c r="I33" i="4"/>
  <c r="J33" i="4"/>
  <c r="K33" i="4"/>
  <c r="B34" i="4"/>
  <c r="C34" i="4"/>
  <c r="D34" i="4"/>
  <c r="E34" i="4"/>
  <c r="F34" i="4"/>
  <c r="G34" i="4"/>
  <c r="H34" i="4"/>
  <c r="I34" i="4"/>
  <c r="J34" i="4"/>
  <c r="K34" i="4"/>
  <c r="B35" i="4"/>
  <c r="C35" i="4"/>
  <c r="D35" i="4"/>
  <c r="E35" i="4"/>
  <c r="F35" i="4"/>
  <c r="G35" i="4"/>
  <c r="H35" i="4"/>
  <c r="I35" i="4"/>
  <c r="J35" i="4"/>
  <c r="K35" i="4"/>
  <c r="B36" i="4"/>
  <c r="C36" i="4"/>
  <c r="D36" i="4"/>
  <c r="E36" i="4"/>
  <c r="F36" i="4"/>
  <c r="G36" i="4"/>
  <c r="H36" i="4"/>
  <c r="I36" i="4"/>
  <c r="J36" i="4"/>
  <c r="K36" i="4"/>
  <c r="B37" i="4"/>
  <c r="C37" i="4"/>
  <c r="D37" i="4"/>
  <c r="E37" i="4"/>
  <c r="F37" i="4"/>
  <c r="G37" i="4"/>
  <c r="H37" i="4"/>
  <c r="I37" i="4"/>
  <c r="J37" i="4"/>
  <c r="K37" i="4"/>
  <c r="B38" i="4"/>
  <c r="C38" i="4"/>
  <c r="D38" i="4"/>
  <c r="E38" i="4"/>
  <c r="F38" i="4"/>
  <c r="G38" i="4"/>
  <c r="H38" i="4"/>
  <c r="I38" i="4"/>
  <c r="J38" i="4"/>
  <c r="K38" i="4"/>
  <c r="B39" i="4"/>
  <c r="C39" i="4"/>
  <c r="D39" i="4"/>
  <c r="E39" i="4"/>
  <c r="F39" i="4"/>
  <c r="G39" i="4"/>
  <c r="H39" i="4"/>
  <c r="I39" i="4"/>
  <c r="J39" i="4"/>
  <c r="K39" i="4"/>
  <c r="B40" i="4"/>
  <c r="C40" i="4"/>
  <c r="D40" i="4"/>
  <c r="E40" i="4"/>
  <c r="F40" i="4"/>
  <c r="G40" i="4"/>
  <c r="H40" i="4"/>
  <c r="I40" i="4"/>
  <c r="J40" i="4"/>
  <c r="K40" i="4"/>
  <c r="B41" i="4"/>
  <c r="C41" i="4"/>
  <c r="D41" i="4"/>
  <c r="E41" i="4"/>
  <c r="F41" i="4"/>
  <c r="G41" i="4"/>
  <c r="H41" i="4"/>
  <c r="I41" i="4"/>
  <c r="J41" i="4"/>
  <c r="K41" i="4"/>
  <c r="B42" i="4"/>
  <c r="C42" i="4"/>
  <c r="D42" i="4"/>
  <c r="E42" i="4"/>
  <c r="F42" i="4"/>
  <c r="G42" i="4"/>
  <c r="H42" i="4"/>
  <c r="I42" i="4"/>
  <c r="J42" i="4"/>
  <c r="K42" i="4"/>
  <c r="B43" i="4"/>
  <c r="C43" i="4"/>
  <c r="D43" i="4"/>
  <c r="E43" i="4"/>
  <c r="F43" i="4"/>
  <c r="G43" i="4"/>
  <c r="H43" i="4"/>
  <c r="I43" i="4"/>
  <c r="J43" i="4"/>
  <c r="K43" i="4"/>
  <c r="B44" i="4"/>
  <c r="C44" i="4"/>
  <c r="D44" i="4"/>
  <c r="E44" i="4"/>
  <c r="F44" i="4"/>
  <c r="G44" i="4"/>
  <c r="H44" i="4"/>
  <c r="I44" i="4"/>
  <c r="J44" i="4"/>
  <c r="K44" i="4"/>
  <c r="B45" i="4"/>
  <c r="C45" i="4"/>
  <c r="D45" i="4"/>
  <c r="E45" i="4"/>
  <c r="F45" i="4"/>
  <c r="G45" i="4"/>
  <c r="H45" i="4"/>
  <c r="I45" i="4"/>
  <c r="J45" i="4"/>
  <c r="K45" i="4"/>
  <c r="B46" i="4"/>
  <c r="C46" i="4"/>
  <c r="D46" i="4"/>
  <c r="E46" i="4"/>
  <c r="F46" i="4"/>
  <c r="G46" i="4"/>
  <c r="H46" i="4"/>
  <c r="I46" i="4"/>
  <c r="J46" i="4"/>
  <c r="K46" i="4"/>
  <c r="B47" i="4"/>
  <c r="C47" i="4"/>
  <c r="D47" i="4"/>
  <c r="E47" i="4"/>
  <c r="F47" i="4"/>
  <c r="G47" i="4"/>
  <c r="H47" i="4"/>
  <c r="I47" i="4"/>
  <c r="J47" i="4"/>
  <c r="K47" i="4"/>
  <c r="B48" i="4"/>
  <c r="C48" i="4"/>
  <c r="D48" i="4"/>
  <c r="E48" i="4"/>
  <c r="F48" i="4"/>
  <c r="G48" i="4"/>
  <c r="H48" i="4"/>
  <c r="I48" i="4"/>
  <c r="J48" i="4"/>
  <c r="K48" i="4"/>
  <c r="B49" i="4"/>
  <c r="C49" i="4"/>
  <c r="D49" i="4"/>
  <c r="E49" i="4"/>
  <c r="F49" i="4"/>
  <c r="G49" i="4"/>
  <c r="H49" i="4"/>
  <c r="I49" i="4"/>
  <c r="J49" i="4"/>
  <c r="K49" i="4"/>
  <c r="B50" i="4"/>
  <c r="C50" i="4"/>
  <c r="D50" i="4"/>
  <c r="E50" i="4"/>
  <c r="F50" i="4"/>
  <c r="G50" i="4"/>
  <c r="H50" i="4"/>
  <c r="I50" i="4"/>
  <c r="J50" i="4"/>
  <c r="K50" i="4"/>
  <c r="B51" i="4"/>
  <c r="C51" i="4"/>
  <c r="D51" i="4"/>
  <c r="E51" i="4"/>
  <c r="F51" i="4"/>
  <c r="G51" i="4"/>
  <c r="H51" i="4"/>
  <c r="I51" i="4"/>
  <c r="J51" i="4"/>
  <c r="K51" i="4"/>
  <c r="B52" i="4"/>
  <c r="C52" i="4"/>
  <c r="D52" i="4"/>
  <c r="E52" i="4"/>
  <c r="F52" i="4"/>
  <c r="G52" i="4"/>
  <c r="H52" i="4"/>
  <c r="I52" i="4"/>
  <c r="J52" i="4"/>
  <c r="K52" i="4"/>
  <c r="B53" i="4"/>
  <c r="C53" i="4"/>
  <c r="D53" i="4"/>
  <c r="E53" i="4"/>
  <c r="F53" i="4"/>
  <c r="G53" i="4"/>
  <c r="H53" i="4"/>
  <c r="I53" i="4"/>
  <c r="J53" i="4"/>
  <c r="K53" i="4"/>
  <c r="B54" i="4"/>
  <c r="C54" i="4"/>
  <c r="D54" i="4"/>
  <c r="E54" i="4"/>
  <c r="F54" i="4"/>
  <c r="G54" i="4"/>
  <c r="H54" i="4"/>
  <c r="I54" i="4"/>
  <c r="J54" i="4"/>
  <c r="K54" i="4"/>
  <c r="B55" i="4"/>
  <c r="C55" i="4"/>
  <c r="D55" i="4"/>
  <c r="E55" i="4"/>
  <c r="F55" i="4"/>
  <c r="G55" i="4"/>
  <c r="H55" i="4"/>
  <c r="I55" i="4"/>
  <c r="J55" i="4"/>
  <c r="K55" i="4"/>
  <c r="B56" i="4"/>
  <c r="C56" i="4"/>
  <c r="D56" i="4"/>
  <c r="E56" i="4"/>
  <c r="F56" i="4"/>
  <c r="G56" i="4"/>
  <c r="H56" i="4"/>
  <c r="I56" i="4"/>
  <c r="J56" i="4"/>
  <c r="K56" i="4"/>
  <c r="B57" i="4"/>
  <c r="C57" i="4"/>
  <c r="D57" i="4"/>
  <c r="E57" i="4"/>
  <c r="F57" i="4"/>
  <c r="G57" i="4"/>
  <c r="H57" i="4"/>
  <c r="I57" i="4"/>
  <c r="J57" i="4"/>
  <c r="K57" i="4"/>
  <c r="B58" i="4"/>
  <c r="C58" i="4"/>
  <c r="D58" i="4"/>
  <c r="E58" i="4"/>
  <c r="F58" i="4"/>
  <c r="G58" i="4"/>
  <c r="H58" i="4"/>
  <c r="I58" i="4"/>
  <c r="J58" i="4"/>
  <c r="K58" i="4"/>
  <c r="B59" i="4"/>
  <c r="C59" i="4"/>
  <c r="D59" i="4"/>
  <c r="E59" i="4"/>
  <c r="F59" i="4"/>
  <c r="G59" i="4"/>
  <c r="H59" i="4"/>
  <c r="I59" i="4"/>
  <c r="J59" i="4"/>
  <c r="K59" i="4"/>
  <c r="B60" i="4"/>
  <c r="C60" i="4"/>
  <c r="D60" i="4"/>
  <c r="E60" i="4"/>
  <c r="F60" i="4"/>
  <c r="G60" i="4"/>
  <c r="H60" i="4"/>
  <c r="I60" i="4"/>
  <c r="J60" i="4"/>
  <c r="K60" i="4"/>
  <c r="B61" i="4"/>
  <c r="C61" i="4"/>
  <c r="D61" i="4"/>
  <c r="E61" i="4"/>
  <c r="F61" i="4"/>
  <c r="G61" i="4"/>
  <c r="H61" i="4"/>
  <c r="I61" i="4"/>
  <c r="J61" i="4"/>
  <c r="K61" i="4"/>
  <c r="B62" i="4"/>
  <c r="C62" i="4"/>
  <c r="D62" i="4"/>
  <c r="E62" i="4"/>
  <c r="F62" i="4"/>
  <c r="G62" i="4"/>
  <c r="H62" i="4"/>
  <c r="I62" i="4"/>
  <c r="J62" i="4"/>
  <c r="K62" i="4"/>
  <c r="B63" i="4"/>
  <c r="C63" i="4"/>
  <c r="D63" i="4"/>
  <c r="E63" i="4"/>
  <c r="F63" i="4"/>
  <c r="G63" i="4"/>
  <c r="H63" i="4"/>
  <c r="I63" i="4"/>
  <c r="J63" i="4"/>
  <c r="K63" i="4"/>
  <c r="B64" i="4"/>
  <c r="C64" i="4"/>
  <c r="D64" i="4"/>
  <c r="E64" i="4"/>
  <c r="F64" i="4"/>
  <c r="G64" i="4"/>
  <c r="H64" i="4"/>
  <c r="I64" i="4"/>
  <c r="J64" i="4"/>
  <c r="K64" i="4"/>
  <c r="B65" i="4"/>
  <c r="C65" i="4"/>
  <c r="D65" i="4"/>
  <c r="E65" i="4"/>
  <c r="F65" i="4"/>
  <c r="G65" i="4"/>
  <c r="H65" i="4"/>
  <c r="I65" i="4"/>
  <c r="J65" i="4"/>
  <c r="K65" i="4"/>
  <c r="B66" i="4"/>
  <c r="C66" i="4"/>
  <c r="D66" i="4"/>
  <c r="E66" i="4"/>
  <c r="F66" i="4"/>
  <c r="G66" i="4"/>
  <c r="H66" i="4"/>
  <c r="I66" i="4"/>
  <c r="J66" i="4"/>
  <c r="K66" i="4"/>
  <c r="B67" i="4"/>
  <c r="C67" i="4"/>
  <c r="D67" i="4"/>
  <c r="E67" i="4"/>
  <c r="F67" i="4"/>
  <c r="G67" i="4"/>
  <c r="H67" i="4"/>
  <c r="I67" i="4"/>
  <c r="J67" i="4"/>
  <c r="K67" i="4"/>
  <c r="B68" i="4"/>
  <c r="C68" i="4"/>
  <c r="D68" i="4"/>
  <c r="E68" i="4"/>
  <c r="F68" i="4"/>
  <c r="G68" i="4"/>
  <c r="H68" i="4"/>
  <c r="I68" i="4"/>
  <c r="J68" i="4"/>
  <c r="K68" i="4"/>
  <c r="B69" i="4"/>
  <c r="C69" i="4"/>
  <c r="D69" i="4"/>
  <c r="E69" i="4"/>
  <c r="F69" i="4"/>
  <c r="G69" i="4"/>
  <c r="H69" i="4"/>
  <c r="I69" i="4"/>
  <c r="J69" i="4"/>
  <c r="K69" i="4"/>
  <c r="B70" i="4"/>
  <c r="C70" i="4"/>
  <c r="D70" i="4"/>
  <c r="E70" i="4"/>
  <c r="F70" i="4"/>
  <c r="G70" i="4"/>
  <c r="H70" i="4"/>
  <c r="I70" i="4"/>
  <c r="J70" i="4"/>
  <c r="K70" i="4"/>
  <c r="B71" i="4"/>
  <c r="C71" i="4"/>
  <c r="D71" i="4"/>
  <c r="E71" i="4"/>
  <c r="F71" i="4"/>
  <c r="G71" i="4"/>
  <c r="H71" i="4"/>
  <c r="I71" i="4"/>
  <c r="J71" i="4"/>
  <c r="K71" i="4"/>
  <c r="B72" i="4"/>
  <c r="C72" i="4"/>
  <c r="D72" i="4"/>
  <c r="E72" i="4"/>
  <c r="F72" i="4"/>
  <c r="G72" i="4"/>
  <c r="H72" i="4"/>
  <c r="I72" i="4"/>
  <c r="J72" i="4"/>
  <c r="K72" i="4"/>
  <c r="B73" i="4"/>
  <c r="C73" i="4"/>
  <c r="D73" i="4"/>
  <c r="E73" i="4"/>
  <c r="F73" i="4"/>
  <c r="G73" i="4"/>
  <c r="H73" i="4"/>
  <c r="I73" i="4"/>
  <c r="J73" i="4"/>
  <c r="K73" i="4"/>
  <c r="B74" i="4"/>
  <c r="C74" i="4"/>
  <c r="D74" i="4"/>
  <c r="E74" i="4"/>
  <c r="F74" i="4"/>
  <c r="G74" i="4"/>
  <c r="H74" i="4"/>
  <c r="I74" i="4"/>
  <c r="J74" i="4"/>
  <c r="K74" i="4"/>
  <c r="B75" i="4"/>
  <c r="C75" i="4"/>
  <c r="D75" i="4"/>
  <c r="E75" i="4"/>
  <c r="F75" i="4"/>
  <c r="G75" i="4"/>
  <c r="H75" i="4"/>
  <c r="I75" i="4"/>
  <c r="J75" i="4"/>
  <c r="K75" i="4"/>
  <c r="B76" i="4"/>
  <c r="C76" i="4"/>
  <c r="D76" i="4"/>
  <c r="E76" i="4"/>
  <c r="F76" i="4"/>
  <c r="G76" i="4"/>
  <c r="H76" i="4"/>
  <c r="I76" i="4"/>
  <c r="J76" i="4"/>
  <c r="K76" i="4"/>
  <c r="B77" i="4"/>
  <c r="C77" i="4"/>
  <c r="D77" i="4"/>
  <c r="E77" i="4"/>
  <c r="F77" i="4"/>
  <c r="G77" i="4"/>
  <c r="H77" i="4"/>
  <c r="I77" i="4"/>
  <c r="J77" i="4"/>
  <c r="K77" i="4"/>
  <c r="B78" i="4"/>
  <c r="C78" i="4"/>
  <c r="D78" i="4"/>
  <c r="E78" i="4"/>
  <c r="F78" i="4"/>
  <c r="G78" i="4"/>
  <c r="H78" i="4"/>
  <c r="I78" i="4"/>
  <c r="J78" i="4"/>
  <c r="K78" i="4"/>
  <c r="B79" i="4"/>
  <c r="C79" i="4"/>
  <c r="D79" i="4"/>
  <c r="E79" i="4"/>
  <c r="F79" i="4"/>
  <c r="G79" i="4"/>
  <c r="H79" i="4"/>
  <c r="I79" i="4"/>
  <c r="J79" i="4"/>
  <c r="K79" i="4"/>
  <c r="B80" i="4"/>
  <c r="C80" i="4"/>
  <c r="D80" i="4"/>
  <c r="E80" i="4"/>
  <c r="F80" i="4"/>
  <c r="G80" i="4"/>
  <c r="H80" i="4"/>
  <c r="I80" i="4"/>
  <c r="J80" i="4"/>
  <c r="K80" i="4"/>
  <c r="B81" i="4"/>
  <c r="C81" i="4"/>
  <c r="D81" i="4"/>
  <c r="E81" i="4"/>
  <c r="F81" i="4"/>
  <c r="G81" i="4"/>
  <c r="H81" i="4"/>
  <c r="I81" i="4"/>
  <c r="J81" i="4"/>
  <c r="K81" i="4"/>
  <c r="B82" i="4"/>
  <c r="C82" i="4"/>
  <c r="D82" i="4"/>
  <c r="E82" i="4"/>
  <c r="F82" i="4"/>
  <c r="G82" i="4"/>
  <c r="H82" i="4"/>
  <c r="I82" i="4"/>
  <c r="J82" i="4"/>
  <c r="K82" i="4"/>
  <c r="B83" i="4"/>
  <c r="C83" i="4"/>
  <c r="D83" i="4"/>
  <c r="E83" i="4"/>
  <c r="F83" i="4"/>
  <c r="G83" i="4"/>
  <c r="H83" i="4"/>
  <c r="I83" i="4"/>
  <c r="J83" i="4"/>
  <c r="K83" i="4"/>
  <c r="B84" i="4"/>
  <c r="C84" i="4"/>
  <c r="D84" i="4"/>
  <c r="E84" i="4"/>
  <c r="F84" i="4"/>
  <c r="G84" i="4"/>
  <c r="H84" i="4"/>
  <c r="I84" i="4"/>
  <c r="J84" i="4"/>
  <c r="K84" i="4"/>
  <c r="B85" i="4"/>
  <c r="C85" i="4"/>
  <c r="D85" i="4"/>
  <c r="E85" i="4"/>
  <c r="F85" i="4"/>
  <c r="G85" i="4"/>
  <c r="H85" i="4"/>
  <c r="I85" i="4"/>
  <c r="J85" i="4"/>
  <c r="K85" i="4"/>
  <c r="B86" i="4"/>
  <c r="C86" i="4"/>
  <c r="D86" i="4"/>
  <c r="E86" i="4"/>
  <c r="F86" i="4"/>
  <c r="G86" i="4"/>
  <c r="H86" i="4"/>
  <c r="I86" i="4"/>
  <c r="J86" i="4"/>
  <c r="K86" i="4"/>
  <c r="B87" i="4"/>
  <c r="C87" i="4"/>
  <c r="D87" i="4"/>
  <c r="E87" i="4"/>
  <c r="F87" i="4"/>
  <c r="G87" i="4"/>
  <c r="H87" i="4"/>
  <c r="I87" i="4"/>
  <c r="J87" i="4"/>
  <c r="K87" i="4"/>
  <c r="B88" i="4"/>
  <c r="C88" i="4"/>
  <c r="D88" i="4"/>
  <c r="E88" i="4"/>
  <c r="F88" i="4"/>
  <c r="G88" i="4"/>
  <c r="H88" i="4"/>
  <c r="I88" i="4"/>
  <c r="J88" i="4"/>
  <c r="K88" i="4"/>
  <c r="B89" i="4"/>
  <c r="C89" i="4"/>
  <c r="D89" i="4"/>
  <c r="E89" i="4"/>
  <c r="F89" i="4"/>
  <c r="G89" i="4"/>
  <c r="H89" i="4"/>
  <c r="I89" i="4"/>
  <c r="J89" i="4"/>
  <c r="K89" i="4"/>
  <c r="B90" i="4"/>
  <c r="C90" i="4"/>
  <c r="D90" i="4"/>
  <c r="E90" i="4"/>
  <c r="F90" i="4"/>
  <c r="G90" i="4"/>
  <c r="H90" i="4"/>
  <c r="I90" i="4"/>
  <c r="J90" i="4"/>
  <c r="K90" i="4"/>
  <c r="B91" i="4"/>
  <c r="C91" i="4"/>
  <c r="D91" i="4"/>
  <c r="E91" i="4"/>
  <c r="F91" i="4"/>
  <c r="G91" i="4"/>
  <c r="H91" i="4"/>
  <c r="I91" i="4"/>
  <c r="J91" i="4"/>
  <c r="K91" i="4"/>
  <c r="B92" i="4"/>
  <c r="C92" i="4"/>
  <c r="D92" i="4"/>
  <c r="E92" i="4"/>
  <c r="F92" i="4"/>
  <c r="G92" i="4"/>
  <c r="H92" i="4"/>
  <c r="I92" i="4"/>
  <c r="J92" i="4"/>
  <c r="K92" i="4"/>
  <c r="B93" i="4"/>
  <c r="C93" i="4"/>
  <c r="D93" i="4"/>
  <c r="E93" i="4"/>
  <c r="F93" i="4"/>
  <c r="G93" i="4"/>
  <c r="H93" i="4"/>
  <c r="I93" i="4"/>
  <c r="J93" i="4"/>
  <c r="K93" i="4"/>
  <c r="B94" i="4"/>
  <c r="C94" i="4"/>
  <c r="D94" i="4"/>
  <c r="E94" i="4"/>
  <c r="F94" i="4"/>
  <c r="G94" i="4"/>
  <c r="H94" i="4"/>
  <c r="I94" i="4"/>
  <c r="J94" i="4"/>
  <c r="K94" i="4"/>
  <c r="B95" i="4"/>
  <c r="C95" i="4"/>
  <c r="D95" i="4"/>
  <c r="E95" i="4"/>
  <c r="F95" i="4"/>
  <c r="G95" i="4"/>
  <c r="H95" i="4"/>
  <c r="I95" i="4"/>
  <c r="J95" i="4"/>
  <c r="K95" i="4"/>
  <c r="B96" i="4"/>
  <c r="C96" i="4"/>
  <c r="D96" i="4"/>
  <c r="E96" i="4"/>
  <c r="F96" i="4"/>
  <c r="G96" i="4"/>
  <c r="H96" i="4"/>
  <c r="I96" i="4"/>
  <c r="J96" i="4"/>
  <c r="K96" i="4"/>
  <c r="B97" i="4"/>
  <c r="C97" i="4"/>
  <c r="D97" i="4"/>
  <c r="E97" i="4"/>
  <c r="F97" i="4"/>
  <c r="G97" i="4"/>
  <c r="H97" i="4"/>
  <c r="I97" i="4"/>
  <c r="J97" i="4"/>
  <c r="K97" i="4"/>
  <c r="B98" i="4"/>
  <c r="C98" i="4"/>
  <c r="D98" i="4"/>
  <c r="E98" i="4"/>
  <c r="F98" i="4"/>
  <c r="G98" i="4"/>
  <c r="H98" i="4"/>
  <c r="I98" i="4"/>
  <c r="J98" i="4"/>
  <c r="K98" i="4"/>
  <c r="B99" i="4"/>
  <c r="C99" i="4"/>
  <c r="D99" i="4"/>
  <c r="E99" i="4"/>
  <c r="F99" i="4"/>
  <c r="G99" i="4"/>
  <c r="H99" i="4"/>
  <c r="I99" i="4"/>
  <c r="J99" i="4"/>
  <c r="K99" i="4"/>
  <c r="B100" i="4"/>
  <c r="C100" i="4"/>
  <c r="D100" i="4"/>
  <c r="E100" i="4"/>
  <c r="F100" i="4"/>
  <c r="G100" i="4"/>
  <c r="H100" i="4"/>
  <c r="I100" i="4"/>
  <c r="J100" i="4"/>
  <c r="K100" i="4"/>
  <c r="B101" i="4"/>
  <c r="C101" i="4"/>
  <c r="D101" i="4"/>
  <c r="E101" i="4"/>
  <c r="F101" i="4"/>
  <c r="G101" i="4"/>
  <c r="H101" i="4"/>
  <c r="I101" i="4"/>
  <c r="J101" i="4"/>
  <c r="K101" i="4"/>
  <c r="B102" i="4"/>
  <c r="C102" i="4"/>
  <c r="D102" i="4"/>
  <c r="E102" i="4"/>
  <c r="F102" i="4"/>
  <c r="G102" i="4"/>
  <c r="H102" i="4"/>
  <c r="I102" i="4"/>
  <c r="J102" i="4"/>
  <c r="K102" i="4"/>
  <c r="B103" i="4"/>
  <c r="C103" i="4"/>
  <c r="D103" i="4"/>
  <c r="E103" i="4"/>
  <c r="F103" i="4"/>
  <c r="G103" i="4"/>
  <c r="H103" i="4"/>
  <c r="I103" i="4"/>
  <c r="J103" i="4"/>
  <c r="K103" i="4"/>
  <c r="B104" i="4"/>
  <c r="C104" i="4"/>
  <c r="D104" i="4"/>
  <c r="E104" i="4"/>
  <c r="F104" i="4"/>
  <c r="G104" i="4"/>
  <c r="H104" i="4"/>
  <c r="I104" i="4"/>
  <c r="J104" i="4"/>
  <c r="K104" i="4"/>
  <c r="B105" i="4"/>
  <c r="C105" i="4"/>
  <c r="D105" i="4"/>
  <c r="E105" i="4"/>
  <c r="F105" i="4"/>
  <c r="G105" i="4"/>
  <c r="H105" i="4"/>
  <c r="I105" i="4"/>
  <c r="J105" i="4"/>
  <c r="K105" i="4"/>
  <c r="B106" i="4"/>
  <c r="C106" i="4"/>
  <c r="D106" i="4"/>
  <c r="E106" i="4"/>
  <c r="F106" i="4"/>
  <c r="G106" i="4"/>
  <c r="H106" i="4"/>
  <c r="I106" i="4"/>
  <c r="J106" i="4"/>
  <c r="K106" i="4"/>
  <c r="B107" i="4"/>
  <c r="C107" i="4"/>
  <c r="D107" i="4"/>
  <c r="E107" i="4"/>
  <c r="F107" i="4"/>
  <c r="G107" i="4"/>
  <c r="H107" i="4"/>
  <c r="I107" i="4"/>
  <c r="J107" i="4"/>
  <c r="K107" i="4"/>
  <c r="B108" i="4"/>
  <c r="C108" i="4"/>
  <c r="D108" i="4"/>
  <c r="E108" i="4"/>
  <c r="F108" i="4"/>
  <c r="G108" i="4"/>
  <c r="H108" i="4"/>
  <c r="I108" i="4"/>
  <c r="J108" i="4"/>
  <c r="K108" i="4"/>
  <c r="B109" i="4"/>
  <c r="C109" i="4"/>
  <c r="D109" i="4"/>
  <c r="E109" i="4"/>
  <c r="F109" i="4"/>
  <c r="G109" i="4"/>
  <c r="H109" i="4"/>
  <c r="I109" i="4"/>
  <c r="J109" i="4"/>
  <c r="K109" i="4"/>
  <c r="B110" i="4"/>
  <c r="C110" i="4"/>
  <c r="D110" i="4"/>
  <c r="E110" i="4"/>
  <c r="F110" i="4"/>
  <c r="G110" i="4"/>
  <c r="H110" i="4"/>
  <c r="I110" i="4"/>
  <c r="J110" i="4"/>
  <c r="K110" i="4"/>
  <c r="B111" i="4"/>
  <c r="C111" i="4"/>
  <c r="D111" i="4"/>
  <c r="E111" i="4"/>
  <c r="F111" i="4"/>
  <c r="G111" i="4"/>
  <c r="H111" i="4"/>
  <c r="I111" i="4"/>
  <c r="J111" i="4"/>
  <c r="K111" i="4"/>
  <c r="B112" i="4"/>
  <c r="C112" i="4"/>
  <c r="D112" i="4"/>
  <c r="E112" i="4"/>
  <c r="F112" i="4"/>
  <c r="G112" i="4"/>
  <c r="H112" i="4"/>
  <c r="I112" i="4"/>
  <c r="J112" i="4"/>
  <c r="K112" i="4"/>
  <c r="B113" i="4"/>
  <c r="C113" i="4"/>
  <c r="D113" i="4"/>
  <c r="E113" i="4"/>
  <c r="F113" i="4"/>
  <c r="G113" i="4"/>
  <c r="H113" i="4"/>
  <c r="I113" i="4"/>
  <c r="J113" i="4"/>
  <c r="K113" i="4"/>
  <c r="B114" i="4"/>
  <c r="C114" i="4"/>
  <c r="D114" i="4"/>
  <c r="E114" i="4"/>
  <c r="F114" i="4"/>
  <c r="G114" i="4"/>
  <c r="H114" i="4"/>
  <c r="I114" i="4"/>
  <c r="J114" i="4"/>
  <c r="K114" i="4"/>
  <c r="B115" i="4"/>
  <c r="C115" i="4"/>
  <c r="D115" i="4"/>
  <c r="E115" i="4"/>
  <c r="F115" i="4"/>
  <c r="G115" i="4"/>
  <c r="H115" i="4"/>
  <c r="I115" i="4"/>
  <c r="J115" i="4"/>
  <c r="K115" i="4"/>
  <c r="B116" i="4"/>
  <c r="C116" i="4"/>
  <c r="D116" i="4"/>
  <c r="E116" i="4"/>
  <c r="F116" i="4"/>
  <c r="G116" i="4"/>
  <c r="H116" i="4"/>
  <c r="I116" i="4"/>
  <c r="J116" i="4"/>
  <c r="K116" i="4"/>
  <c r="B117" i="4"/>
  <c r="C117" i="4"/>
  <c r="D117" i="4"/>
  <c r="E117" i="4"/>
  <c r="F117" i="4"/>
  <c r="G117" i="4"/>
  <c r="H117" i="4"/>
  <c r="I117" i="4"/>
  <c r="J117" i="4"/>
  <c r="K117" i="4"/>
  <c r="B118" i="4"/>
  <c r="C118" i="4"/>
  <c r="D118" i="4"/>
  <c r="E118" i="4"/>
  <c r="F118" i="4"/>
  <c r="G118" i="4"/>
  <c r="H118" i="4"/>
  <c r="I118" i="4"/>
  <c r="J118" i="4"/>
  <c r="K118" i="4"/>
  <c r="B119" i="4"/>
  <c r="C119" i="4"/>
  <c r="D119" i="4"/>
  <c r="E119" i="4"/>
  <c r="F119" i="4"/>
  <c r="G119" i="4"/>
  <c r="H119" i="4"/>
  <c r="I119" i="4"/>
  <c r="J119" i="4"/>
  <c r="K119" i="4"/>
  <c r="B120" i="4"/>
  <c r="C120" i="4"/>
  <c r="D120" i="4"/>
  <c r="E120" i="4"/>
  <c r="F120" i="4"/>
  <c r="G120" i="4"/>
  <c r="H120" i="4"/>
  <c r="I120" i="4"/>
  <c r="J120" i="4"/>
  <c r="K120" i="4"/>
  <c r="B121" i="4"/>
  <c r="C121" i="4"/>
  <c r="D121" i="4"/>
  <c r="E121" i="4"/>
  <c r="F121" i="4"/>
  <c r="G121" i="4"/>
  <c r="H121" i="4"/>
  <c r="I121" i="4"/>
  <c r="J121" i="4"/>
  <c r="K121" i="4"/>
  <c r="B122" i="4"/>
  <c r="C122" i="4"/>
  <c r="D122" i="4"/>
  <c r="E122" i="4"/>
  <c r="F122" i="4"/>
  <c r="G122" i="4"/>
  <c r="H122" i="4"/>
  <c r="I122" i="4"/>
  <c r="J122" i="4"/>
  <c r="K122" i="4"/>
  <c r="B123" i="4"/>
  <c r="C123" i="4"/>
  <c r="D123" i="4"/>
  <c r="E123" i="4"/>
  <c r="F123" i="4"/>
  <c r="G123" i="4"/>
  <c r="H123" i="4"/>
  <c r="I123" i="4"/>
  <c r="J123" i="4"/>
  <c r="K123" i="4"/>
  <c r="B124" i="4"/>
  <c r="C124" i="4"/>
  <c r="D124" i="4"/>
  <c r="E124" i="4"/>
  <c r="F124" i="4"/>
  <c r="G124" i="4"/>
  <c r="H124" i="4"/>
  <c r="I124" i="4"/>
  <c r="J124" i="4"/>
  <c r="K124" i="4"/>
  <c r="B125" i="4"/>
  <c r="C125" i="4"/>
  <c r="D125" i="4"/>
  <c r="E125" i="4"/>
  <c r="F125" i="4"/>
  <c r="G125" i="4"/>
  <c r="H125" i="4"/>
  <c r="I125" i="4"/>
  <c r="J125" i="4"/>
  <c r="K125" i="4"/>
  <c r="B126" i="4"/>
  <c r="C126" i="4"/>
  <c r="D126" i="4"/>
  <c r="E126" i="4"/>
  <c r="F126" i="4"/>
  <c r="G126" i="4"/>
  <c r="H126" i="4"/>
  <c r="I126" i="4"/>
  <c r="J126" i="4"/>
  <c r="K126" i="4"/>
  <c r="B127" i="4"/>
  <c r="C127" i="4"/>
  <c r="D127" i="4"/>
  <c r="E127" i="4"/>
  <c r="F127" i="4"/>
  <c r="G127" i="4"/>
  <c r="H127" i="4"/>
  <c r="I127" i="4"/>
  <c r="J127" i="4"/>
  <c r="K127" i="4"/>
  <c r="B128" i="4"/>
  <c r="C128" i="4"/>
  <c r="D128" i="4"/>
  <c r="E128" i="4"/>
  <c r="F128" i="4"/>
  <c r="G128" i="4"/>
  <c r="H128" i="4"/>
  <c r="I128" i="4"/>
  <c r="J128" i="4"/>
  <c r="K128" i="4"/>
  <c r="B129" i="4"/>
  <c r="C129" i="4"/>
  <c r="D129" i="4"/>
  <c r="E129" i="4"/>
  <c r="F129" i="4"/>
  <c r="G129" i="4"/>
  <c r="H129" i="4"/>
  <c r="I129" i="4"/>
  <c r="J129" i="4"/>
  <c r="K129" i="4"/>
  <c r="B130" i="4"/>
  <c r="C130" i="4"/>
  <c r="D130" i="4"/>
  <c r="E130" i="4"/>
  <c r="F130" i="4"/>
  <c r="G130" i="4"/>
  <c r="H130" i="4"/>
  <c r="I130" i="4"/>
  <c r="J130" i="4"/>
  <c r="K130" i="4"/>
  <c r="B131" i="4"/>
  <c r="C131" i="4"/>
  <c r="D131" i="4"/>
  <c r="E131" i="4"/>
  <c r="F131" i="4"/>
  <c r="G131" i="4"/>
  <c r="H131" i="4"/>
  <c r="I131" i="4"/>
  <c r="J131" i="4"/>
  <c r="K131" i="4"/>
  <c r="B132" i="4"/>
  <c r="C132" i="4"/>
  <c r="D132" i="4"/>
  <c r="E132" i="4"/>
  <c r="F132" i="4"/>
  <c r="G132" i="4"/>
  <c r="H132" i="4"/>
  <c r="I132" i="4"/>
  <c r="J132" i="4"/>
  <c r="K132" i="4"/>
  <c r="B133" i="4"/>
  <c r="C133" i="4"/>
  <c r="D133" i="4"/>
  <c r="E133" i="4"/>
  <c r="F133" i="4"/>
  <c r="G133" i="4"/>
  <c r="H133" i="4"/>
  <c r="I133" i="4"/>
  <c r="J133" i="4"/>
  <c r="K133" i="4"/>
  <c r="B134" i="4"/>
  <c r="C134" i="4"/>
  <c r="D134" i="4"/>
  <c r="E134" i="4"/>
  <c r="F134" i="4"/>
  <c r="G134" i="4"/>
  <c r="H134" i="4"/>
  <c r="I134" i="4"/>
  <c r="J134" i="4"/>
  <c r="K134" i="4"/>
  <c r="B135" i="4"/>
  <c r="C135" i="4"/>
  <c r="D135" i="4"/>
  <c r="E135" i="4"/>
  <c r="F135" i="4"/>
  <c r="G135" i="4"/>
  <c r="H135" i="4"/>
  <c r="I135" i="4"/>
  <c r="J135" i="4"/>
  <c r="K135" i="4"/>
  <c r="B136" i="4"/>
  <c r="C136" i="4"/>
  <c r="D136" i="4"/>
  <c r="E136" i="4"/>
  <c r="F136" i="4"/>
  <c r="G136" i="4"/>
  <c r="H136" i="4"/>
  <c r="I136" i="4"/>
  <c r="J136" i="4"/>
  <c r="K136" i="4"/>
  <c r="B137" i="4"/>
  <c r="C137" i="4"/>
  <c r="D137" i="4"/>
  <c r="E137" i="4"/>
  <c r="F137" i="4"/>
  <c r="G137" i="4"/>
  <c r="H137" i="4"/>
  <c r="I137" i="4"/>
  <c r="J137" i="4"/>
  <c r="K137" i="4"/>
  <c r="B138" i="4"/>
  <c r="C138" i="4"/>
  <c r="D138" i="4"/>
  <c r="E138" i="4"/>
  <c r="F138" i="4"/>
  <c r="G138" i="4"/>
  <c r="H138" i="4"/>
  <c r="I138" i="4"/>
  <c r="J138" i="4"/>
  <c r="K138" i="4"/>
  <c r="B139" i="4"/>
  <c r="C139" i="4"/>
  <c r="D139" i="4"/>
  <c r="E139" i="4"/>
  <c r="F139" i="4"/>
  <c r="G139" i="4"/>
  <c r="H139" i="4"/>
  <c r="I139" i="4"/>
  <c r="J139" i="4"/>
  <c r="K139" i="4"/>
  <c r="B140" i="4"/>
  <c r="C140" i="4"/>
  <c r="D140" i="4"/>
  <c r="E140" i="4"/>
  <c r="F140" i="4"/>
  <c r="G140" i="4"/>
  <c r="H140" i="4"/>
  <c r="I140" i="4"/>
  <c r="J140" i="4"/>
  <c r="K140" i="4"/>
  <c r="B141" i="4"/>
  <c r="C141" i="4"/>
  <c r="D141" i="4"/>
  <c r="E141" i="4"/>
  <c r="F141" i="4"/>
  <c r="G141" i="4"/>
  <c r="H141" i="4"/>
  <c r="I141" i="4"/>
  <c r="J141" i="4"/>
  <c r="K141" i="4"/>
  <c r="B142" i="4"/>
  <c r="C142" i="4"/>
  <c r="D142" i="4"/>
  <c r="E142" i="4"/>
  <c r="F142" i="4"/>
  <c r="G142" i="4"/>
  <c r="H142" i="4"/>
  <c r="I142" i="4"/>
  <c r="J142" i="4"/>
  <c r="K142" i="4"/>
  <c r="B143" i="4"/>
  <c r="C143" i="4"/>
  <c r="D143" i="4"/>
  <c r="E143" i="4"/>
  <c r="F143" i="4"/>
  <c r="G143" i="4"/>
  <c r="H143" i="4"/>
  <c r="I143" i="4"/>
  <c r="J143" i="4"/>
  <c r="K143" i="4"/>
  <c r="B144" i="4"/>
  <c r="C144" i="4"/>
  <c r="D144" i="4"/>
  <c r="E144" i="4"/>
  <c r="F144" i="4"/>
  <c r="G144" i="4"/>
  <c r="H144" i="4"/>
  <c r="I144" i="4"/>
  <c r="J144" i="4"/>
  <c r="K144" i="4"/>
  <c r="B145" i="4"/>
  <c r="C145" i="4"/>
  <c r="D145" i="4"/>
  <c r="E145" i="4"/>
  <c r="F145" i="4"/>
  <c r="G145" i="4"/>
  <c r="H145" i="4"/>
  <c r="I145" i="4"/>
  <c r="J145" i="4"/>
  <c r="K145" i="4"/>
  <c r="B146" i="4"/>
  <c r="C146" i="4"/>
  <c r="D146" i="4"/>
  <c r="E146" i="4"/>
  <c r="F146" i="4"/>
  <c r="G146" i="4"/>
  <c r="H146" i="4"/>
  <c r="I146" i="4"/>
  <c r="J146" i="4"/>
  <c r="K146" i="4"/>
  <c r="B147" i="4"/>
  <c r="C147" i="4"/>
  <c r="D147" i="4"/>
  <c r="E147" i="4"/>
  <c r="F147" i="4"/>
  <c r="G147" i="4"/>
  <c r="H147" i="4"/>
  <c r="I147" i="4"/>
  <c r="J147" i="4"/>
  <c r="K147" i="4"/>
  <c r="B148" i="4"/>
  <c r="C148" i="4"/>
  <c r="D148" i="4"/>
  <c r="E148" i="4"/>
  <c r="F148" i="4"/>
  <c r="G148" i="4"/>
  <c r="H148" i="4"/>
  <c r="I148" i="4"/>
  <c r="J148" i="4"/>
  <c r="K148" i="4"/>
  <c r="B149" i="4"/>
  <c r="C149" i="4"/>
  <c r="D149" i="4"/>
  <c r="E149" i="4"/>
  <c r="F149" i="4"/>
  <c r="G149" i="4"/>
  <c r="H149" i="4"/>
  <c r="I149" i="4"/>
  <c r="J149" i="4"/>
  <c r="K149" i="4"/>
  <c r="B150" i="4"/>
  <c r="C150" i="4"/>
  <c r="D150" i="4"/>
  <c r="E150" i="4"/>
  <c r="F150" i="4"/>
  <c r="G150" i="4"/>
  <c r="H150" i="4"/>
  <c r="I150" i="4"/>
  <c r="J150" i="4"/>
  <c r="K150" i="4"/>
  <c r="B151" i="4"/>
  <c r="C151" i="4"/>
  <c r="D151" i="4"/>
  <c r="E151" i="4"/>
  <c r="F151" i="4"/>
  <c r="G151" i="4"/>
  <c r="H151" i="4"/>
  <c r="I151" i="4"/>
  <c r="J151" i="4"/>
  <c r="K151" i="4"/>
  <c r="B152" i="4"/>
  <c r="C152" i="4"/>
  <c r="D152" i="4"/>
  <c r="E152" i="4"/>
  <c r="F152" i="4"/>
  <c r="G152" i="4"/>
  <c r="H152" i="4"/>
  <c r="I152" i="4"/>
  <c r="J152" i="4"/>
  <c r="K152" i="4"/>
  <c r="B153" i="4"/>
  <c r="C153" i="4"/>
  <c r="D153" i="4"/>
  <c r="E153" i="4"/>
  <c r="F153" i="4"/>
  <c r="G153" i="4"/>
  <c r="H153" i="4"/>
  <c r="I153" i="4"/>
  <c r="J153" i="4"/>
  <c r="K153" i="4"/>
  <c r="B154" i="4"/>
  <c r="C154" i="4"/>
  <c r="D154" i="4"/>
  <c r="E154" i="4"/>
  <c r="F154" i="4"/>
  <c r="G154" i="4"/>
  <c r="H154" i="4"/>
  <c r="I154" i="4"/>
  <c r="J154" i="4"/>
  <c r="K154" i="4"/>
  <c r="B155" i="4"/>
  <c r="C155" i="4"/>
  <c r="D155" i="4"/>
  <c r="E155" i="4"/>
  <c r="F155" i="4"/>
  <c r="G155" i="4"/>
  <c r="H155" i="4"/>
  <c r="I155" i="4"/>
  <c r="J155" i="4"/>
  <c r="K155" i="4"/>
  <c r="B156" i="4"/>
  <c r="C156" i="4"/>
  <c r="D156" i="4"/>
  <c r="E156" i="4"/>
  <c r="F156" i="4"/>
  <c r="G156" i="4"/>
  <c r="H156" i="4"/>
  <c r="I156" i="4"/>
  <c r="J156" i="4"/>
  <c r="K156" i="4"/>
  <c r="B157" i="4"/>
  <c r="C157" i="4"/>
  <c r="D157" i="4"/>
  <c r="E157" i="4"/>
  <c r="F157" i="4"/>
  <c r="G157" i="4"/>
  <c r="H157" i="4"/>
  <c r="I157" i="4"/>
  <c r="J157" i="4"/>
  <c r="K157" i="4"/>
  <c r="B158" i="4"/>
  <c r="C158" i="4"/>
  <c r="D158" i="4"/>
  <c r="E158" i="4"/>
  <c r="F158" i="4"/>
  <c r="G158" i="4"/>
  <c r="H158" i="4"/>
  <c r="I158" i="4"/>
  <c r="J158" i="4"/>
  <c r="K158" i="4"/>
  <c r="B159" i="4"/>
  <c r="C159" i="4"/>
  <c r="D159" i="4"/>
  <c r="E159" i="4"/>
  <c r="F159" i="4"/>
  <c r="G159" i="4"/>
  <c r="H159" i="4"/>
  <c r="I159" i="4"/>
  <c r="J159" i="4"/>
  <c r="K159" i="4"/>
  <c r="B160" i="4"/>
  <c r="C160" i="4"/>
  <c r="D160" i="4"/>
  <c r="E160" i="4"/>
  <c r="F160" i="4"/>
  <c r="G160" i="4"/>
  <c r="H160" i="4"/>
  <c r="I160" i="4"/>
  <c r="J160" i="4"/>
  <c r="K160" i="4"/>
  <c r="B161" i="4"/>
  <c r="C161" i="4"/>
  <c r="D161" i="4"/>
  <c r="E161" i="4"/>
  <c r="F161" i="4"/>
  <c r="G161" i="4"/>
  <c r="H161" i="4"/>
  <c r="I161" i="4"/>
  <c r="J161" i="4"/>
  <c r="K161" i="4"/>
  <c r="B162" i="4"/>
  <c r="C162" i="4"/>
  <c r="D162" i="4"/>
  <c r="E162" i="4"/>
  <c r="F162" i="4"/>
  <c r="G162" i="4"/>
  <c r="H162" i="4"/>
  <c r="I162" i="4"/>
  <c r="J162" i="4"/>
  <c r="K162" i="4"/>
  <c r="B163" i="4"/>
  <c r="C163" i="4"/>
  <c r="D163" i="4"/>
  <c r="E163" i="4"/>
  <c r="F163" i="4"/>
  <c r="G163" i="4"/>
  <c r="H163" i="4"/>
  <c r="I163" i="4"/>
  <c r="J163" i="4"/>
  <c r="K163" i="4"/>
  <c r="B164" i="4"/>
  <c r="C164" i="4"/>
  <c r="D164" i="4"/>
  <c r="E164" i="4"/>
  <c r="F164" i="4"/>
  <c r="G164" i="4"/>
  <c r="H164" i="4"/>
  <c r="I164" i="4"/>
  <c r="J164" i="4"/>
  <c r="K164" i="4"/>
  <c r="B165" i="4"/>
  <c r="C165" i="4"/>
  <c r="D165" i="4"/>
  <c r="E165" i="4"/>
  <c r="F165" i="4"/>
  <c r="G165" i="4"/>
  <c r="H165" i="4"/>
  <c r="I165" i="4"/>
  <c r="J165" i="4"/>
  <c r="K165" i="4"/>
  <c r="B166" i="4"/>
  <c r="C166" i="4"/>
  <c r="D166" i="4"/>
  <c r="E166" i="4"/>
  <c r="F166" i="4"/>
  <c r="G166" i="4"/>
  <c r="H166" i="4"/>
  <c r="I166" i="4"/>
  <c r="J166" i="4"/>
  <c r="K166" i="4"/>
  <c r="B167" i="4"/>
  <c r="C167" i="4"/>
  <c r="D167" i="4"/>
  <c r="E167" i="4"/>
  <c r="F167" i="4"/>
  <c r="G167" i="4"/>
  <c r="H167" i="4"/>
  <c r="I167" i="4"/>
  <c r="J167" i="4"/>
  <c r="K167" i="4"/>
  <c r="B168" i="4"/>
  <c r="C168" i="4"/>
  <c r="D168" i="4"/>
  <c r="E168" i="4"/>
  <c r="F168" i="4"/>
  <c r="G168" i="4"/>
  <c r="H168" i="4"/>
  <c r="I168" i="4"/>
  <c r="J168" i="4"/>
  <c r="K168" i="4"/>
  <c r="B169" i="4"/>
  <c r="C169" i="4"/>
  <c r="D169" i="4"/>
  <c r="E169" i="4"/>
  <c r="F169" i="4"/>
  <c r="G169" i="4"/>
  <c r="H169" i="4"/>
  <c r="I169" i="4"/>
  <c r="J169" i="4"/>
  <c r="K169" i="4"/>
  <c r="B170" i="4"/>
  <c r="C170" i="4"/>
  <c r="D170" i="4"/>
  <c r="E170" i="4"/>
  <c r="F170" i="4"/>
  <c r="G170" i="4"/>
  <c r="H170" i="4"/>
  <c r="I170" i="4"/>
  <c r="J170" i="4"/>
  <c r="K170" i="4"/>
  <c r="B171" i="4"/>
  <c r="C171" i="4"/>
  <c r="D171" i="4"/>
  <c r="E171" i="4"/>
  <c r="F171" i="4"/>
  <c r="G171" i="4"/>
  <c r="H171" i="4"/>
  <c r="I171" i="4"/>
  <c r="J171" i="4"/>
  <c r="K171" i="4"/>
  <c r="B172" i="4"/>
  <c r="C172" i="4"/>
  <c r="D172" i="4"/>
  <c r="E172" i="4"/>
  <c r="F172" i="4"/>
  <c r="G172" i="4"/>
  <c r="H172" i="4"/>
  <c r="I172" i="4"/>
  <c r="J172" i="4"/>
  <c r="K172" i="4"/>
  <c r="B173" i="4"/>
  <c r="C173" i="4"/>
  <c r="D173" i="4"/>
  <c r="E173" i="4"/>
  <c r="F173" i="4"/>
  <c r="G173" i="4"/>
  <c r="H173" i="4"/>
  <c r="I173" i="4"/>
  <c r="J173" i="4"/>
  <c r="K173" i="4"/>
  <c r="B174" i="4"/>
  <c r="C174" i="4"/>
  <c r="D174" i="4"/>
  <c r="E174" i="4"/>
  <c r="F174" i="4"/>
  <c r="G174" i="4"/>
  <c r="H174" i="4"/>
  <c r="I174" i="4"/>
  <c r="J174" i="4"/>
  <c r="K174" i="4"/>
  <c r="B175" i="4"/>
  <c r="C175" i="4"/>
  <c r="D175" i="4"/>
  <c r="E175" i="4"/>
  <c r="F175" i="4"/>
  <c r="G175" i="4"/>
  <c r="H175" i="4"/>
  <c r="I175" i="4"/>
  <c r="J175" i="4"/>
  <c r="K175" i="4"/>
  <c r="B176" i="4"/>
  <c r="C176" i="4"/>
  <c r="D176" i="4"/>
  <c r="E176" i="4"/>
  <c r="F176" i="4"/>
  <c r="G176" i="4"/>
  <c r="H176" i="4"/>
  <c r="I176" i="4"/>
  <c r="J176" i="4"/>
  <c r="K176" i="4"/>
  <c r="B177" i="4"/>
  <c r="C177" i="4"/>
  <c r="D177" i="4"/>
  <c r="E177" i="4"/>
  <c r="F177" i="4"/>
  <c r="G177" i="4"/>
  <c r="H177" i="4"/>
  <c r="I177" i="4"/>
  <c r="J177" i="4"/>
  <c r="K177" i="4"/>
  <c r="B178" i="4"/>
  <c r="C178" i="4"/>
  <c r="D178" i="4"/>
  <c r="E178" i="4"/>
  <c r="F178" i="4"/>
  <c r="G178" i="4"/>
  <c r="H178" i="4"/>
  <c r="I178" i="4"/>
  <c r="J178" i="4"/>
  <c r="K178" i="4"/>
  <c r="B179" i="4"/>
  <c r="C179" i="4"/>
  <c r="D179" i="4"/>
  <c r="E179" i="4"/>
  <c r="F179" i="4"/>
  <c r="G179" i="4"/>
  <c r="H179" i="4"/>
  <c r="I179" i="4"/>
  <c r="J179" i="4"/>
  <c r="K179" i="4"/>
  <c r="B180" i="4"/>
  <c r="C180" i="4"/>
  <c r="D180" i="4"/>
  <c r="E180" i="4"/>
  <c r="F180" i="4"/>
  <c r="G180" i="4"/>
  <c r="H180" i="4"/>
  <c r="I180" i="4"/>
  <c r="J180" i="4"/>
  <c r="K180" i="4"/>
  <c r="B181" i="4"/>
  <c r="C181" i="4"/>
  <c r="D181" i="4"/>
  <c r="E181" i="4"/>
  <c r="F181" i="4"/>
  <c r="G181" i="4"/>
  <c r="H181" i="4"/>
  <c r="I181" i="4"/>
  <c r="J181" i="4"/>
  <c r="K181" i="4"/>
  <c r="B182" i="4"/>
  <c r="C182" i="4"/>
  <c r="D182" i="4"/>
  <c r="E182" i="4"/>
  <c r="F182" i="4"/>
  <c r="G182" i="4"/>
  <c r="H182" i="4"/>
  <c r="I182" i="4"/>
  <c r="J182" i="4"/>
  <c r="K182" i="4"/>
  <c r="B183" i="4"/>
  <c r="C183" i="4"/>
  <c r="D183" i="4"/>
  <c r="E183" i="4"/>
  <c r="F183" i="4"/>
  <c r="G183" i="4"/>
  <c r="H183" i="4"/>
  <c r="I183" i="4"/>
  <c r="J183" i="4"/>
  <c r="K183" i="4"/>
  <c r="B184" i="4"/>
  <c r="C184" i="4"/>
  <c r="D184" i="4"/>
  <c r="E184" i="4"/>
  <c r="F184" i="4"/>
  <c r="G184" i="4"/>
  <c r="H184" i="4"/>
  <c r="I184" i="4"/>
  <c r="J184" i="4"/>
  <c r="K184" i="4"/>
  <c r="B185" i="4"/>
  <c r="C185" i="4"/>
  <c r="D185" i="4"/>
  <c r="E185" i="4"/>
  <c r="F185" i="4"/>
  <c r="G185" i="4"/>
  <c r="H185" i="4"/>
  <c r="I185" i="4"/>
  <c r="J185" i="4"/>
  <c r="K185" i="4"/>
  <c r="B186" i="4"/>
  <c r="C186" i="4"/>
  <c r="D186" i="4"/>
  <c r="E186" i="4"/>
  <c r="F186" i="4"/>
  <c r="G186" i="4"/>
  <c r="H186" i="4"/>
  <c r="I186" i="4"/>
  <c r="J186" i="4"/>
  <c r="K186" i="4"/>
  <c r="B187" i="4"/>
  <c r="C187" i="4"/>
  <c r="D187" i="4"/>
  <c r="E187" i="4"/>
  <c r="F187" i="4"/>
  <c r="G187" i="4"/>
  <c r="H187" i="4"/>
  <c r="I187" i="4"/>
  <c r="J187" i="4"/>
  <c r="K187" i="4"/>
  <c r="B188" i="4"/>
  <c r="C188" i="4"/>
  <c r="D188" i="4"/>
  <c r="E188" i="4"/>
  <c r="F188" i="4"/>
  <c r="G188" i="4"/>
  <c r="H188" i="4"/>
  <c r="I188" i="4"/>
  <c r="J188" i="4"/>
  <c r="K188" i="4"/>
  <c r="B189" i="4"/>
  <c r="C189" i="4"/>
  <c r="D189" i="4"/>
  <c r="E189" i="4"/>
  <c r="F189" i="4"/>
  <c r="G189" i="4"/>
  <c r="H189" i="4"/>
  <c r="I189" i="4"/>
  <c r="J189" i="4"/>
  <c r="K189" i="4"/>
  <c r="B190" i="4"/>
  <c r="C190" i="4"/>
  <c r="D190" i="4"/>
  <c r="E190" i="4"/>
  <c r="F190" i="4"/>
  <c r="G190" i="4"/>
  <c r="H190" i="4"/>
  <c r="I190" i="4"/>
  <c r="J190" i="4"/>
  <c r="K190" i="4"/>
  <c r="B191" i="4"/>
  <c r="C191" i="4"/>
  <c r="D191" i="4"/>
  <c r="E191" i="4"/>
  <c r="F191" i="4"/>
  <c r="G191" i="4"/>
  <c r="H191" i="4"/>
  <c r="I191" i="4"/>
  <c r="J191" i="4"/>
  <c r="K191" i="4"/>
  <c r="B192" i="4"/>
  <c r="C192" i="4"/>
  <c r="D192" i="4"/>
  <c r="E192" i="4"/>
  <c r="F192" i="4"/>
  <c r="G192" i="4"/>
  <c r="H192" i="4"/>
  <c r="I192" i="4"/>
  <c r="J192" i="4"/>
  <c r="K192" i="4"/>
  <c r="B193" i="4"/>
  <c r="C193" i="4"/>
  <c r="D193" i="4"/>
  <c r="E193" i="4"/>
  <c r="F193" i="4"/>
  <c r="G193" i="4"/>
  <c r="H193" i="4"/>
  <c r="I193" i="4"/>
  <c r="J193" i="4"/>
  <c r="K193" i="4"/>
  <c r="B194" i="4"/>
  <c r="C194" i="4"/>
  <c r="D194" i="4"/>
  <c r="E194" i="4"/>
  <c r="F194" i="4"/>
  <c r="G194" i="4"/>
  <c r="H194" i="4"/>
  <c r="I194" i="4"/>
  <c r="J194" i="4"/>
  <c r="K194" i="4"/>
  <c r="B195" i="4"/>
  <c r="C195" i="4"/>
  <c r="D195" i="4"/>
  <c r="E195" i="4"/>
  <c r="F195" i="4"/>
  <c r="G195" i="4"/>
  <c r="H195" i="4"/>
  <c r="I195" i="4"/>
  <c r="J195" i="4"/>
  <c r="K195" i="4"/>
  <c r="B196" i="4"/>
  <c r="C196" i="4"/>
  <c r="D196" i="4"/>
  <c r="E196" i="4"/>
  <c r="F196" i="4"/>
  <c r="G196" i="4"/>
  <c r="H196" i="4"/>
  <c r="I196" i="4"/>
  <c r="J196" i="4"/>
  <c r="K196" i="4"/>
  <c r="B197" i="4"/>
  <c r="C197" i="4"/>
  <c r="D197" i="4"/>
  <c r="E197" i="4"/>
  <c r="F197" i="4"/>
  <c r="G197" i="4"/>
  <c r="H197" i="4"/>
  <c r="I197" i="4"/>
  <c r="J197" i="4"/>
  <c r="K197" i="4"/>
  <c r="B198" i="4"/>
  <c r="C198" i="4"/>
  <c r="D198" i="4"/>
  <c r="E198" i="4"/>
  <c r="F198" i="4"/>
  <c r="G198" i="4"/>
  <c r="H198" i="4"/>
  <c r="I198" i="4"/>
  <c r="J198" i="4"/>
  <c r="K198" i="4"/>
  <c r="B199" i="4"/>
  <c r="C199" i="4"/>
  <c r="D199" i="4"/>
  <c r="E199" i="4"/>
  <c r="F199" i="4"/>
  <c r="G199" i="4"/>
  <c r="H199" i="4"/>
  <c r="I199" i="4"/>
  <c r="J199" i="4"/>
  <c r="K199" i="4"/>
  <c r="B200" i="4"/>
  <c r="C200" i="4"/>
  <c r="D200" i="4"/>
  <c r="E200" i="4"/>
  <c r="F200" i="4"/>
  <c r="G200" i="4"/>
  <c r="H200" i="4"/>
  <c r="I200" i="4"/>
  <c r="J200" i="4"/>
  <c r="K200" i="4"/>
  <c r="B201" i="4"/>
  <c r="C201" i="4"/>
  <c r="D201" i="4"/>
  <c r="E201" i="4"/>
  <c r="F201" i="4"/>
  <c r="G201" i="4"/>
  <c r="H201" i="4"/>
  <c r="I201" i="4"/>
  <c r="J201" i="4"/>
  <c r="K201" i="4"/>
  <c r="B202" i="4"/>
  <c r="C202" i="4"/>
  <c r="D202" i="4"/>
  <c r="E202" i="4"/>
  <c r="F202" i="4"/>
  <c r="G202" i="4"/>
  <c r="H202" i="4"/>
  <c r="I202" i="4"/>
  <c r="J202" i="4"/>
  <c r="K202" i="4"/>
  <c r="B203" i="4"/>
  <c r="C203" i="4"/>
  <c r="D203" i="4"/>
  <c r="E203" i="4"/>
  <c r="F203" i="4"/>
  <c r="G203" i="4"/>
  <c r="H203" i="4"/>
  <c r="I203" i="4"/>
  <c r="J203" i="4"/>
  <c r="K203" i="4"/>
  <c r="B204" i="4"/>
  <c r="C204" i="4"/>
  <c r="D204" i="4"/>
  <c r="E204" i="4"/>
  <c r="F204" i="4"/>
  <c r="G204" i="4"/>
  <c r="H204" i="4"/>
  <c r="I204" i="4"/>
  <c r="J204" i="4"/>
  <c r="K204" i="4"/>
  <c r="B205" i="4"/>
  <c r="C205" i="4"/>
  <c r="D205" i="4"/>
  <c r="E205" i="4"/>
  <c r="F205" i="4"/>
  <c r="G205" i="4"/>
  <c r="H205" i="4"/>
  <c r="I205" i="4"/>
  <c r="J205" i="4"/>
  <c r="K205" i="4"/>
  <c r="B206" i="4"/>
  <c r="C206" i="4"/>
  <c r="D206" i="4"/>
  <c r="E206" i="4"/>
  <c r="F206" i="4"/>
  <c r="G206" i="4"/>
  <c r="H206" i="4"/>
  <c r="I206" i="4"/>
  <c r="J206" i="4"/>
  <c r="K206" i="4"/>
  <c r="B207" i="4"/>
  <c r="C207" i="4"/>
  <c r="D207" i="4"/>
  <c r="E207" i="4"/>
  <c r="F207" i="4"/>
  <c r="G207" i="4"/>
  <c r="H207" i="4"/>
  <c r="I207" i="4"/>
  <c r="J207" i="4"/>
  <c r="K207" i="4"/>
  <c r="B208" i="4"/>
  <c r="C208" i="4"/>
  <c r="D208" i="4"/>
  <c r="E208" i="4"/>
  <c r="F208" i="4"/>
  <c r="G208" i="4"/>
  <c r="H208" i="4"/>
  <c r="I208" i="4"/>
  <c r="J208" i="4"/>
  <c r="K208" i="4"/>
  <c r="B209" i="4"/>
  <c r="C209" i="4"/>
  <c r="D209" i="4"/>
  <c r="E209" i="4"/>
  <c r="F209" i="4"/>
  <c r="G209" i="4"/>
  <c r="H209" i="4"/>
  <c r="I209" i="4"/>
  <c r="J209" i="4"/>
  <c r="K209" i="4"/>
  <c r="B210" i="4"/>
  <c r="C210" i="4"/>
  <c r="D210" i="4"/>
  <c r="E210" i="4"/>
  <c r="F210" i="4"/>
  <c r="G210" i="4"/>
  <c r="H210" i="4"/>
  <c r="I210" i="4"/>
  <c r="J210" i="4"/>
  <c r="K210" i="4"/>
  <c r="B211" i="4"/>
  <c r="C211" i="4"/>
  <c r="D211" i="4"/>
  <c r="E211" i="4"/>
  <c r="F211" i="4"/>
  <c r="G211" i="4"/>
  <c r="H211" i="4"/>
  <c r="I211" i="4"/>
  <c r="J211" i="4"/>
  <c r="K211" i="4"/>
  <c r="B212" i="4"/>
  <c r="C212" i="4"/>
  <c r="D212" i="4"/>
  <c r="E212" i="4"/>
  <c r="F212" i="4"/>
  <c r="G212" i="4"/>
  <c r="H212" i="4"/>
  <c r="I212" i="4"/>
  <c r="J212" i="4"/>
  <c r="K212" i="4"/>
  <c r="B213" i="4"/>
  <c r="C213" i="4"/>
  <c r="D213" i="4"/>
  <c r="E213" i="4"/>
  <c r="F213" i="4"/>
  <c r="G213" i="4"/>
  <c r="H213" i="4"/>
  <c r="I213" i="4"/>
  <c r="J213" i="4"/>
  <c r="K213" i="4"/>
  <c r="B214" i="4"/>
  <c r="C214" i="4"/>
  <c r="D214" i="4"/>
  <c r="E214" i="4"/>
  <c r="F214" i="4"/>
  <c r="G214" i="4"/>
  <c r="H214" i="4"/>
  <c r="I214" i="4"/>
  <c r="J214" i="4"/>
  <c r="K214" i="4"/>
  <c r="B215" i="4"/>
  <c r="C215" i="4"/>
  <c r="D215" i="4"/>
  <c r="E215" i="4"/>
  <c r="F215" i="4"/>
  <c r="G215" i="4"/>
  <c r="H215" i="4"/>
  <c r="I215" i="4"/>
  <c r="J215" i="4"/>
  <c r="K215" i="4"/>
  <c r="B216" i="4"/>
  <c r="C216" i="4"/>
  <c r="D216" i="4"/>
  <c r="E216" i="4"/>
  <c r="F216" i="4"/>
  <c r="G216" i="4"/>
  <c r="H216" i="4"/>
  <c r="I216" i="4"/>
  <c r="J216" i="4"/>
  <c r="K216" i="4"/>
  <c r="B217" i="4"/>
  <c r="C217" i="4"/>
  <c r="D217" i="4"/>
  <c r="E217" i="4"/>
  <c r="F217" i="4"/>
  <c r="G217" i="4"/>
  <c r="H217" i="4"/>
  <c r="I217" i="4"/>
  <c r="J217" i="4"/>
  <c r="K217" i="4"/>
  <c r="B218" i="4"/>
  <c r="C218" i="4"/>
  <c r="D218" i="4"/>
  <c r="E218" i="4"/>
  <c r="F218" i="4"/>
  <c r="G218" i="4"/>
  <c r="H218" i="4"/>
  <c r="I218" i="4"/>
  <c r="J218" i="4"/>
  <c r="K218" i="4"/>
  <c r="B219" i="4"/>
  <c r="C219" i="4"/>
  <c r="D219" i="4"/>
  <c r="E219" i="4"/>
  <c r="F219" i="4"/>
  <c r="G219" i="4"/>
  <c r="H219" i="4"/>
  <c r="I219" i="4"/>
  <c r="J219" i="4"/>
  <c r="K219" i="4"/>
  <c r="B220" i="4"/>
  <c r="C220" i="4"/>
  <c r="D220" i="4"/>
  <c r="E220" i="4"/>
  <c r="F220" i="4"/>
  <c r="G220" i="4"/>
  <c r="H220" i="4"/>
  <c r="I220" i="4"/>
  <c r="J220" i="4"/>
  <c r="K220" i="4"/>
  <c r="B221" i="4"/>
  <c r="C221" i="4"/>
  <c r="D221" i="4"/>
  <c r="E221" i="4"/>
  <c r="F221" i="4"/>
  <c r="G221" i="4"/>
  <c r="H221" i="4"/>
  <c r="I221" i="4"/>
  <c r="J221" i="4"/>
  <c r="K221" i="4"/>
  <c r="B222" i="4"/>
  <c r="C222" i="4"/>
  <c r="D222" i="4"/>
  <c r="E222" i="4"/>
  <c r="F222" i="4"/>
  <c r="G222" i="4"/>
  <c r="H222" i="4"/>
  <c r="I222" i="4"/>
  <c r="J222" i="4"/>
  <c r="K222" i="4"/>
  <c r="B223" i="4"/>
  <c r="C223" i="4"/>
  <c r="D223" i="4"/>
  <c r="E223" i="4"/>
  <c r="F223" i="4"/>
  <c r="G223" i="4"/>
  <c r="H223" i="4"/>
  <c r="I223" i="4"/>
  <c r="J223" i="4"/>
  <c r="K223" i="4"/>
  <c r="B224" i="4"/>
  <c r="C224" i="4"/>
  <c r="D224" i="4"/>
  <c r="E224" i="4"/>
  <c r="F224" i="4"/>
  <c r="G224" i="4"/>
  <c r="H224" i="4"/>
  <c r="I224" i="4"/>
  <c r="J224" i="4"/>
  <c r="K224" i="4"/>
  <c r="B225" i="4"/>
  <c r="C225" i="4"/>
  <c r="D225" i="4"/>
  <c r="E225" i="4"/>
  <c r="F225" i="4"/>
  <c r="G225" i="4"/>
  <c r="H225" i="4"/>
  <c r="I225" i="4"/>
  <c r="J225" i="4"/>
  <c r="K225" i="4"/>
  <c r="B226" i="4"/>
  <c r="C226" i="4"/>
  <c r="D226" i="4"/>
  <c r="E226" i="4"/>
  <c r="F226" i="4"/>
  <c r="G226" i="4"/>
  <c r="H226" i="4"/>
  <c r="I226" i="4"/>
  <c r="J226" i="4"/>
  <c r="K226" i="4"/>
  <c r="B227" i="4"/>
  <c r="C227" i="4"/>
  <c r="D227" i="4"/>
  <c r="E227" i="4"/>
  <c r="F227" i="4"/>
  <c r="G227" i="4"/>
  <c r="H227" i="4"/>
  <c r="I227" i="4"/>
  <c r="J227" i="4"/>
  <c r="K227" i="4"/>
  <c r="B228" i="4"/>
  <c r="C228" i="4"/>
  <c r="D228" i="4"/>
  <c r="E228" i="4"/>
  <c r="F228" i="4"/>
  <c r="G228" i="4"/>
  <c r="H228" i="4"/>
  <c r="I228" i="4"/>
  <c r="J228" i="4"/>
  <c r="K228" i="4"/>
  <c r="B229" i="4"/>
  <c r="C229" i="4"/>
  <c r="D229" i="4"/>
  <c r="E229" i="4"/>
  <c r="F229" i="4"/>
  <c r="G229" i="4"/>
  <c r="H229" i="4"/>
  <c r="I229" i="4"/>
  <c r="J229" i="4"/>
  <c r="K229" i="4"/>
  <c r="B230" i="4"/>
  <c r="C230" i="4"/>
  <c r="D230" i="4"/>
  <c r="E230" i="4"/>
  <c r="F230" i="4"/>
  <c r="G230" i="4"/>
  <c r="H230" i="4"/>
  <c r="I230" i="4"/>
  <c r="J230" i="4"/>
  <c r="K230" i="4"/>
  <c r="B231" i="4"/>
  <c r="C231" i="4"/>
  <c r="D231" i="4"/>
  <c r="E231" i="4"/>
  <c r="F231" i="4"/>
  <c r="G231" i="4"/>
  <c r="H231" i="4"/>
  <c r="I231" i="4"/>
  <c r="J231" i="4"/>
  <c r="K231" i="4"/>
  <c r="B232" i="4"/>
  <c r="C232" i="4"/>
  <c r="D232" i="4"/>
  <c r="E232" i="4"/>
  <c r="F232" i="4"/>
  <c r="G232" i="4"/>
  <c r="H232" i="4"/>
  <c r="I232" i="4"/>
  <c r="J232" i="4"/>
  <c r="K232" i="4"/>
  <c r="B233" i="4"/>
  <c r="C233" i="4"/>
  <c r="D233" i="4"/>
  <c r="E233" i="4"/>
  <c r="F233" i="4"/>
  <c r="G233" i="4"/>
  <c r="H233" i="4"/>
  <c r="I233" i="4"/>
  <c r="J233" i="4"/>
  <c r="K233" i="4"/>
  <c r="B234" i="4"/>
  <c r="C234" i="4"/>
  <c r="D234" i="4"/>
  <c r="E234" i="4"/>
  <c r="F234" i="4"/>
  <c r="G234" i="4"/>
  <c r="H234" i="4"/>
  <c r="I234" i="4"/>
  <c r="J234" i="4"/>
  <c r="K234" i="4"/>
  <c r="B235" i="4"/>
  <c r="C235" i="4"/>
  <c r="D235" i="4"/>
  <c r="E235" i="4"/>
  <c r="F235" i="4"/>
  <c r="G235" i="4"/>
  <c r="H235" i="4"/>
  <c r="I235" i="4"/>
  <c r="J235" i="4"/>
  <c r="K235" i="4"/>
  <c r="B236" i="4"/>
  <c r="C236" i="4"/>
  <c r="D236" i="4"/>
  <c r="E236" i="4"/>
  <c r="F236" i="4"/>
  <c r="G236" i="4"/>
  <c r="H236" i="4"/>
  <c r="I236" i="4"/>
  <c r="J236" i="4"/>
  <c r="K236" i="4"/>
  <c r="B237" i="4"/>
  <c r="C237" i="4"/>
  <c r="D237" i="4"/>
  <c r="E237" i="4"/>
  <c r="F237" i="4"/>
  <c r="G237" i="4"/>
  <c r="H237" i="4"/>
  <c r="I237" i="4"/>
  <c r="J237" i="4"/>
  <c r="K237" i="4"/>
  <c r="B238" i="4"/>
  <c r="C238" i="4"/>
  <c r="D238" i="4"/>
  <c r="E238" i="4"/>
  <c r="F238" i="4"/>
  <c r="G238" i="4"/>
  <c r="H238" i="4"/>
  <c r="I238" i="4"/>
  <c r="J238" i="4"/>
  <c r="K238" i="4"/>
  <c r="B239" i="4"/>
  <c r="C239" i="4"/>
  <c r="D239" i="4"/>
  <c r="E239" i="4"/>
  <c r="F239" i="4"/>
  <c r="G239" i="4"/>
  <c r="H239" i="4"/>
  <c r="I239" i="4"/>
  <c r="J239" i="4"/>
  <c r="K239" i="4"/>
  <c r="B240" i="4"/>
  <c r="C240" i="4"/>
  <c r="D240" i="4"/>
  <c r="E240" i="4"/>
  <c r="F240" i="4"/>
  <c r="G240" i="4"/>
  <c r="H240" i="4"/>
  <c r="I240" i="4"/>
  <c r="J240" i="4"/>
  <c r="K240" i="4"/>
  <c r="B241" i="4"/>
  <c r="C241" i="4"/>
  <c r="D241" i="4"/>
  <c r="E241" i="4"/>
  <c r="F241" i="4"/>
  <c r="G241" i="4"/>
  <c r="H241" i="4"/>
  <c r="I241" i="4"/>
  <c r="J241" i="4"/>
  <c r="K241" i="4"/>
  <c r="B242" i="4"/>
  <c r="C242" i="4"/>
  <c r="D242" i="4"/>
  <c r="E242" i="4"/>
  <c r="F242" i="4"/>
  <c r="G242" i="4"/>
  <c r="H242" i="4"/>
  <c r="I242" i="4"/>
  <c r="J242" i="4"/>
  <c r="K242" i="4"/>
  <c r="B243" i="4"/>
  <c r="C243" i="4"/>
  <c r="D243" i="4"/>
  <c r="E243" i="4"/>
  <c r="F243" i="4"/>
  <c r="G243" i="4"/>
  <c r="H243" i="4"/>
  <c r="I243" i="4"/>
  <c r="J243" i="4"/>
  <c r="K243" i="4"/>
  <c r="B244" i="4"/>
  <c r="C244" i="4"/>
  <c r="D244" i="4"/>
  <c r="E244" i="4"/>
  <c r="F244" i="4"/>
  <c r="G244" i="4"/>
  <c r="H244" i="4"/>
  <c r="I244" i="4"/>
  <c r="J244" i="4"/>
  <c r="K244" i="4"/>
  <c r="B245" i="4"/>
  <c r="C245" i="4"/>
  <c r="D245" i="4"/>
  <c r="E245" i="4"/>
  <c r="F245" i="4"/>
  <c r="G245" i="4"/>
  <c r="H245" i="4"/>
  <c r="I245" i="4"/>
  <c r="J245" i="4"/>
  <c r="K245" i="4"/>
  <c r="B246" i="4"/>
  <c r="C246" i="4"/>
  <c r="D246" i="4"/>
  <c r="E246" i="4"/>
  <c r="F246" i="4"/>
  <c r="G246" i="4"/>
  <c r="H246" i="4"/>
  <c r="I246" i="4"/>
  <c r="J246" i="4"/>
  <c r="K246" i="4"/>
  <c r="B247" i="4"/>
  <c r="C247" i="4"/>
  <c r="D247" i="4"/>
  <c r="E247" i="4"/>
  <c r="F247" i="4"/>
  <c r="G247" i="4"/>
  <c r="H247" i="4"/>
  <c r="I247" i="4"/>
  <c r="J247" i="4"/>
  <c r="K247" i="4"/>
  <c r="B248" i="4"/>
  <c r="C248" i="4"/>
  <c r="D248" i="4"/>
  <c r="E248" i="4"/>
  <c r="F248" i="4"/>
  <c r="G248" i="4"/>
  <c r="H248" i="4"/>
  <c r="I248" i="4"/>
  <c r="J248" i="4"/>
  <c r="K248" i="4"/>
  <c r="B249" i="4"/>
  <c r="C249" i="4"/>
  <c r="D249" i="4"/>
  <c r="E249" i="4"/>
  <c r="F249" i="4"/>
  <c r="G249" i="4"/>
  <c r="H249" i="4"/>
  <c r="I249" i="4"/>
  <c r="J249" i="4"/>
  <c r="K249" i="4"/>
  <c r="B250" i="4"/>
  <c r="C250" i="4"/>
  <c r="D250" i="4"/>
  <c r="E250" i="4"/>
  <c r="F250" i="4"/>
  <c r="G250" i="4"/>
  <c r="H250" i="4"/>
  <c r="I250" i="4"/>
  <c r="J250" i="4"/>
  <c r="K250" i="4"/>
  <c r="B251" i="4"/>
  <c r="C251" i="4"/>
  <c r="D251" i="4"/>
  <c r="E251" i="4"/>
  <c r="F251" i="4"/>
  <c r="G251" i="4"/>
  <c r="H251" i="4"/>
  <c r="I251" i="4"/>
  <c r="J251" i="4"/>
  <c r="K251" i="4"/>
  <c r="B252" i="4"/>
  <c r="C252" i="4"/>
  <c r="D252" i="4"/>
  <c r="E252" i="4"/>
  <c r="F252" i="4"/>
  <c r="G252" i="4"/>
  <c r="H252" i="4"/>
  <c r="I252" i="4"/>
  <c r="J252" i="4"/>
  <c r="K252" i="4"/>
  <c r="B253" i="4"/>
  <c r="C253" i="4"/>
  <c r="D253" i="4"/>
  <c r="E253" i="4"/>
  <c r="F253" i="4"/>
  <c r="G253" i="4"/>
  <c r="H253" i="4"/>
  <c r="I253" i="4"/>
  <c r="J253" i="4"/>
  <c r="K253" i="4"/>
  <c r="B254" i="4"/>
  <c r="C254" i="4"/>
  <c r="D254" i="4"/>
  <c r="E254" i="4"/>
  <c r="F254" i="4"/>
  <c r="G254" i="4"/>
  <c r="H254" i="4"/>
  <c r="I254" i="4"/>
  <c r="J254" i="4"/>
  <c r="K254" i="4"/>
  <c r="B255" i="4"/>
  <c r="C255" i="4"/>
  <c r="D255" i="4"/>
  <c r="E255" i="4"/>
  <c r="F255" i="4"/>
  <c r="G255" i="4"/>
  <c r="H255" i="4"/>
  <c r="I255" i="4"/>
  <c r="J255" i="4"/>
  <c r="K255" i="4"/>
  <c r="B256" i="4"/>
  <c r="C256" i="4"/>
  <c r="D256" i="4"/>
  <c r="E256" i="4"/>
  <c r="F256" i="4"/>
  <c r="G256" i="4"/>
  <c r="H256" i="4"/>
  <c r="I256" i="4"/>
  <c r="J256" i="4"/>
  <c r="K256" i="4"/>
  <c r="B257" i="4"/>
  <c r="C257" i="4"/>
  <c r="D257" i="4"/>
  <c r="E257" i="4"/>
  <c r="F257" i="4"/>
  <c r="G257" i="4"/>
  <c r="H257" i="4"/>
  <c r="I257" i="4"/>
  <c r="J257" i="4"/>
  <c r="K257" i="4"/>
  <c r="B258" i="4"/>
  <c r="C258" i="4"/>
  <c r="D258" i="4"/>
  <c r="E258" i="4"/>
  <c r="F258" i="4"/>
  <c r="G258" i="4"/>
  <c r="H258" i="4"/>
  <c r="I258" i="4"/>
  <c r="J258" i="4"/>
  <c r="K258" i="4"/>
  <c r="B259" i="4"/>
  <c r="C259" i="4"/>
  <c r="D259" i="4"/>
  <c r="E259" i="4"/>
  <c r="F259" i="4"/>
  <c r="G259" i="4"/>
  <c r="H259" i="4"/>
  <c r="I259" i="4"/>
  <c r="J259" i="4"/>
  <c r="K259" i="4"/>
  <c r="B260" i="4"/>
  <c r="C260" i="4"/>
  <c r="D260" i="4"/>
  <c r="E260" i="4"/>
  <c r="F260" i="4"/>
  <c r="G260" i="4"/>
  <c r="H260" i="4"/>
  <c r="I260" i="4"/>
  <c r="J260" i="4"/>
  <c r="K260" i="4"/>
  <c r="B261" i="4"/>
  <c r="C261" i="4"/>
  <c r="D261" i="4"/>
  <c r="E261" i="4"/>
  <c r="F261" i="4"/>
  <c r="G261" i="4"/>
  <c r="H261" i="4"/>
  <c r="I261" i="4"/>
  <c r="J261" i="4"/>
  <c r="K261" i="4"/>
  <c r="B262" i="4"/>
  <c r="C262" i="4"/>
  <c r="D262" i="4"/>
  <c r="E262" i="4"/>
  <c r="F262" i="4"/>
  <c r="G262" i="4"/>
  <c r="H262" i="4"/>
  <c r="I262" i="4"/>
  <c r="J262" i="4"/>
  <c r="K262" i="4"/>
  <c r="B263" i="4"/>
  <c r="C263" i="4"/>
  <c r="D263" i="4"/>
  <c r="E263" i="4"/>
  <c r="F263" i="4"/>
  <c r="G263" i="4"/>
  <c r="H263" i="4"/>
  <c r="I263" i="4"/>
  <c r="J263" i="4"/>
  <c r="K263" i="4"/>
  <c r="B264" i="4"/>
  <c r="C264" i="4"/>
  <c r="D264" i="4"/>
  <c r="E264" i="4"/>
  <c r="F264" i="4"/>
  <c r="G264" i="4"/>
  <c r="H264" i="4"/>
  <c r="I264" i="4"/>
  <c r="J264" i="4"/>
  <c r="K264" i="4"/>
  <c r="B265" i="4"/>
  <c r="C265" i="4"/>
  <c r="D265" i="4"/>
  <c r="E265" i="4"/>
  <c r="F265" i="4"/>
  <c r="G265" i="4"/>
  <c r="H265" i="4"/>
  <c r="I265" i="4"/>
  <c r="J265" i="4"/>
  <c r="K265" i="4"/>
  <c r="B266" i="4"/>
  <c r="C266" i="4"/>
  <c r="D266" i="4"/>
  <c r="E266" i="4"/>
  <c r="F266" i="4"/>
  <c r="G266" i="4"/>
  <c r="H266" i="4"/>
  <c r="I266" i="4"/>
  <c r="J266" i="4"/>
  <c r="K266" i="4"/>
  <c r="B267" i="4"/>
  <c r="C267" i="4"/>
  <c r="D267" i="4"/>
  <c r="E267" i="4"/>
  <c r="F267" i="4"/>
  <c r="G267" i="4"/>
  <c r="H267" i="4"/>
  <c r="I267" i="4"/>
  <c r="J267" i="4"/>
  <c r="K267" i="4"/>
  <c r="B268" i="4"/>
  <c r="C268" i="4"/>
  <c r="D268" i="4"/>
  <c r="E268" i="4"/>
  <c r="F268" i="4"/>
  <c r="G268" i="4"/>
  <c r="H268" i="4"/>
  <c r="I268" i="4"/>
  <c r="J268" i="4"/>
  <c r="K268" i="4"/>
  <c r="B269" i="4"/>
  <c r="C269" i="4"/>
  <c r="D269" i="4"/>
  <c r="E269" i="4"/>
  <c r="F269" i="4"/>
  <c r="G269" i="4"/>
  <c r="H269" i="4"/>
  <c r="I269" i="4"/>
  <c r="J269" i="4"/>
  <c r="K269" i="4"/>
  <c r="B270" i="4"/>
  <c r="C270" i="4"/>
  <c r="D270" i="4"/>
  <c r="E270" i="4"/>
  <c r="F270" i="4"/>
  <c r="G270" i="4"/>
  <c r="H270" i="4"/>
  <c r="I270" i="4"/>
  <c r="J270" i="4"/>
  <c r="K270" i="4"/>
  <c r="B271" i="4"/>
  <c r="C271" i="4"/>
  <c r="D271" i="4"/>
  <c r="E271" i="4"/>
  <c r="F271" i="4"/>
  <c r="G271" i="4"/>
  <c r="H271" i="4"/>
  <c r="I271" i="4"/>
  <c r="J271" i="4"/>
  <c r="K271" i="4"/>
  <c r="B272" i="4"/>
  <c r="C272" i="4"/>
  <c r="D272" i="4"/>
  <c r="E272" i="4"/>
  <c r="F272" i="4"/>
  <c r="G272" i="4"/>
  <c r="H272" i="4"/>
  <c r="I272" i="4"/>
  <c r="J272" i="4"/>
  <c r="K272" i="4"/>
  <c r="B273" i="4"/>
  <c r="C273" i="4"/>
  <c r="D273" i="4"/>
  <c r="E273" i="4"/>
  <c r="F273" i="4"/>
  <c r="G273" i="4"/>
  <c r="H273" i="4"/>
  <c r="I273" i="4"/>
  <c r="J273" i="4"/>
  <c r="K273" i="4"/>
  <c r="B274" i="4"/>
  <c r="C274" i="4"/>
  <c r="D274" i="4"/>
  <c r="E274" i="4"/>
  <c r="F274" i="4"/>
  <c r="G274" i="4"/>
  <c r="H274" i="4"/>
  <c r="I274" i="4"/>
  <c r="J274" i="4"/>
  <c r="K274" i="4"/>
  <c r="B275" i="4"/>
  <c r="C275" i="4"/>
  <c r="D275" i="4"/>
  <c r="E275" i="4"/>
  <c r="F275" i="4"/>
  <c r="G275" i="4"/>
  <c r="H275" i="4"/>
  <c r="I275" i="4"/>
  <c r="J275" i="4"/>
  <c r="K275" i="4"/>
  <c r="B276" i="4"/>
  <c r="C276" i="4"/>
  <c r="D276" i="4"/>
  <c r="E276" i="4"/>
  <c r="F276" i="4"/>
  <c r="G276" i="4"/>
  <c r="H276" i="4"/>
  <c r="I276" i="4"/>
  <c r="J276" i="4"/>
  <c r="K276" i="4"/>
  <c r="B277" i="4"/>
  <c r="C277" i="4"/>
  <c r="D277" i="4"/>
  <c r="E277" i="4"/>
  <c r="F277" i="4"/>
  <c r="G277" i="4"/>
  <c r="H277" i="4"/>
  <c r="I277" i="4"/>
  <c r="J277" i="4"/>
  <c r="K277" i="4"/>
  <c r="B278" i="4"/>
  <c r="C278" i="4"/>
  <c r="D278" i="4"/>
  <c r="E278" i="4"/>
  <c r="F278" i="4"/>
  <c r="G278" i="4"/>
  <c r="H278" i="4"/>
  <c r="I278" i="4"/>
  <c r="J278" i="4"/>
  <c r="K278" i="4"/>
  <c r="B279" i="4"/>
  <c r="C279" i="4"/>
  <c r="D279" i="4"/>
  <c r="E279" i="4"/>
  <c r="F279" i="4"/>
  <c r="G279" i="4"/>
  <c r="H279" i="4"/>
  <c r="I279" i="4"/>
  <c r="J279" i="4"/>
  <c r="K279" i="4"/>
  <c r="B280" i="4"/>
  <c r="C280" i="4"/>
  <c r="D280" i="4"/>
  <c r="E280" i="4"/>
  <c r="F280" i="4"/>
  <c r="G280" i="4"/>
  <c r="H280" i="4"/>
  <c r="I280" i="4"/>
  <c r="J280" i="4"/>
  <c r="K280" i="4"/>
  <c r="B281" i="4"/>
  <c r="C281" i="4"/>
  <c r="D281" i="4"/>
  <c r="E281" i="4"/>
  <c r="F281" i="4"/>
  <c r="G281" i="4"/>
  <c r="H281" i="4"/>
  <c r="I281" i="4"/>
  <c r="J281" i="4"/>
  <c r="K281" i="4"/>
  <c r="B282" i="4"/>
  <c r="C282" i="4"/>
  <c r="D282" i="4"/>
  <c r="E282" i="4"/>
  <c r="F282" i="4"/>
  <c r="G282" i="4"/>
  <c r="H282" i="4"/>
  <c r="I282" i="4"/>
  <c r="J282" i="4"/>
  <c r="K282" i="4"/>
  <c r="B283" i="4"/>
  <c r="C283" i="4"/>
  <c r="D283" i="4"/>
  <c r="E283" i="4"/>
  <c r="F283" i="4"/>
  <c r="G283" i="4"/>
  <c r="H283" i="4"/>
  <c r="I283" i="4"/>
  <c r="J283" i="4"/>
  <c r="K283" i="4"/>
  <c r="B284" i="4"/>
  <c r="C284" i="4"/>
  <c r="D284" i="4"/>
  <c r="E284" i="4"/>
  <c r="F284" i="4"/>
  <c r="G284" i="4"/>
  <c r="H284" i="4"/>
  <c r="I284" i="4"/>
  <c r="J284" i="4"/>
  <c r="K284" i="4"/>
  <c r="B285" i="4"/>
  <c r="C285" i="4"/>
  <c r="D285" i="4"/>
  <c r="E285" i="4"/>
  <c r="F285" i="4"/>
  <c r="G285" i="4"/>
  <c r="H285" i="4"/>
  <c r="I285" i="4"/>
  <c r="J285" i="4"/>
  <c r="K285" i="4"/>
  <c r="B286" i="4"/>
  <c r="C286" i="4"/>
  <c r="D286" i="4"/>
  <c r="E286" i="4"/>
  <c r="F286" i="4"/>
  <c r="G286" i="4"/>
  <c r="H286" i="4"/>
  <c r="I286" i="4"/>
  <c r="J286" i="4"/>
  <c r="K286" i="4"/>
  <c r="B287" i="4"/>
  <c r="C287" i="4"/>
  <c r="D287" i="4"/>
  <c r="E287" i="4"/>
  <c r="F287" i="4"/>
  <c r="G287" i="4"/>
  <c r="H287" i="4"/>
  <c r="I287" i="4"/>
  <c r="J287" i="4"/>
  <c r="K287" i="4"/>
  <c r="B288" i="4"/>
  <c r="C288" i="4"/>
  <c r="D288" i="4"/>
  <c r="E288" i="4"/>
  <c r="F288" i="4"/>
  <c r="G288" i="4"/>
  <c r="H288" i="4"/>
  <c r="I288" i="4"/>
  <c r="J288" i="4"/>
  <c r="K288" i="4"/>
  <c r="B289" i="4"/>
  <c r="C289" i="4"/>
  <c r="D289" i="4"/>
  <c r="E289" i="4"/>
  <c r="F289" i="4"/>
  <c r="G289" i="4"/>
  <c r="H289" i="4"/>
  <c r="I289" i="4"/>
  <c r="J289" i="4"/>
  <c r="K289" i="4"/>
  <c r="B290" i="4"/>
  <c r="C290" i="4"/>
  <c r="D290" i="4"/>
  <c r="E290" i="4"/>
  <c r="F290" i="4"/>
  <c r="G290" i="4"/>
  <c r="H290" i="4"/>
  <c r="I290" i="4"/>
  <c r="J290" i="4"/>
  <c r="K290" i="4"/>
  <c r="B291" i="4"/>
  <c r="C291" i="4"/>
  <c r="D291" i="4"/>
  <c r="E291" i="4"/>
  <c r="F291" i="4"/>
  <c r="G291" i="4"/>
  <c r="H291" i="4"/>
  <c r="I291" i="4"/>
  <c r="J291" i="4"/>
  <c r="K291" i="4"/>
  <c r="B292" i="4"/>
  <c r="C292" i="4"/>
  <c r="D292" i="4"/>
  <c r="E292" i="4"/>
  <c r="F292" i="4"/>
  <c r="G292" i="4"/>
  <c r="H292" i="4"/>
  <c r="I292" i="4"/>
  <c r="J292" i="4"/>
  <c r="K292" i="4"/>
  <c r="B293" i="4"/>
  <c r="C293" i="4"/>
  <c r="D293" i="4"/>
  <c r="E293" i="4"/>
  <c r="F293" i="4"/>
  <c r="G293" i="4"/>
  <c r="H293" i="4"/>
  <c r="I293" i="4"/>
  <c r="J293" i="4"/>
  <c r="K293" i="4"/>
  <c r="B294" i="4"/>
  <c r="C294" i="4"/>
  <c r="D294" i="4"/>
  <c r="E294" i="4"/>
  <c r="F294" i="4"/>
  <c r="G294" i="4"/>
  <c r="H294" i="4"/>
  <c r="I294" i="4"/>
  <c r="J294" i="4"/>
  <c r="K294" i="4"/>
  <c r="B295" i="4"/>
  <c r="C295" i="4"/>
  <c r="D295" i="4"/>
  <c r="E295" i="4"/>
  <c r="F295" i="4"/>
  <c r="G295" i="4"/>
  <c r="H295" i="4"/>
  <c r="I295" i="4"/>
  <c r="J295" i="4"/>
  <c r="K295" i="4"/>
  <c r="B296" i="4"/>
  <c r="C296" i="4"/>
  <c r="D296" i="4"/>
  <c r="E296" i="4"/>
  <c r="F296" i="4"/>
  <c r="G296" i="4"/>
  <c r="H296" i="4"/>
  <c r="I296" i="4"/>
  <c r="J296" i="4"/>
  <c r="K296" i="4"/>
  <c r="B297" i="4"/>
  <c r="C297" i="4"/>
  <c r="D297" i="4"/>
  <c r="E297" i="4"/>
  <c r="F297" i="4"/>
  <c r="G297" i="4"/>
  <c r="H297" i="4"/>
  <c r="I297" i="4"/>
  <c r="J297" i="4"/>
  <c r="K297" i="4"/>
  <c r="B298" i="4"/>
  <c r="C298" i="4"/>
  <c r="D298" i="4"/>
  <c r="E298" i="4"/>
  <c r="F298" i="4"/>
  <c r="G298" i="4"/>
  <c r="H298" i="4"/>
  <c r="I298" i="4"/>
  <c r="J298" i="4"/>
  <c r="K298" i="4"/>
  <c r="B299" i="4"/>
  <c r="C299" i="4"/>
  <c r="D299" i="4"/>
  <c r="E299" i="4"/>
  <c r="F299" i="4"/>
  <c r="G299" i="4"/>
  <c r="H299" i="4"/>
  <c r="I299" i="4"/>
  <c r="J299" i="4"/>
  <c r="K299" i="4"/>
  <c r="B300" i="4"/>
  <c r="C300" i="4"/>
  <c r="D300" i="4"/>
  <c r="E300" i="4"/>
  <c r="F300" i="4"/>
  <c r="G300" i="4"/>
  <c r="H300" i="4"/>
  <c r="I300" i="4"/>
  <c r="J300" i="4"/>
  <c r="K300" i="4"/>
  <c r="B301" i="4"/>
  <c r="C301" i="4"/>
  <c r="D301" i="4"/>
  <c r="E301" i="4"/>
  <c r="F301" i="4"/>
  <c r="G301" i="4"/>
  <c r="H301" i="4"/>
  <c r="I301" i="4"/>
  <c r="J301" i="4"/>
  <c r="K301" i="4"/>
  <c r="B302" i="4"/>
  <c r="C302" i="4"/>
  <c r="D302" i="4"/>
  <c r="E302" i="4"/>
  <c r="F302" i="4"/>
  <c r="G302" i="4"/>
  <c r="H302" i="4"/>
  <c r="I302" i="4"/>
  <c r="J302" i="4"/>
  <c r="K302" i="4"/>
  <c r="B303" i="4"/>
  <c r="C303" i="4"/>
  <c r="D303" i="4"/>
  <c r="E303" i="4"/>
  <c r="F303" i="4"/>
  <c r="G303" i="4"/>
  <c r="H303" i="4"/>
  <c r="I303" i="4"/>
  <c r="J303" i="4"/>
  <c r="K303" i="4"/>
  <c r="B304" i="4"/>
  <c r="C304" i="4"/>
  <c r="D304" i="4"/>
  <c r="E304" i="4"/>
  <c r="F304" i="4"/>
  <c r="G304" i="4"/>
  <c r="H304" i="4"/>
  <c r="I304" i="4"/>
  <c r="J304" i="4"/>
  <c r="K304" i="4"/>
  <c r="B305" i="4"/>
  <c r="C305" i="4"/>
  <c r="D305" i="4"/>
  <c r="E305" i="4"/>
  <c r="F305" i="4"/>
  <c r="G305" i="4"/>
  <c r="H305" i="4"/>
  <c r="I305" i="4"/>
  <c r="J305" i="4"/>
  <c r="K305" i="4"/>
  <c r="B306" i="4"/>
  <c r="C306" i="4"/>
  <c r="D306" i="4"/>
  <c r="E306" i="4"/>
  <c r="F306" i="4"/>
  <c r="G306" i="4"/>
  <c r="H306" i="4"/>
  <c r="I306" i="4"/>
  <c r="J306" i="4"/>
  <c r="K306" i="4"/>
  <c r="B307" i="4"/>
  <c r="C307" i="4"/>
  <c r="D307" i="4"/>
  <c r="E307" i="4"/>
  <c r="F307" i="4"/>
  <c r="G307" i="4"/>
  <c r="H307" i="4"/>
  <c r="I307" i="4"/>
  <c r="J307" i="4"/>
  <c r="K307" i="4"/>
  <c r="B308" i="4"/>
  <c r="C308" i="4"/>
  <c r="D308" i="4"/>
  <c r="E308" i="4"/>
  <c r="F308" i="4"/>
  <c r="G308" i="4"/>
  <c r="H308" i="4"/>
  <c r="I308" i="4"/>
  <c r="J308" i="4"/>
  <c r="K308" i="4"/>
  <c r="B309" i="4"/>
  <c r="C309" i="4"/>
  <c r="D309" i="4"/>
  <c r="E309" i="4"/>
  <c r="F309" i="4"/>
  <c r="G309" i="4"/>
  <c r="H309" i="4"/>
  <c r="I309" i="4"/>
  <c r="J309" i="4"/>
  <c r="K309" i="4"/>
  <c r="B310" i="4"/>
  <c r="C310" i="4"/>
  <c r="D310" i="4"/>
  <c r="E310" i="4"/>
  <c r="F310" i="4"/>
  <c r="G310" i="4"/>
  <c r="H310" i="4"/>
  <c r="I310" i="4"/>
  <c r="J310" i="4"/>
  <c r="K310" i="4"/>
  <c r="B311" i="4"/>
  <c r="C311" i="4"/>
  <c r="D311" i="4"/>
  <c r="E311" i="4"/>
  <c r="F311" i="4"/>
  <c r="G311" i="4"/>
  <c r="H311" i="4"/>
  <c r="I311" i="4"/>
  <c r="J311" i="4"/>
  <c r="K311" i="4"/>
  <c r="B312" i="4"/>
  <c r="C312" i="4"/>
  <c r="D312" i="4"/>
  <c r="E312" i="4"/>
  <c r="F312" i="4"/>
  <c r="G312" i="4"/>
  <c r="H312" i="4"/>
  <c r="I312" i="4"/>
  <c r="J312" i="4"/>
  <c r="K312" i="4"/>
  <c r="B313" i="4"/>
  <c r="C313" i="4"/>
  <c r="D313" i="4"/>
  <c r="E313" i="4"/>
  <c r="F313" i="4"/>
  <c r="G313" i="4"/>
  <c r="H313" i="4"/>
  <c r="I313" i="4"/>
  <c r="J313" i="4"/>
  <c r="K313" i="4"/>
  <c r="B314" i="4"/>
  <c r="C314" i="4"/>
  <c r="D314" i="4"/>
  <c r="E314" i="4"/>
  <c r="F314" i="4"/>
  <c r="G314" i="4"/>
  <c r="H314" i="4"/>
  <c r="I314" i="4"/>
  <c r="J314" i="4"/>
  <c r="K314" i="4"/>
  <c r="B315" i="4"/>
  <c r="C315" i="4"/>
  <c r="D315" i="4"/>
  <c r="E315" i="4"/>
  <c r="F315" i="4"/>
  <c r="G315" i="4"/>
  <c r="H315" i="4"/>
  <c r="I315" i="4"/>
  <c r="J315" i="4"/>
  <c r="K315" i="4"/>
  <c r="B316" i="4"/>
  <c r="C316" i="4"/>
  <c r="D316" i="4"/>
  <c r="E316" i="4"/>
  <c r="F316" i="4"/>
  <c r="G316" i="4"/>
  <c r="H316" i="4"/>
  <c r="I316" i="4"/>
  <c r="J316" i="4"/>
  <c r="K316" i="4"/>
  <c r="B317" i="4"/>
  <c r="C317" i="4"/>
  <c r="D317" i="4"/>
  <c r="E317" i="4"/>
  <c r="F317" i="4"/>
  <c r="G317" i="4"/>
  <c r="H317" i="4"/>
  <c r="I317" i="4"/>
  <c r="J317" i="4"/>
  <c r="K317" i="4"/>
  <c r="B318" i="4"/>
  <c r="C318" i="4"/>
  <c r="D318" i="4"/>
  <c r="E318" i="4"/>
  <c r="F318" i="4"/>
  <c r="G318" i="4"/>
  <c r="H318" i="4"/>
  <c r="I318" i="4"/>
  <c r="J318" i="4"/>
  <c r="K318" i="4"/>
  <c r="B319" i="4"/>
  <c r="C319" i="4"/>
  <c r="D319" i="4"/>
  <c r="E319" i="4"/>
  <c r="F319" i="4"/>
  <c r="G319" i="4"/>
  <c r="H319" i="4"/>
  <c r="I319" i="4"/>
  <c r="J319" i="4"/>
  <c r="K319" i="4"/>
  <c r="B320" i="4"/>
  <c r="C320" i="4"/>
  <c r="D320" i="4"/>
  <c r="E320" i="4"/>
  <c r="F320" i="4"/>
  <c r="G320" i="4"/>
  <c r="H320" i="4"/>
  <c r="I320" i="4"/>
  <c r="J320" i="4"/>
  <c r="K320" i="4"/>
  <c r="B321" i="4"/>
  <c r="C321" i="4"/>
  <c r="D321" i="4"/>
  <c r="E321" i="4"/>
  <c r="F321" i="4"/>
  <c r="G321" i="4"/>
  <c r="H321" i="4"/>
  <c r="I321" i="4"/>
  <c r="J321" i="4"/>
  <c r="K321" i="4"/>
  <c r="B322" i="4"/>
  <c r="C322" i="4"/>
  <c r="D322" i="4"/>
  <c r="E322" i="4"/>
  <c r="F322" i="4"/>
  <c r="G322" i="4"/>
  <c r="H322" i="4"/>
  <c r="I322" i="4"/>
  <c r="J322" i="4"/>
  <c r="K322" i="4"/>
  <c r="B323" i="4"/>
  <c r="C323" i="4"/>
  <c r="D323" i="4"/>
  <c r="E323" i="4"/>
  <c r="F323" i="4"/>
  <c r="G323" i="4"/>
  <c r="H323" i="4"/>
  <c r="I323" i="4"/>
  <c r="J323" i="4"/>
  <c r="K323" i="4"/>
  <c r="B324" i="4"/>
  <c r="C324" i="4"/>
  <c r="D324" i="4"/>
  <c r="E324" i="4"/>
  <c r="F324" i="4"/>
  <c r="G324" i="4"/>
  <c r="H324" i="4"/>
  <c r="I324" i="4"/>
  <c r="J324" i="4"/>
  <c r="K324" i="4"/>
  <c r="B325" i="4"/>
  <c r="C325" i="4"/>
  <c r="D325" i="4"/>
  <c r="E325" i="4"/>
  <c r="F325" i="4"/>
  <c r="G325" i="4"/>
  <c r="H325" i="4"/>
  <c r="I325" i="4"/>
  <c r="J325" i="4"/>
  <c r="K325" i="4"/>
  <c r="B326" i="4"/>
  <c r="C326" i="4"/>
  <c r="D326" i="4"/>
  <c r="E326" i="4"/>
  <c r="F326" i="4"/>
  <c r="G326" i="4"/>
  <c r="H326" i="4"/>
  <c r="I326" i="4"/>
  <c r="J326" i="4"/>
  <c r="K326" i="4"/>
  <c r="B327" i="4"/>
  <c r="C327" i="4"/>
  <c r="D327" i="4"/>
  <c r="E327" i="4"/>
  <c r="F327" i="4"/>
  <c r="G327" i="4"/>
  <c r="H327" i="4"/>
  <c r="I327" i="4"/>
  <c r="J327" i="4"/>
  <c r="K327" i="4"/>
  <c r="B328" i="4"/>
  <c r="C328" i="4"/>
  <c r="D328" i="4"/>
  <c r="E328" i="4"/>
  <c r="F328" i="4"/>
  <c r="G328" i="4"/>
  <c r="H328" i="4"/>
  <c r="I328" i="4"/>
  <c r="J328" i="4"/>
  <c r="K328" i="4"/>
  <c r="B329" i="4"/>
  <c r="C329" i="4"/>
  <c r="D329" i="4"/>
  <c r="E329" i="4"/>
  <c r="F329" i="4"/>
  <c r="G329" i="4"/>
  <c r="H329" i="4"/>
  <c r="I329" i="4"/>
  <c r="J329" i="4"/>
  <c r="K329" i="4"/>
  <c r="B330" i="4"/>
  <c r="C330" i="4"/>
  <c r="D330" i="4"/>
  <c r="E330" i="4"/>
  <c r="F330" i="4"/>
  <c r="G330" i="4"/>
  <c r="H330" i="4"/>
  <c r="I330" i="4"/>
  <c r="J330" i="4"/>
  <c r="K330" i="4"/>
  <c r="B331" i="4"/>
  <c r="C331" i="4"/>
  <c r="D331" i="4"/>
  <c r="E331" i="4"/>
  <c r="F331" i="4"/>
  <c r="G331" i="4"/>
  <c r="H331" i="4"/>
  <c r="I331" i="4"/>
  <c r="J331" i="4"/>
  <c r="K331" i="4"/>
  <c r="B332" i="4"/>
  <c r="C332" i="4"/>
  <c r="D332" i="4"/>
  <c r="E332" i="4"/>
  <c r="F332" i="4"/>
  <c r="G332" i="4"/>
  <c r="H332" i="4"/>
  <c r="I332" i="4"/>
  <c r="J332" i="4"/>
  <c r="K332" i="4"/>
  <c r="B333" i="4"/>
  <c r="C333" i="4"/>
  <c r="D333" i="4"/>
  <c r="E333" i="4"/>
  <c r="F333" i="4"/>
  <c r="G333" i="4"/>
  <c r="H333" i="4"/>
  <c r="I333" i="4"/>
  <c r="J333" i="4"/>
  <c r="K333" i="4"/>
  <c r="B334" i="4"/>
  <c r="C334" i="4"/>
  <c r="D334" i="4"/>
  <c r="E334" i="4"/>
  <c r="F334" i="4"/>
  <c r="G334" i="4"/>
  <c r="H334" i="4"/>
  <c r="I334" i="4"/>
  <c r="J334" i="4"/>
  <c r="K334" i="4"/>
  <c r="B335" i="4"/>
  <c r="C335" i="4"/>
  <c r="D335" i="4"/>
  <c r="E335" i="4"/>
  <c r="F335" i="4"/>
  <c r="G335" i="4"/>
  <c r="H335" i="4"/>
  <c r="I335" i="4"/>
  <c r="J335" i="4"/>
  <c r="K335" i="4"/>
  <c r="B336" i="4"/>
  <c r="C336" i="4"/>
  <c r="D336" i="4"/>
  <c r="E336" i="4"/>
  <c r="F336" i="4"/>
  <c r="G336" i="4"/>
  <c r="H336" i="4"/>
  <c r="I336" i="4"/>
  <c r="J336" i="4"/>
  <c r="K336" i="4"/>
  <c r="B337" i="4"/>
  <c r="C337" i="4"/>
  <c r="D337" i="4"/>
  <c r="E337" i="4"/>
  <c r="F337" i="4"/>
  <c r="G337" i="4"/>
  <c r="H337" i="4"/>
  <c r="I337" i="4"/>
  <c r="J337" i="4"/>
  <c r="K337" i="4"/>
  <c r="B338" i="4"/>
  <c r="C338" i="4"/>
  <c r="D338" i="4"/>
  <c r="E338" i="4"/>
  <c r="F338" i="4"/>
  <c r="G338" i="4"/>
  <c r="H338" i="4"/>
  <c r="I338" i="4"/>
  <c r="J338" i="4"/>
  <c r="K338" i="4"/>
  <c r="B339" i="4"/>
  <c r="C339" i="4"/>
  <c r="D339" i="4"/>
  <c r="E339" i="4"/>
  <c r="F339" i="4"/>
  <c r="G339" i="4"/>
  <c r="H339" i="4"/>
  <c r="I339" i="4"/>
  <c r="J339" i="4"/>
  <c r="K339" i="4"/>
  <c r="B340" i="4"/>
  <c r="C340" i="4"/>
  <c r="D340" i="4"/>
  <c r="E340" i="4"/>
  <c r="F340" i="4"/>
  <c r="G340" i="4"/>
  <c r="H340" i="4"/>
  <c r="I340" i="4"/>
  <c r="J340" i="4"/>
  <c r="K340" i="4"/>
  <c r="B341" i="4"/>
  <c r="C341" i="4"/>
  <c r="D341" i="4"/>
  <c r="E341" i="4"/>
  <c r="F341" i="4"/>
  <c r="G341" i="4"/>
  <c r="H341" i="4"/>
  <c r="I341" i="4"/>
  <c r="J341" i="4"/>
  <c r="K341" i="4"/>
  <c r="B342" i="4"/>
  <c r="C342" i="4"/>
  <c r="D342" i="4"/>
  <c r="E342" i="4"/>
  <c r="F342" i="4"/>
  <c r="G342" i="4"/>
  <c r="H342" i="4"/>
  <c r="I342" i="4"/>
  <c r="J342" i="4"/>
  <c r="K342" i="4"/>
  <c r="B343" i="4"/>
  <c r="C343" i="4"/>
  <c r="D343" i="4"/>
  <c r="E343" i="4"/>
  <c r="F343" i="4"/>
  <c r="G343" i="4"/>
  <c r="H343" i="4"/>
  <c r="I343" i="4"/>
  <c r="J343" i="4"/>
  <c r="K343" i="4"/>
  <c r="B344" i="4"/>
  <c r="C344" i="4"/>
  <c r="D344" i="4"/>
  <c r="E344" i="4"/>
  <c r="F344" i="4"/>
  <c r="G344" i="4"/>
  <c r="H344" i="4"/>
  <c r="I344" i="4"/>
  <c r="J344" i="4"/>
  <c r="K344" i="4"/>
  <c r="B345" i="4"/>
  <c r="C345" i="4"/>
  <c r="D345" i="4"/>
  <c r="E345" i="4"/>
  <c r="F345" i="4"/>
  <c r="G345" i="4"/>
  <c r="H345" i="4"/>
  <c r="I345" i="4"/>
  <c r="J345" i="4"/>
  <c r="K345" i="4"/>
  <c r="B346" i="4"/>
  <c r="C346" i="4"/>
  <c r="D346" i="4"/>
  <c r="E346" i="4"/>
  <c r="F346" i="4"/>
  <c r="G346" i="4"/>
  <c r="H346" i="4"/>
  <c r="I346" i="4"/>
  <c r="J346" i="4"/>
  <c r="K346" i="4"/>
  <c r="B347" i="4"/>
  <c r="C347" i="4"/>
  <c r="D347" i="4"/>
  <c r="E347" i="4"/>
  <c r="F347" i="4"/>
  <c r="G347" i="4"/>
  <c r="H347" i="4"/>
  <c r="I347" i="4"/>
  <c r="J347" i="4"/>
  <c r="K347" i="4"/>
  <c r="B348" i="4"/>
  <c r="C348" i="4"/>
  <c r="D348" i="4"/>
  <c r="E348" i="4"/>
  <c r="F348" i="4"/>
  <c r="G348" i="4"/>
  <c r="H348" i="4"/>
  <c r="I348" i="4"/>
  <c r="J348" i="4"/>
  <c r="K348" i="4"/>
  <c r="B349" i="4"/>
  <c r="C349" i="4"/>
  <c r="D349" i="4"/>
  <c r="E349" i="4"/>
  <c r="F349" i="4"/>
  <c r="G349" i="4"/>
  <c r="H349" i="4"/>
  <c r="I349" i="4"/>
  <c r="J349" i="4"/>
  <c r="K349" i="4"/>
  <c r="B350" i="4"/>
  <c r="C350" i="4"/>
  <c r="D350" i="4"/>
  <c r="E350" i="4"/>
  <c r="F350" i="4"/>
  <c r="G350" i="4"/>
  <c r="H350" i="4"/>
  <c r="I350" i="4"/>
  <c r="J350" i="4"/>
  <c r="K350" i="4"/>
  <c r="B351" i="4"/>
  <c r="C351" i="4"/>
  <c r="D351" i="4"/>
  <c r="E351" i="4"/>
  <c r="F351" i="4"/>
  <c r="G351" i="4"/>
  <c r="H351" i="4"/>
  <c r="I351" i="4"/>
  <c r="J351" i="4"/>
  <c r="K351" i="4"/>
  <c r="B352" i="4"/>
  <c r="C352" i="4"/>
  <c r="D352" i="4"/>
  <c r="E352" i="4"/>
  <c r="F352" i="4"/>
  <c r="G352" i="4"/>
  <c r="H352" i="4"/>
  <c r="I352" i="4"/>
  <c r="J352" i="4"/>
  <c r="K352" i="4"/>
  <c r="B353" i="4"/>
  <c r="C353" i="4"/>
  <c r="D353" i="4"/>
  <c r="E353" i="4"/>
  <c r="F353" i="4"/>
  <c r="G353" i="4"/>
  <c r="H353" i="4"/>
  <c r="I353" i="4"/>
  <c r="J353" i="4"/>
  <c r="K353" i="4"/>
  <c r="B354" i="4"/>
  <c r="C354" i="4"/>
  <c r="D354" i="4"/>
  <c r="E354" i="4"/>
  <c r="F354" i="4"/>
  <c r="G354" i="4"/>
  <c r="H354" i="4"/>
  <c r="I354" i="4"/>
  <c r="J354" i="4"/>
  <c r="K354" i="4"/>
  <c r="B355" i="4"/>
  <c r="C355" i="4"/>
  <c r="D355" i="4"/>
  <c r="E355" i="4"/>
  <c r="F355" i="4"/>
  <c r="G355" i="4"/>
  <c r="H355" i="4"/>
  <c r="I355" i="4"/>
  <c r="J355" i="4"/>
  <c r="K355" i="4"/>
  <c r="B356" i="4"/>
  <c r="C356" i="4"/>
  <c r="D356" i="4"/>
  <c r="E356" i="4"/>
  <c r="F356" i="4"/>
  <c r="G356" i="4"/>
  <c r="H356" i="4"/>
  <c r="I356" i="4"/>
  <c r="J356" i="4"/>
  <c r="K356" i="4"/>
  <c r="B357" i="4"/>
  <c r="C357" i="4"/>
  <c r="D357" i="4"/>
  <c r="E357" i="4"/>
  <c r="F357" i="4"/>
  <c r="G357" i="4"/>
  <c r="H357" i="4"/>
  <c r="I357" i="4"/>
  <c r="J357" i="4"/>
  <c r="K357" i="4"/>
  <c r="B358" i="4"/>
  <c r="C358" i="4"/>
  <c r="D358" i="4"/>
  <c r="E358" i="4"/>
  <c r="F358" i="4"/>
  <c r="G358" i="4"/>
  <c r="H358" i="4"/>
  <c r="I358" i="4"/>
  <c r="J358" i="4"/>
  <c r="K358" i="4"/>
  <c r="B359" i="4"/>
  <c r="C359" i="4"/>
  <c r="D359" i="4"/>
  <c r="E359" i="4"/>
  <c r="F359" i="4"/>
  <c r="G359" i="4"/>
  <c r="H359" i="4"/>
  <c r="I359" i="4"/>
  <c r="J359" i="4"/>
  <c r="K359" i="4"/>
  <c r="B360" i="4"/>
  <c r="C360" i="4"/>
  <c r="D360" i="4"/>
  <c r="E360" i="4"/>
  <c r="F360" i="4"/>
  <c r="G360" i="4"/>
  <c r="H360" i="4"/>
  <c r="I360" i="4"/>
  <c r="J360" i="4"/>
  <c r="K360" i="4"/>
  <c r="B361" i="4"/>
  <c r="C361" i="4"/>
  <c r="D361" i="4"/>
  <c r="E361" i="4"/>
  <c r="F361" i="4"/>
  <c r="G361" i="4"/>
  <c r="H361" i="4"/>
  <c r="I361" i="4"/>
  <c r="J361" i="4"/>
  <c r="K361" i="4"/>
  <c r="B362" i="4"/>
  <c r="C362" i="4"/>
  <c r="D362" i="4"/>
  <c r="E362" i="4"/>
  <c r="F362" i="4"/>
  <c r="G362" i="4"/>
  <c r="H362" i="4"/>
  <c r="I362" i="4"/>
  <c r="J362" i="4"/>
  <c r="K362" i="4"/>
  <c r="B363" i="4"/>
  <c r="C363" i="4"/>
  <c r="D363" i="4"/>
  <c r="E363" i="4"/>
  <c r="F363" i="4"/>
  <c r="G363" i="4"/>
  <c r="H363" i="4"/>
  <c r="I363" i="4"/>
  <c r="J363" i="4"/>
  <c r="K363" i="4"/>
  <c r="B364" i="4"/>
  <c r="C364" i="4"/>
  <c r="D364" i="4"/>
  <c r="E364" i="4"/>
  <c r="F364" i="4"/>
  <c r="G364" i="4"/>
  <c r="H364" i="4"/>
  <c r="I364" i="4"/>
  <c r="J364" i="4"/>
  <c r="K364" i="4"/>
  <c r="B365" i="4"/>
  <c r="C365" i="4"/>
  <c r="D365" i="4"/>
  <c r="E365" i="4"/>
  <c r="F365" i="4"/>
  <c r="G365" i="4"/>
  <c r="H365" i="4"/>
  <c r="I365" i="4"/>
  <c r="J365" i="4"/>
  <c r="K365" i="4"/>
  <c r="B366" i="4"/>
  <c r="C366" i="4"/>
  <c r="D366" i="4"/>
  <c r="E366" i="4"/>
  <c r="F366" i="4"/>
  <c r="G366" i="4"/>
  <c r="H366" i="4"/>
  <c r="I366" i="4"/>
  <c r="J366" i="4"/>
  <c r="K366" i="4"/>
  <c r="B367" i="4"/>
  <c r="C367" i="4"/>
  <c r="D367" i="4"/>
  <c r="E367" i="4"/>
  <c r="F367" i="4"/>
  <c r="G367" i="4"/>
  <c r="H367" i="4"/>
  <c r="I367" i="4"/>
  <c r="J367" i="4"/>
  <c r="K367" i="4"/>
  <c r="B368" i="4"/>
  <c r="C368" i="4"/>
  <c r="D368" i="4"/>
  <c r="E368" i="4"/>
  <c r="F368" i="4"/>
  <c r="G368" i="4"/>
  <c r="H368" i="4"/>
  <c r="I368" i="4"/>
  <c r="J368" i="4"/>
  <c r="K368" i="4"/>
  <c r="B369" i="4"/>
  <c r="C369" i="4"/>
  <c r="D369" i="4"/>
  <c r="E369" i="4"/>
  <c r="F369" i="4"/>
  <c r="G369" i="4"/>
  <c r="H369" i="4"/>
  <c r="I369" i="4"/>
  <c r="J369" i="4"/>
  <c r="K369" i="4"/>
  <c r="B370" i="4"/>
  <c r="C370" i="4"/>
  <c r="D370" i="4"/>
  <c r="E370" i="4"/>
  <c r="F370" i="4"/>
  <c r="G370" i="4"/>
  <c r="H370" i="4"/>
  <c r="I370" i="4"/>
  <c r="J370" i="4"/>
  <c r="K370" i="4"/>
  <c r="B371" i="4"/>
  <c r="C371" i="4"/>
  <c r="D371" i="4"/>
  <c r="E371" i="4"/>
  <c r="F371" i="4"/>
  <c r="G371" i="4"/>
  <c r="H371" i="4"/>
  <c r="I371" i="4"/>
  <c r="J371" i="4"/>
  <c r="K371" i="4"/>
  <c r="B372" i="4"/>
  <c r="C372" i="4"/>
  <c r="D372" i="4"/>
  <c r="E372" i="4"/>
  <c r="F372" i="4"/>
  <c r="G372" i="4"/>
  <c r="H372" i="4"/>
  <c r="I372" i="4"/>
  <c r="J372" i="4"/>
  <c r="K372" i="4"/>
  <c r="B373" i="4"/>
  <c r="C373" i="4"/>
  <c r="D373" i="4"/>
  <c r="E373" i="4"/>
  <c r="F373" i="4"/>
  <c r="G373" i="4"/>
  <c r="H373" i="4"/>
  <c r="I373" i="4"/>
  <c r="J373" i="4"/>
  <c r="K373" i="4"/>
  <c r="B374" i="4"/>
  <c r="C374" i="4"/>
  <c r="D374" i="4"/>
  <c r="E374" i="4"/>
  <c r="F374" i="4"/>
  <c r="G374" i="4"/>
  <c r="H374" i="4"/>
  <c r="I374" i="4"/>
  <c r="J374" i="4"/>
  <c r="K374" i="4"/>
  <c r="B375" i="4"/>
  <c r="C375" i="4"/>
  <c r="D375" i="4"/>
  <c r="E375" i="4"/>
  <c r="F375" i="4"/>
  <c r="G375" i="4"/>
  <c r="H375" i="4"/>
  <c r="I375" i="4"/>
  <c r="J375" i="4"/>
  <c r="K375" i="4"/>
  <c r="B376" i="4"/>
  <c r="C376" i="4"/>
  <c r="D376" i="4"/>
  <c r="E376" i="4"/>
  <c r="F376" i="4"/>
  <c r="G376" i="4"/>
  <c r="H376" i="4"/>
  <c r="I376" i="4"/>
  <c r="J376" i="4"/>
  <c r="K376" i="4"/>
  <c r="B377" i="4"/>
  <c r="C377" i="4"/>
  <c r="D377" i="4"/>
  <c r="E377" i="4"/>
  <c r="F377" i="4"/>
  <c r="G377" i="4"/>
  <c r="H377" i="4"/>
  <c r="I377" i="4"/>
  <c r="J377" i="4"/>
  <c r="K377" i="4"/>
  <c r="B378" i="4"/>
  <c r="C378" i="4"/>
  <c r="D378" i="4"/>
  <c r="E378" i="4"/>
  <c r="F378" i="4"/>
  <c r="G378" i="4"/>
  <c r="H378" i="4"/>
  <c r="I378" i="4"/>
  <c r="J378" i="4"/>
  <c r="K378" i="4"/>
  <c r="B379" i="4"/>
  <c r="C379" i="4"/>
  <c r="D379" i="4"/>
  <c r="E379" i="4"/>
  <c r="F379" i="4"/>
  <c r="G379" i="4"/>
  <c r="H379" i="4"/>
  <c r="I379" i="4"/>
  <c r="J379" i="4"/>
  <c r="K379" i="4"/>
  <c r="B380" i="4"/>
  <c r="C380" i="4"/>
  <c r="D380" i="4"/>
  <c r="E380" i="4"/>
  <c r="F380" i="4"/>
  <c r="G380" i="4"/>
  <c r="H380" i="4"/>
  <c r="I380" i="4"/>
  <c r="J380" i="4"/>
  <c r="K380" i="4"/>
  <c r="B381" i="4"/>
  <c r="C381" i="4"/>
  <c r="D381" i="4"/>
  <c r="E381" i="4"/>
  <c r="F381" i="4"/>
  <c r="G381" i="4"/>
  <c r="H381" i="4"/>
  <c r="I381" i="4"/>
  <c r="J381" i="4"/>
  <c r="K381" i="4"/>
  <c r="B382" i="4"/>
  <c r="C382" i="4"/>
  <c r="D382" i="4"/>
  <c r="E382" i="4"/>
  <c r="F382" i="4"/>
  <c r="G382" i="4"/>
  <c r="H382" i="4"/>
  <c r="I382" i="4"/>
  <c r="J382" i="4"/>
  <c r="K382" i="4"/>
  <c r="B383" i="4"/>
  <c r="C383" i="4"/>
  <c r="D383" i="4"/>
  <c r="E383" i="4"/>
  <c r="F383" i="4"/>
  <c r="G383" i="4"/>
  <c r="H383" i="4"/>
  <c r="I383" i="4"/>
  <c r="J383" i="4"/>
  <c r="K383" i="4"/>
  <c r="B384" i="4"/>
  <c r="C384" i="4"/>
  <c r="D384" i="4"/>
  <c r="E384" i="4"/>
  <c r="F384" i="4"/>
  <c r="G384" i="4"/>
  <c r="H384" i="4"/>
  <c r="I384" i="4"/>
  <c r="J384" i="4"/>
  <c r="K384" i="4"/>
  <c r="B385" i="4"/>
  <c r="C385" i="4"/>
  <c r="D385" i="4"/>
  <c r="E385" i="4"/>
  <c r="F385" i="4"/>
  <c r="G385" i="4"/>
  <c r="H385" i="4"/>
  <c r="I385" i="4"/>
  <c r="J385" i="4"/>
  <c r="K385" i="4"/>
  <c r="B386" i="4"/>
  <c r="C386" i="4"/>
  <c r="D386" i="4"/>
  <c r="E386" i="4"/>
  <c r="F386" i="4"/>
  <c r="G386" i="4"/>
  <c r="H386" i="4"/>
  <c r="I386" i="4"/>
  <c r="J386" i="4"/>
  <c r="K386" i="4"/>
  <c r="B387" i="4"/>
  <c r="C387" i="4"/>
  <c r="D387" i="4"/>
  <c r="E387" i="4"/>
  <c r="F387" i="4"/>
  <c r="G387" i="4"/>
  <c r="H387" i="4"/>
  <c r="I387" i="4"/>
  <c r="J387" i="4"/>
  <c r="K387" i="4"/>
  <c r="B388" i="4"/>
  <c r="C388" i="4"/>
  <c r="D388" i="4"/>
  <c r="E388" i="4"/>
  <c r="F388" i="4"/>
  <c r="G388" i="4"/>
  <c r="H388" i="4"/>
  <c r="I388" i="4"/>
  <c r="J388" i="4"/>
  <c r="K388" i="4"/>
  <c r="B389" i="4"/>
  <c r="C389" i="4"/>
  <c r="D389" i="4"/>
  <c r="E389" i="4"/>
  <c r="F389" i="4"/>
  <c r="G389" i="4"/>
  <c r="H389" i="4"/>
  <c r="I389" i="4"/>
  <c r="J389" i="4"/>
  <c r="K389" i="4"/>
  <c r="B390" i="4"/>
  <c r="C390" i="4"/>
  <c r="D390" i="4"/>
  <c r="E390" i="4"/>
  <c r="F390" i="4"/>
  <c r="G390" i="4"/>
  <c r="H390" i="4"/>
  <c r="I390" i="4"/>
  <c r="J390" i="4"/>
  <c r="K390" i="4"/>
  <c r="B391" i="4"/>
  <c r="C391" i="4"/>
  <c r="D391" i="4"/>
  <c r="E391" i="4"/>
  <c r="F391" i="4"/>
  <c r="G391" i="4"/>
  <c r="H391" i="4"/>
  <c r="I391" i="4"/>
  <c r="J391" i="4"/>
  <c r="K391" i="4"/>
  <c r="B392" i="4"/>
  <c r="C392" i="4"/>
  <c r="D392" i="4"/>
  <c r="E392" i="4"/>
  <c r="F392" i="4"/>
  <c r="G392" i="4"/>
  <c r="H392" i="4"/>
  <c r="I392" i="4"/>
  <c r="J392" i="4"/>
  <c r="K392" i="4"/>
  <c r="B393" i="4"/>
  <c r="C393" i="4"/>
  <c r="D393" i="4"/>
  <c r="E393" i="4"/>
  <c r="F393" i="4"/>
  <c r="G393" i="4"/>
  <c r="H393" i="4"/>
  <c r="I393" i="4"/>
  <c r="J393" i="4"/>
  <c r="K393" i="4"/>
  <c r="B394" i="4"/>
  <c r="C394" i="4"/>
  <c r="D394" i="4"/>
  <c r="E394" i="4"/>
  <c r="F394" i="4"/>
  <c r="G394" i="4"/>
  <c r="H394" i="4"/>
  <c r="I394" i="4"/>
  <c r="J394" i="4"/>
  <c r="K394" i="4"/>
  <c r="B395" i="4"/>
  <c r="C395" i="4"/>
  <c r="D395" i="4"/>
  <c r="E395" i="4"/>
  <c r="F395" i="4"/>
  <c r="G395" i="4"/>
  <c r="H395" i="4"/>
  <c r="I395" i="4"/>
  <c r="J395" i="4"/>
  <c r="K395" i="4"/>
  <c r="B396" i="4"/>
  <c r="C396" i="4"/>
  <c r="D396" i="4"/>
  <c r="E396" i="4"/>
  <c r="F396" i="4"/>
  <c r="G396" i="4"/>
  <c r="H396" i="4"/>
  <c r="I396" i="4"/>
  <c r="J396" i="4"/>
  <c r="K396" i="4"/>
  <c r="B397" i="4"/>
  <c r="C397" i="4"/>
  <c r="D397" i="4"/>
  <c r="E397" i="4"/>
  <c r="F397" i="4"/>
  <c r="G397" i="4"/>
  <c r="H397" i="4"/>
  <c r="I397" i="4"/>
  <c r="J397" i="4"/>
  <c r="K397" i="4"/>
  <c r="B398" i="4"/>
  <c r="C398" i="4"/>
  <c r="D398" i="4"/>
  <c r="E398" i="4"/>
  <c r="F398" i="4"/>
  <c r="G398" i="4"/>
  <c r="H398" i="4"/>
  <c r="I398" i="4"/>
  <c r="J398" i="4"/>
  <c r="K398" i="4"/>
  <c r="B399" i="4"/>
  <c r="C399" i="4"/>
  <c r="D399" i="4"/>
  <c r="E399" i="4"/>
  <c r="F399" i="4"/>
  <c r="G399" i="4"/>
  <c r="H399" i="4"/>
  <c r="I399" i="4"/>
  <c r="J399" i="4"/>
  <c r="K399" i="4"/>
  <c r="B400" i="4"/>
  <c r="C400" i="4"/>
  <c r="D400" i="4"/>
  <c r="E400" i="4"/>
  <c r="F400" i="4"/>
  <c r="G400" i="4"/>
  <c r="H400" i="4"/>
  <c r="I400" i="4"/>
  <c r="J400" i="4"/>
  <c r="K400" i="4"/>
  <c r="B401" i="4"/>
  <c r="C401" i="4"/>
  <c r="D401" i="4"/>
  <c r="E401" i="4"/>
  <c r="F401" i="4"/>
  <c r="G401" i="4"/>
  <c r="H401" i="4"/>
  <c r="I401" i="4"/>
  <c r="J401" i="4"/>
  <c r="K401" i="4"/>
  <c r="B402" i="4"/>
  <c r="C402" i="4"/>
  <c r="D402" i="4"/>
  <c r="E402" i="4"/>
  <c r="F402" i="4"/>
  <c r="G402" i="4"/>
  <c r="H402" i="4"/>
  <c r="I402" i="4"/>
  <c r="J402" i="4"/>
  <c r="K402" i="4"/>
  <c r="B403" i="4"/>
  <c r="C403" i="4"/>
  <c r="D403" i="4"/>
  <c r="E403" i="4"/>
  <c r="F403" i="4"/>
  <c r="G403" i="4"/>
  <c r="H403" i="4"/>
  <c r="I403" i="4"/>
  <c r="J403" i="4"/>
  <c r="K403" i="4"/>
  <c r="B404" i="4"/>
  <c r="C404" i="4"/>
  <c r="D404" i="4"/>
  <c r="E404" i="4"/>
  <c r="F404" i="4"/>
  <c r="G404" i="4"/>
  <c r="H404" i="4"/>
  <c r="I404" i="4"/>
  <c r="J404" i="4"/>
  <c r="K404" i="4"/>
  <c r="B405" i="4"/>
  <c r="C405" i="4"/>
  <c r="D405" i="4"/>
  <c r="E405" i="4"/>
  <c r="F405" i="4"/>
  <c r="G405" i="4"/>
  <c r="H405" i="4"/>
  <c r="I405" i="4"/>
  <c r="J405" i="4"/>
  <c r="K405" i="4"/>
  <c r="B406" i="4"/>
  <c r="C406" i="4"/>
  <c r="D406" i="4"/>
  <c r="E406" i="4"/>
  <c r="F406" i="4"/>
  <c r="G406" i="4"/>
  <c r="H406" i="4"/>
  <c r="I406" i="4"/>
  <c r="J406" i="4"/>
  <c r="K406" i="4"/>
  <c r="B407" i="4"/>
  <c r="C407" i="4"/>
  <c r="D407" i="4"/>
  <c r="E407" i="4"/>
  <c r="F407" i="4"/>
  <c r="G407" i="4"/>
  <c r="H407" i="4"/>
  <c r="I407" i="4"/>
  <c r="J407" i="4"/>
  <c r="K407" i="4"/>
  <c r="B408" i="4"/>
  <c r="C408" i="4"/>
  <c r="D408" i="4"/>
  <c r="E408" i="4"/>
  <c r="F408" i="4"/>
  <c r="G408" i="4"/>
  <c r="H408" i="4"/>
  <c r="I408" i="4"/>
  <c r="J408" i="4"/>
  <c r="K408" i="4"/>
  <c r="B409" i="4"/>
  <c r="C409" i="4"/>
  <c r="D409" i="4"/>
  <c r="E409" i="4"/>
  <c r="F409" i="4"/>
  <c r="G409" i="4"/>
  <c r="H409" i="4"/>
  <c r="I409" i="4"/>
  <c r="J409" i="4"/>
  <c r="K409" i="4"/>
  <c r="B410" i="4"/>
  <c r="C410" i="4"/>
  <c r="D410" i="4"/>
  <c r="E410" i="4"/>
  <c r="F410" i="4"/>
  <c r="G410" i="4"/>
  <c r="H410" i="4"/>
  <c r="I410" i="4"/>
  <c r="J410" i="4"/>
  <c r="K410" i="4"/>
  <c r="B411" i="4"/>
  <c r="C411" i="4"/>
  <c r="D411" i="4"/>
  <c r="E411" i="4"/>
  <c r="F411" i="4"/>
  <c r="G411" i="4"/>
  <c r="H411" i="4"/>
  <c r="I411" i="4"/>
  <c r="J411" i="4"/>
  <c r="K411" i="4"/>
  <c r="B412" i="4"/>
  <c r="C412" i="4"/>
  <c r="D412" i="4"/>
  <c r="E412" i="4"/>
  <c r="F412" i="4"/>
  <c r="G412" i="4"/>
  <c r="H412" i="4"/>
  <c r="I412" i="4"/>
  <c r="J412" i="4"/>
  <c r="K412" i="4"/>
  <c r="B413" i="4"/>
  <c r="C413" i="4"/>
  <c r="D413" i="4"/>
  <c r="E413" i="4"/>
  <c r="F413" i="4"/>
  <c r="G413" i="4"/>
  <c r="H413" i="4"/>
  <c r="I413" i="4"/>
  <c r="J413" i="4"/>
  <c r="K413" i="4"/>
  <c r="B414" i="4"/>
  <c r="C414" i="4"/>
  <c r="D414" i="4"/>
  <c r="E414" i="4"/>
  <c r="F414" i="4"/>
  <c r="G414" i="4"/>
  <c r="H414" i="4"/>
  <c r="I414" i="4"/>
  <c r="J414" i="4"/>
  <c r="K414" i="4"/>
  <c r="B415" i="4"/>
  <c r="C415" i="4"/>
  <c r="D415" i="4"/>
  <c r="E415" i="4"/>
  <c r="F415" i="4"/>
  <c r="G415" i="4"/>
  <c r="H415" i="4"/>
  <c r="I415" i="4"/>
  <c r="J415" i="4"/>
  <c r="K415" i="4"/>
  <c r="B416" i="4"/>
  <c r="C416" i="4"/>
  <c r="D416" i="4"/>
  <c r="E416" i="4"/>
  <c r="F416" i="4"/>
  <c r="G416" i="4"/>
  <c r="H416" i="4"/>
  <c r="I416" i="4"/>
  <c r="J416" i="4"/>
  <c r="K416" i="4"/>
  <c r="B417" i="4"/>
  <c r="C417" i="4"/>
  <c r="D417" i="4"/>
  <c r="E417" i="4"/>
  <c r="F417" i="4"/>
  <c r="G417" i="4"/>
  <c r="H417" i="4"/>
  <c r="I417" i="4"/>
  <c r="J417" i="4"/>
  <c r="K417" i="4"/>
  <c r="B418" i="4"/>
  <c r="C418" i="4"/>
  <c r="D418" i="4"/>
  <c r="E418" i="4"/>
  <c r="F418" i="4"/>
  <c r="G418" i="4"/>
  <c r="H418" i="4"/>
  <c r="I418" i="4"/>
  <c r="J418" i="4"/>
  <c r="K418" i="4"/>
  <c r="B419" i="4"/>
  <c r="C419" i="4"/>
  <c r="D419" i="4"/>
  <c r="E419" i="4"/>
  <c r="F419" i="4"/>
  <c r="G419" i="4"/>
  <c r="H419" i="4"/>
  <c r="I419" i="4"/>
  <c r="J419" i="4"/>
  <c r="K419" i="4"/>
  <c r="B420" i="4"/>
  <c r="C420" i="4"/>
  <c r="D420" i="4"/>
  <c r="E420" i="4"/>
  <c r="F420" i="4"/>
  <c r="G420" i="4"/>
  <c r="H420" i="4"/>
  <c r="I420" i="4"/>
  <c r="J420" i="4"/>
  <c r="K420" i="4"/>
  <c r="B421" i="4"/>
  <c r="C421" i="4"/>
  <c r="D421" i="4"/>
  <c r="E421" i="4"/>
  <c r="F421" i="4"/>
  <c r="G421" i="4"/>
  <c r="H421" i="4"/>
  <c r="I421" i="4"/>
  <c r="J421" i="4"/>
  <c r="K421" i="4"/>
  <c r="B422" i="4"/>
  <c r="C422" i="4"/>
  <c r="D422" i="4"/>
  <c r="E422" i="4"/>
  <c r="F422" i="4"/>
  <c r="G422" i="4"/>
  <c r="H422" i="4"/>
  <c r="I422" i="4"/>
  <c r="J422" i="4"/>
  <c r="K422" i="4"/>
  <c r="B423" i="4"/>
  <c r="C423" i="4"/>
  <c r="D423" i="4"/>
  <c r="E423" i="4"/>
  <c r="F423" i="4"/>
  <c r="G423" i="4"/>
  <c r="H423" i="4"/>
  <c r="I423" i="4"/>
  <c r="J423" i="4"/>
  <c r="K423" i="4"/>
  <c r="B424" i="4"/>
  <c r="C424" i="4"/>
  <c r="D424" i="4"/>
  <c r="E424" i="4"/>
  <c r="F424" i="4"/>
  <c r="G424" i="4"/>
  <c r="H424" i="4"/>
  <c r="I424" i="4"/>
  <c r="J424" i="4"/>
  <c r="K424" i="4"/>
  <c r="B425" i="4"/>
  <c r="C425" i="4"/>
  <c r="D425" i="4"/>
  <c r="E425" i="4"/>
  <c r="F425" i="4"/>
  <c r="G425" i="4"/>
  <c r="H425" i="4"/>
  <c r="I425" i="4"/>
  <c r="J425" i="4"/>
  <c r="K425" i="4"/>
  <c r="B426" i="4"/>
  <c r="C426" i="4"/>
  <c r="D426" i="4"/>
  <c r="E426" i="4"/>
  <c r="F426" i="4"/>
  <c r="G426" i="4"/>
  <c r="H426" i="4"/>
  <c r="I426" i="4"/>
  <c r="J426" i="4"/>
  <c r="K426" i="4"/>
  <c r="B427" i="4"/>
  <c r="C427" i="4"/>
  <c r="D427" i="4"/>
  <c r="E427" i="4"/>
  <c r="F427" i="4"/>
  <c r="G427" i="4"/>
  <c r="H427" i="4"/>
  <c r="I427" i="4"/>
  <c r="J427" i="4"/>
  <c r="K427" i="4"/>
  <c r="B428" i="4"/>
  <c r="C428" i="4"/>
  <c r="D428" i="4"/>
  <c r="E428" i="4"/>
  <c r="F428" i="4"/>
  <c r="G428" i="4"/>
  <c r="H428" i="4"/>
  <c r="I428" i="4"/>
  <c r="J428" i="4"/>
  <c r="K428" i="4"/>
  <c r="B429" i="4"/>
  <c r="C429" i="4"/>
  <c r="D429" i="4"/>
  <c r="E429" i="4"/>
  <c r="F429" i="4"/>
  <c r="G429" i="4"/>
  <c r="H429" i="4"/>
  <c r="I429" i="4"/>
  <c r="J429" i="4"/>
  <c r="K429" i="4"/>
  <c r="B430" i="4"/>
  <c r="C430" i="4"/>
  <c r="D430" i="4"/>
  <c r="E430" i="4"/>
  <c r="F430" i="4"/>
  <c r="G430" i="4"/>
  <c r="H430" i="4"/>
  <c r="I430" i="4"/>
  <c r="J430" i="4"/>
  <c r="K430" i="4"/>
  <c r="B431" i="4"/>
  <c r="C431" i="4"/>
  <c r="D431" i="4"/>
  <c r="E431" i="4"/>
  <c r="F431" i="4"/>
  <c r="G431" i="4"/>
  <c r="H431" i="4"/>
  <c r="I431" i="4"/>
  <c r="J431" i="4"/>
  <c r="K431" i="4"/>
  <c r="B432" i="4"/>
  <c r="C432" i="4"/>
  <c r="D432" i="4"/>
  <c r="E432" i="4"/>
  <c r="F432" i="4"/>
  <c r="G432" i="4"/>
  <c r="H432" i="4"/>
  <c r="I432" i="4"/>
  <c r="J432" i="4"/>
  <c r="K432" i="4"/>
  <c r="B433" i="4"/>
  <c r="C433" i="4"/>
  <c r="D433" i="4"/>
  <c r="E433" i="4"/>
  <c r="F433" i="4"/>
  <c r="G433" i="4"/>
  <c r="H433" i="4"/>
  <c r="I433" i="4"/>
  <c r="J433" i="4"/>
  <c r="K433" i="4"/>
  <c r="B434" i="4"/>
  <c r="C434" i="4"/>
  <c r="D434" i="4"/>
  <c r="E434" i="4"/>
  <c r="F434" i="4"/>
  <c r="G434" i="4"/>
  <c r="H434" i="4"/>
  <c r="I434" i="4"/>
  <c r="J434" i="4"/>
  <c r="K434" i="4"/>
  <c r="B435" i="4"/>
  <c r="C435" i="4"/>
  <c r="D435" i="4"/>
  <c r="E435" i="4"/>
  <c r="F435" i="4"/>
  <c r="G435" i="4"/>
  <c r="H435" i="4"/>
  <c r="I435" i="4"/>
  <c r="J435" i="4"/>
  <c r="K435" i="4"/>
  <c r="B436" i="4"/>
  <c r="C436" i="4"/>
  <c r="D436" i="4"/>
  <c r="E436" i="4"/>
  <c r="F436" i="4"/>
  <c r="G436" i="4"/>
  <c r="H436" i="4"/>
  <c r="I436" i="4"/>
  <c r="J436" i="4"/>
  <c r="K436" i="4"/>
  <c r="B437" i="4"/>
  <c r="C437" i="4"/>
  <c r="D437" i="4"/>
  <c r="E437" i="4"/>
  <c r="F437" i="4"/>
  <c r="G437" i="4"/>
  <c r="H437" i="4"/>
  <c r="I437" i="4"/>
  <c r="J437" i="4"/>
  <c r="K437" i="4"/>
  <c r="B438" i="4"/>
  <c r="C438" i="4"/>
  <c r="D438" i="4"/>
  <c r="E438" i="4"/>
  <c r="F438" i="4"/>
  <c r="G438" i="4"/>
  <c r="H438" i="4"/>
  <c r="I438" i="4"/>
  <c r="J438" i="4"/>
  <c r="K438" i="4"/>
  <c r="B439" i="4"/>
  <c r="C439" i="4"/>
  <c r="D439" i="4"/>
  <c r="E439" i="4"/>
  <c r="F439" i="4"/>
  <c r="G439" i="4"/>
  <c r="H439" i="4"/>
  <c r="I439" i="4"/>
  <c r="J439" i="4"/>
  <c r="K439" i="4"/>
  <c r="B440" i="4"/>
  <c r="C440" i="4"/>
  <c r="D440" i="4"/>
  <c r="E440" i="4"/>
  <c r="F440" i="4"/>
  <c r="G440" i="4"/>
  <c r="H440" i="4"/>
  <c r="I440" i="4"/>
  <c r="J440" i="4"/>
  <c r="K440" i="4"/>
  <c r="B441" i="4"/>
  <c r="C441" i="4"/>
  <c r="D441" i="4"/>
  <c r="E441" i="4"/>
  <c r="F441" i="4"/>
  <c r="G441" i="4"/>
  <c r="H441" i="4"/>
  <c r="I441" i="4"/>
  <c r="J441" i="4"/>
  <c r="K441" i="4"/>
  <c r="B442" i="4"/>
  <c r="C442" i="4"/>
  <c r="D442" i="4"/>
  <c r="E442" i="4"/>
  <c r="F442" i="4"/>
  <c r="G442" i="4"/>
  <c r="H442" i="4"/>
  <c r="I442" i="4"/>
  <c r="J442" i="4"/>
  <c r="K442" i="4"/>
  <c r="B443" i="4"/>
  <c r="C443" i="4"/>
  <c r="D443" i="4"/>
  <c r="E443" i="4"/>
  <c r="F443" i="4"/>
  <c r="G443" i="4"/>
  <c r="H443" i="4"/>
  <c r="I443" i="4"/>
  <c r="J443" i="4"/>
  <c r="K443" i="4"/>
  <c r="B444" i="4"/>
  <c r="C444" i="4"/>
  <c r="D444" i="4"/>
  <c r="E444" i="4"/>
  <c r="F444" i="4"/>
  <c r="G444" i="4"/>
  <c r="H444" i="4"/>
  <c r="I444" i="4"/>
  <c r="J444" i="4"/>
  <c r="K444" i="4"/>
  <c r="B445" i="4"/>
  <c r="C445" i="4"/>
  <c r="D445" i="4"/>
  <c r="E445" i="4"/>
  <c r="F445" i="4"/>
  <c r="G445" i="4"/>
  <c r="H445" i="4"/>
  <c r="I445" i="4"/>
  <c r="J445" i="4"/>
  <c r="K445" i="4"/>
  <c r="B446" i="4"/>
  <c r="C446" i="4"/>
  <c r="D446" i="4"/>
  <c r="E446" i="4"/>
  <c r="F446" i="4"/>
  <c r="G446" i="4"/>
  <c r="H446" i="4"/>
  <c r="I446" i="4"/>
  <c r="J446" i="4"/>
  <c r="K446" i="4"/>
  <c r="B447" i="4"/>
  <c r="C447" i="4"/>
  <c r="D447" i="4"/>
  <c r="E447" i="4"/>
  <c r="F447" i="4"/>
  <c r="G447" i="4"/>
  <c r="H447" i="4"/>
  <c r="I447" i="4"/>
  <c r="J447" i="4"/>
  <c r="K447" i="4"/>
  <c r="B448" i="4"/>
  <c r="C448" i="4"/>
  <c r="D448" i="4"/>
  <c r="E448" i="4"/>
  <c r="F448" i="4"/>
  <c r="G448" i="4"/>
  <c r="H448" i="4"/>
  <c r="I448" i="4"/>
  <c r="J448" i="4"/>
  <c r="K448" i="4"/>
  <c r="B449" i="4"/>
  <c r="C449" i="4"/>
  <c r="D449" i="4"/>
  <c r="E449" i="4"/>
  <c r="F449" i="4"/>
  <c r="G449" i="4"/>
  <c r="H449" i="4"/>
  <c r="I449" i="4"/>
  <c r="J449" i="4"/>
  <c r="K449" i="4"/>
  <c r="B450" i="4"/>
  <c r="C450" i="4"/>
  <c r="D450" i="4"/>
  <c r="E450" i="4"/>
  <c r="F450" i="4"/>
  <c r="G450" i="4"/>
  <c r="H450" i="4"/>
  <c r="I450" i="4"/>
  <c r="J450" i="4"/>
  <c r="K450" i="4"/>
  <c r="B451" i="4"/>
  <c r="C451" i="4"/>
  <c r="D451" i="4"/>
  <c r="E451" i="4"/>
  <c r="F451" i="4"/>
  <c r="G451" i="4"/>
  <c r="H451" i="4"/>
  <c r="I451" i="4"/>
  <c r="J451" i="4"/>
  <c r="K451" i="4"/>
  <c r="B452" i="4"/>
  <c r="C452" i="4"/>
  <c r="D452" i="4"/>
  <c r="E452" i="4"/>
  <c r="F452" i="4"/>
  <c r="G452" i="4"/>
  <c r="H452" i="4"/>
  <c r="I452" i="4"/>
  <c r="J452" i="4"/>
  <c r="K452" i="4"/>
  <c r="B453" i="4"/>
  <c r="C453" i="4"/>
  <c r="D453" i="4"/>
  <c r="E453" i="4"/>
  <c r="F453" i="4"/>
  <c r="G453" i="4"/>
  <c r="H453" i="4"/>
  <c r="I453" i="4"/>
  <c r="J453" i="4"/>
  <c r="K453" i="4"/>
  <c r="B454" i="4"/>
  <c r="C454" i="4"/>
  <c r="D454" i="4"/>
  <c r="E454" i="4"/>
  <c r="F454" i="4"/>
  <c r="G454" i="4"/>
  <c r="H454" i="4"/>
  <c r="I454" i="4"/>
  <c r="J454" i="4"/>
  <c r="K454" i="4"/>
  <c r="B455" i="4"/>
  <c r="C455" i="4"/>
  <c r="D455" i="4"/>
  <c r="E455" i="4"/>
  <c r="F455" i="4"/>
  <c r="G455" i="4"/>
  <c r="H455" i="4"/>
  <c r="I455" i="4"/>
  <c r="J455" i="4"/>
  <c r="K455" i="4"/>
  <c r="B456" i="4"/>
  <c r="C456" i="4"/>
  <c r="D456" i="4"/>
  <c r="E456" i="4"/>
  <c r="F456" i="4"/>
  <c r="G456" i="4"/>
  <c r="H456" i="4"/>
  <c r="I456" i="4"/>
  <c r="J456" i="4"/>
  <c r="K456" i="4"/>
  <c r="B457" i="4"/>
  <c r="C457" i="4"/>
  <c r="D457" i="4"/>
  <c r="E457" i="4"/>
  <c r="F457" i="4"/>
  <c r="G457" i="4"/>
  <c r="H457" i="4"/>
  <c r="I457" i="4"/>
  <c r="J457" i="4"/>
  <c r="K457" i="4"/>
  <c r="B458" i="4"/>
  <c r="C458" i="4"/>
  <c r="D458" i="4"/>
  <c r="E458" i="4"/>
  <c r="F458" i="4"/>
  <c r="G458" i="4"/>
  <c r="H458" i="4"/>
  <c r="I458" i="4"/>
  <c r="J458" i="4"/>
  <c r="K458" i="4"/>
  <c r="B459" i="4"/>
  <c r="C459" i="4"/>
  <c r="D459" i="4"/>
  <c r="E459" i="4"/>
  <c r="F459" i="4"/>
  <c r="G459" i="4"/>
  <c r="H459" i="4"/>
  <c r="I459" i="4"/>
  <c r="J459" i="4"/>
  <c r="K459" i="4"/>
  <c r="B460" i="4"/>
  <c r="C460" i="4"/>
  <c r="D460" i="4"/>
  <c r="E460" i="4"/>
  <c r="F460" i="4"/>
  <c r="G460" i="4"/>
  <c r="H460" i="4"/>
  <c r="I460" i="4"/>
  <c r="J460" i="4"/>
  <c r="K460" i="4"/>
  <c r="B461" i="4"/>
  <c r="C461" i="4"/>
  <c r="D461" i="4"/>
  <c r="E461" i="4"/>
  <c r="F461" i="4"/>
  <c r="G461" i="4"/>
  <c r="H461" i="4"/>
  <c r="I461" i="4"/>
  <c r="J461" i="4"/>
  <c r="K461" i="4"/>
  <c r="B462" i="4"/>
  <c r="C462" i="4"/>
  <c r="D462" i="4"/>
  <c r="E462" i="4"/>
  <c r="F462" i="4"/>
  <c r="G462" i="4"/>
  <c r="H462" i="4"/>
  <c r="I462" i="4"/>
  <c r="J462" i="4"/>
  <c r="K462" i="4"/>
  <c r="B463" i="4"/>
  <c r="C463" i="4"/>
  <c r="D463" i="4"/>
  <c r="E463" i="4"/>
  <c r="F463" i="4"/>
  <c r="G463" i="4"/>
  <c r="H463" i="4"/>
  <c r="I463" i="4"/>
  <c r="J463" i="4"/>
  <c r="K463" i="4"/>
  <c r="B464" i="4"/>
  <c r="C464" i="4"/>
  <c r="D464" i="4"/>
  <c r="E464" i="4"/>
  <c r="F464" i="4"/>
  <c r="G464" i="4"/>
  <c r="H464" i="4"/>
  <c r="I464" i="4"/>
  <c r="J464" i="4"/>
  <c r="K464" i="4"/>
  <c r="B465" i="4"/>
  <c r="C465" i="4"/>
  <c r="D465" i="4"/>
  <c r="E465" i="4"/>
  <c r="F465" i="4"/>
  <c r="G465" i="4"/>
  <c r="H465" i="4"/>
  <c r="I465" i="4"/>
  <c r="J465" i="4"/>
  <c r="K465" i="4"/>
  <c r="B466" i="4"/>
  <c r="C466" i="4"/>
  <c r="D466" i="4"/>
  <c r="E466" i="4"/>
  <c r="F466" i="4"/>
  <c r="G466" i="4"/>
  <c r="H466" i="4"/>
  <c r="I466" i="4"/>
  <c r="J466" i="4"/>
  <c r="K466" i="4"/>
  <c r="B467" i="4"/>
  <c r="C467" i="4"/>
  <c r="D467" i="4"/>
  <c r="E467" i="4"/>
  <c r="F467" i="4"/>
  <c r="G467" i="4"/>
  <c r="H467" i="4"/>
  <c r="I467" i="4"/>
  <c r="J467" i="4"/>
  <c r="K467" i="4"/>
  <c r="B468" i="4"/>
  <c r="C468" i="4"/>
  <c r="D468" i="4"/>
  <c r="E468" i="4"/>
  <c r="F468" i="4"/>
  <c r="G468" i="4"/>
  <c r="H468" i="4"/>
  <c r="I468" i="4"/>
  <c r="J468" i="4"/>
  <c r="K468" i="4"/>
  <c r="B469" i="4"/>
  <c r="C469" i="4"/>
  <c r="D469" i="4"/>
  <c r="E469" i="4"/>
  <c r="F469" i="4"/>
  <c r="G469" i="4"/>
  <c r="H469" i="4"/>
  <c r="I469" i="4"/>
  <c r="J469" i="4"/>
  <c r="K469" i="4"/>
  <c r="B470" i="4"/>
  <c r="C470" i="4"/>
  <c r="D470" i="4"/>
  <c r="E470" i="4"/>
  <c r="F470" i="4"/>
  <c r="G470" i="4"/>
  <c r="H470" i="4"/>
  <c r="I470" i="4"/>
  <c r="J470" i="4"/>
  <c r="K470" i="4"/>
  <c r="B471" i="4"/>
  <c r="C471" i="4"/>
  <c r="D471" i="4"/>
  <c r="E471" i="4"/>
  <c r="F471" i="4"/>
  <c r="G471" i="4"/>
  <c r="H471" i="4"/>
  <c r="I471" i="4"/>
  <c r="J471" i="4"/>
  <c r="K471" i="4"/>
  <c r="B472" i="4"/>
  <c r="C472" i="4"/>
  <c r="D472" i="4"/>
  <c r="E472" i="4"/>
  <c r="F472" i="4"/>
  <c r="G472" i="4"/>
  <c r="H472" i="4"/>
  <c r="I472" i="4"/>
  <c r="J472" i="4"/>
  <c r="K472" i="4"/>
  <c r="B473" i="4"/>
  <c r="C473" i="4"/>
  <c r="D473" i="4"/>
  <c r="E473" i="4"/>
  <c r="F473" i="4"/>
  <c r="G473" i="4"/>
  <c r="H473" i="4"/>
  <c r="I473" i="4"/>
  <c r="J473" i="4"/>
  <c r="K473" i="4"/>
  <c r="B474" i="4"/>
  <c r="C474" i="4"/>
  <c r="D474" i="4"/>
  <c r="E474" i="4"/>
  <c r="F474" i="4"/>
  <c r="G474" i="4"/>
  <c r="H474" i="4"/>
  <c r="I474" i="4"/>
  <c r="J474" i="4"/>
  <c r="K474" i="4"/>
  <c r="B475" i="4"/>
  <c r="C475" i="4"/>
  <c r="D475" i="4"/>
  <c r="E475" i="4"/>
  <c r="F475" i="4"/>
  <c r="G475" i="4"/>
  <c r="H475" i="4"/>
  <c r="I475" i="4"/>
  <c r="J475" i="4"/>
  <c r="K475" i="4"/>
  <c r="B476" i="4"/>
  <c r="C476" i="4"/>
  <c r="D476" i="4"/>
  <c r="E476" i="4"/>
  <c r="F476" i="4"/>
  <c r="G476" i="4"/>
  <c r="H476" i="4"/>
  <c r="I476" i="4"/>
  <c r="J476" i="4"/>
  <c r="K476" i="4"/>
  <c r="B477" i="4"/>
  <c r="C477" i="4"/>
  <c r="D477" i="4"/>
  <c r="E477" i="4"/>
  <c r="F477" i="4"/>
  <c r="G477" i="4"/>
  <c r="H477" i="4"/>
  <c r="I477" i="4"/>
  <c r="J477" i="4"/>
  <c r="K477" i="4"/>
  <c r="B478" i="4"/>
  <c r="C478" i="4"/>
  <c r="D478" i="4"/>
  <c r="E478" i="4"/>
  <c r="F478" i="4"/>
  <c r="G478" i="4"/>
  <c r="H478" i="4"/>
  <c r="I478" i="4"/>
  <c r="J478" i="4"/>
  <c r="K478" i="4"/>
  <c r="B479" i="4"/>
  <c r="C479" i="4"/>
  <c r="D479" i="4"/>
  <c r="E479" i="4"/>
  <c r="F479" i="4"/>
  <c r="G479" i="4"/>
  <c r="H479" i="4"/>
  <c r="I479" i="4"/>
  <c r="J479" i="4"/>
  <c r="K479" i="4"/>
  <c r="B480" i="4"/>
  <c r="C480" i="4"/>
  <c r="D480" i="4"/>
  <c r="E480" i="4"/>
  <c r="F480" i="4"/>
  <c r="G480" i="4"/>
  <c r="H480" i="4"/>
  <c r="I480" i="4"/>
  <c r="J480" i="4"/>
  <c r="K480" i="4"/>
  <c r="B481" i="4"/>
  <c r="C481" i="4"/>
  <c r="D481" i="4"/>
  <c r="E481" i="4"/>
  <c r="F481" i="4"/>
  <c r="G481" i="4"/>
  <c r="H481" i="4"/>
  <c r="I481" i="4"/>
  <c r="J481" i="4"/>
  <c r="K481" i="4"/>
  <c r="B482" i="4"/>
  <c r="C482" i="4"/>
  <c r="D482" i="4"/>
  <c r="E482" i="4"/>
  <c r="F482" i="4"/>
  <c r="G482" i="4"/>
  <c r="H482" i="4"/>
  <c r="I482" i="4"/>
  <c r="J482" i="4"/>
  <c r="K482" i="4"/>
  <c r="B483" i="4"/>
  <c r="C483" i="4"/>
  <c r="D483" i="4"/>
  <c r="E483" i="4"/>
  <c r="F483" i="4"/>
  <c r="G483" i="4"/>
  <c r="H483" i="4"/>
  <c r="I483" i="4"/>
  <c r="J483" i="4"/>
  <c r="K483" i="4"/>
  <c r="B484" i="4"/>
  <c r="C484" i="4"/>
  <c r="D484" i="4"/>
  <c r="E484" i="4"/>
  <c r="F484" i="4"/>
  <c r="G484" i="4"/>
  <c r="H484" i="4"/>
  <c r="I484" i="4"/>
  <c r="J484" i="4"/>
  <c r="K484" i="4"/>
  <c r="B485" i="4"/>
  <c r="C485" i="4"/>
  <c r="D485" i="4"/>
  <c r="E485" i="4"/>
  <c r="F485" i="4"/>
  <c r="G485" i="4"/>
  <c r="H485" i="4"/>
  <c r="I485" i="4"/>
  <c r="J485" i="4"/>
  <c r="K485" i="4"/>
  <c r="B486" i="4"/>
  <c r="C486" i="4"/>
  <c r="D486" i="4"/>
  <c r="E486" i="4"/>
  <c r="F486" i="4"/>
  <c r="G486" i="4"/>
  <c r="H486" i="4"/>
  <c r="I486" i="4"/>
  <c r="J486" i="4"/>
  <c r="K486" i="4"/>
  <c r="B487" i="4"/>
  <c r="C487" i="4"/>
  <c r="D487" i="4"/>
  <c r="E487" i="4"/>
  <c r="F487" i="4"/>
  <c r="G487" i="4"/>
  <c r="H487" i="4"/>
  <c r="I487" i="4"/>
  <c r="J487" i="4"/>
  <c r="K487" i="4"/>
  <c r="B488" i="4"/>
  <c r="C488" i="4"/>
  <c r="D488" i="4"/>
  <c r="E488" i="4"/>
  <c r="F488" i="4"/>
  <c r="G488" i="4"/>
  <c r="H488" i="4"/>
  <c r="I488" i="4"/>
  <c r="J488" i="4"/>
  <c r="K488" i="4"/>
  <c r="B489" i="4"/>
  <c r="C489" i="4"/>
  <c r="D489" i="4"/>
  <c r="E489" i="4"/>
  <c r="F489" i="4"/>
  <c r="G489" i="4"/>
  <c r="H489" i="4"/>
  <c r="I489" i="4"/>
  <c r="J489" i="4"/>
  <c r="K489" i="4"/>
  <c r="B490" i="4"/>
  <c r="C490" i="4"/>
  <c r="D490" i="4"/>
  <c r="E490" i="4"/>
  <c r="F490" i="4"/>
  <c r="G490" i="4"/>
  <c r="H490" i="4"/>
  <c r="I490" i="4"/>
  <c r="J490" i="4"/>
  <c r="K490" i="4"/>
  <c r="B491" i="4"/>
  <c r="C491" i="4"/>
  <c r="D491" i="4"/>
  <c r="E491" i="4"/>
  <c r="F491" i="4"/>
  <c r="G491" i="4"/>
  <c r="H491" i="4"/>
  <c r="I491" i="4"/>
  <c r="J491" i="4"/>
  <c r="K491" i="4"/>
  <c r="B492" i="4"/>
  <c r="C492" i="4"/>
  <c r="D492" i="4"/>
  <c r="E492" i="4"/>
  <c r="F492" i="4"/>
  <c r="G492" i="4"/>
  <c r="H492" i="4"/>
  <c r="I492" i="4"/>
  <c r="J492" i="4"/>
  <c r="K492" i="4"/>
  <c r="B493" i="4"/>
  <c r="C493" i="4"/>
  <c r="D493" i="4"/>
  <c r="E493" i="4"/>
  <c r="F493" i="4"/>
  <c r="G493" i="4"/>
  <c r="H493" i="4"/>
  <c r="I493" i="4"/>
  <c r="J493" i="4"/>
  <c r="K493" i="4"/>
  <c r="B494" i="4"/>
  <c r="C494" i="4"/>
  <c r="D494" i="4"/>
  <c r="E494" i="4"/>
  <c r="F494" i="4"/>
  <c r="G494" i="4"/>
  <c r="H494" i="4"/>
  <c r="I494" i="4"/>
  <c r="J494" i="4"/>
  <c r="K494" i="4"/>
  <c r="B495" i="4"/>
  <c r="C495" i="4"/>
  <c r="D495" i="4"/>
  <c r="E495" i="4"/>
  <c r="F495" i="4"/>
  <c r="G495" i="4"/>
  <c r="H495" i="4"/>
  <c r="I495" i="4"/>
  <c r="J495" i="4"/>
  <c r="K495" i="4"/>
  <c r="B496" i="4"/>
  <c r="C496" i="4"/>
  <c r="D496" i="4"/>
  <c r="E496" i="4"/>
  <c r="F496" i="4"/>
  <c r="G496" i="4"/>
  <c r="H496" i="4"/>
  <c r="I496" i="4"/>
  <c r="J496" i="4"/>
  <c r="K496" i="4"/>
  <c r="B497" i="4"/>
  <c r="C497" i="4"/>
  <c r="D497" i="4"/>
  <c r="E497" i="4"/>
  <c r="F497" i="4"/>
  <c r="G497" i="4"/>
  <c r="H497" i="4"/>
  <c r="I497" i="4"/>
  <c r="J497" i="4"/>
  <c r="K497" i="4"/>
  <c r="B498" i="4"/>
  <c r="C498" i="4"/>
  <c r="D498" i="4"/>
  <c r="E498" i="4"/>
  <c r="F498" i="4"/>
  <c r="G498" i="4"/>
  <c r="H498" i="4"/>
  <c r="I498" i="4"/>
  <c r="J498" i="4"/>
  <c r="K498" i="4"/>
  <c r="B499" i="4"/>
  <c r="C499" i="4"/>
  <c r="D499" i="4"/>
  <c r="E499" i="4"/>
  <c r="F499" i="4"/>
  <c r="G499" i="4"/>
  <c r="H499" i="4"/>
  <c r="I499" i="4"/>
  <c r="J499" i="4"/>
  <c r="K499" i="4"/>
  <c r="B500" i="4"/>
  <c r="C500" i="4"/>
  <c r="D500" i="4"/>
  <c r="E500" i="4"/>
  <c r="F500" i="4"/>
  <c r="G500" i="4"/>
  <c r="H500" i="4"/>
  <c r="I500" i="4"/>
  <c r="J500" i="4"/>
  <c r="K500" i="4"/>
  <c r="B501" i="4"/>
  <c r="C501" i="4"/>
  <c r="D501" i="4"/>
  <c r="E501" i="4"/>
  <c r="F501" i="4"/>
  <c r="G501" i="4"/>
  <c r="H501" i="4"/>
  <c r="I501" i="4"/>
  <c r="J501" i="4"/>
  <c r="K501" i="4"/>
  <c r="B502" i="4"/>
  <c r="C502" i="4"/>
  <c r="D502" i="4"/>
  <c r="E502" i="4"/>
  <c r="F502" i="4"/>
  <c r="G502" i="4"/>
  <c r="H502" i="4"/>
  <c r="I502" i="4"/>
  <c r="J502" i="4"/>
  <c r="K502" i="4"/>
  <c r="B503" i="4"/>
  <c r="C503" i="4"/>
  <c r="D503" i="4"/>
  <c r="E503" i="4"/>
  <c r="F503" i="4"/>
  <c r="G503" i="4"/>
  <c r="H503" i="4"/>
  <c r="I503" i="4"/>
  <c r="J503" i="4"/>
  <c r="K503" i="4"/>
  <c r="B504" i="4"/>
  <c r="C504" i="4"/>
  <c r="D504" i="4"/>
  <c r="E504" i="4"/>
  <c r="F504" i="4"/>
  <c r="G504" i="4"/>
  <c r="H504" i="4"/>
  <c r="I504" i="4"/>
  <c r="J504" i="4"/>
  <c r="K504" i="4"/>
  <c r="B505" i="4"/>
  <c r="C505" i="4"/>
  <c r="D505" i="4"/>
  <c r="E505" i="4"/>
  <c r="F505" i="4"/>
  <c r="G505" i="4"/>
  <c r="H505" i="4"/>
  <c r="I505" i="4"/>
  <c r="J505" i="4"/>
  <c r="K505" i="4"/>
  <c r="B506" i="4"/>
  <c r="C506" i="4"/>
  <c r="D506" i="4"/>
  <c r="E506" i="4"/>
  <c r="F506" i="4"/>
  <c r="G506" i="4"/>
  <c r="H506" i="4"/>
  <c r="I506" i="4"/>
  <c r="J506" i="4"/>
  <c r="K506" i="4"/>
  <c r="B507" i="4"/>
  <c r="C507" i="4"/>
  <c r="D507" i="4"/>
  <c r="E507" i="4"/>
  <c r="F507" i="4"/>
  <c r="G507" i="4"/>
  <c r="H507" i="4"/>
  <c r="I507" i="4"/>
  <c r="J507" i="4"/>
  <c r="K507" i="4"/>
  <c r="B508" i="4"/>
  <c r="C508" i="4"/>
  <c r="D508" i="4"/>
  <c r="E508" i="4"/>
  <c r="F508" i="4"/>
  <c r="G508" i="4"/>
  <c r="H508" i="4"/>
  <c r="I508" i="4"/>
  <c r="J508" i="4"/>
  <c r="K508" i="4"/>
  <c r="B509" i="4"/>
  <c r="C509" i="4"/>
  <c r="D509" i="4"/>
  <c r="E509" i="4"/>
  <c r="F509" i="4"/>
  <c r="G509" i="4"/>
  <c r="H509" i="4"/>
  <c r="I509" i="4"/>
  <c r="J509" i="4"/>
  <c r="K509" i="4"/>
  <c r="B510" i="4"/>
  <c r="C510" i="4"/>
  <c r="D510" i="4"/>
  <c r="E510" i="4"/>
  <c r="F510" i="4"/>
  <c r="G510" i="4"/>
  <c r="H510" i="4"/>
  <c r="I510" i="4"/>
  <c r="J510" i="4"/>
  <c r="K510" i="4"/>
  <c r="B511" i="4"/>
  <c r="C511" i="4"/>
  <c r="D511" i="4"/>
  <c r="E511" i="4"/>
  <c r="F511" i="4"/>
  <c r="G511" i="4"/>
  <c r="H511" i="4"/>
  <c r="I511" i="4"/>
  <c r="J511" i="4"/>
  <c r="K511" i="4"/>
  <c r="B512" i="4"/>
  <c r="C512" i="4"/>
  <c r="D512" i="4"/>
  <c r="E512" i="4"/>
  <c r="F512" i="4"/>
  <c r="G512" i="4"/>
  <c r="H512" i="4"/>
  <c r="I512" i="4"/>
  <c r="J512" i="4"/>
  <c r="K512" i="4"/>
  <c r="B513" i="4"/>
  <c r="C513" i="4"/>
  <c r="D513" i="4"/>
  <c r="E513" i="4"/>
  <c r="F513" i="4"/>
  <c r="G513" i="4"/>
  <c r="H513" i="4"/>
  <c r="I513" i="4"/>
  <c r="J513" i="4"/>
  <c r="K513" i="4"/>
  <c r="B514" i="4"/>
  <c r="C514" i="4"/>
  <c r="D514" i="4"/>
  <c r="E514" i="4"/>
  <c r="F514" i="4"/>
  <c r="G514" i="4"/>
  <c r="H514" i="4"/>
  <c r="I514" i="4"/>
  <c r="J514" i="4"/>
  <c r="K514" i="4"/>
  <c r="B515" i="4"/>
  <c r="C515" i="4"/>
  <c r="D515" i="4"/>
  <c r="E515" i="4"/>
  <c r="F515" i="4"/>
  <c r="G515" i="4"/>
  <c r="H515" i="4"/>
  <c r="I515" i="4"/>
  <c r="J515" i="4"/>
  <c r="K515" i="4"/>
  <c r="B516" i="4"/>
  <c r="C516" i="4"/>
  <c r="D516" i="4"/>
  <c r="E516" i="4"/>
  <c r="F516" i="4"/>
  <c r="G516" i="4"/>
  <c r="H516" i="4"/>
  <c r="I516" i="4"/>
  <c r="J516" i="4"/>
  <c r="K516" i="4"/>
  <c r="B517" i="4"/>
  <c r="C517" i="4"/>
  <c r="D517" i="4"/>
  <c r="E517" i="4"/>
  <c r="F517" i="4"/>
  <c r="G517" i="4"/>
  <c r="H517" i="4"/>
  <c r="I517" i="4"/>
  <c r="J517" i="4"/>
  <c r="K517" i="4"/>
  <c r="B518" i="4"/>
  <c r="C518" i="4"/>
  <c r="D518" i="4"/>
  <c r="E518" i="4"/>
  <c r="F518" i="4"/>
  <c r="G518" i="4"/>
  <c r="H518" i="4"/>
  <c r="I518" i="4"/>
  <c r="J518" i="4"/>
  <c r="K518" i="4"/>
  <c r="B519" i="4"/>
  <c r="C519" i="4"/>
  <c r="D519" i="4"/>
  <c r="E519" i="4"/>
  <c r="F519" i="4"/>
  <c r="G519" i="4"/>
  <c r="H519" i="4"/>
  <c r="I519" i="4"/>
  <c r="J519" i="4"/>
  <c r="K519" i="4"/>
  <c r="B520" i="4"/>
  <c r="C520" i="4"/>
  <c r="D520" i="4"/>
  <c r="E520" i="4"/>
  <c r="F520" i="4"/>
  <c r="G520" i="4"/>
  <c r="H520" i="4"/>
  <c r="I520" i="4"/>
  <c r="J520" i="4"/>
  <c r="K520" i="4"/>
  <c r="B521" i="4"/>
  <c r="C521" i="4"/>
  <c r="D521" i="4"/>
  <c r="E521" i="4"/>
  <c r="F521" i="4"/>
  <c r="G521" i="4"/>
  <c r="H521" i="4"/>
  <c r="I521" i="4"/>
  <c r="J521" i="4"/>
  <c r="K521" i="4"/>
  <c r="B522" i="4"/>
  <c r="C522" i="4"/>
  <c r="D522" i="4"/>
  <c r="E522" i="4"/>
  <c r="F522" i="4"/>
  <c r="G522" i="4"/>
  <c r="H522" i="4"/>
  <c r="I522" i="4"/>
  <c r="J522" i="4"/>
  <c r="K522" i="4"/>
  <c r="B523" i="4"/>
  <c r="C523" i="4"/>
  <c r="D523" i="4"/>
  <c r="E523" i="4"/>
  <c r="F523" i="4"/>
  <c r="G523" i="4"/>
  <c r="H523" i="4"/>
  <c r="I523" i="4"/>
  <c r="J523" i="4"/>
  <c r="K523" i="4"/>
  <c r="B524" i="4"/>
  <c r="C524" i="4"/>
  <c r="D524" i="4"/>
  <c r="E524" i="4"/>
  <c r="F524" i="4"/>
  <c r="G524" i="4"/>
  <c r="H524" i="4"/>
  <c r="I524" i="4"/>
  <c r="J524" i="4"/>
  <c r="K524" i="4"/>
  <c r="B525" i="4"/>
  <c r="C525" i="4"/>
  <c r="D525" i="4"/>
  <c r="E525" i="4"/>
  <c r="F525" i="4"/>
  <c r="G525" i="4"/>
  <c r="H525" i="4"/>
  <c r="I525" i="4"/>
  <c r="J525" i="4"/>
  <c r="K525" i="4"/>
  <c r="B526" i="4"/>
  <c r="C526" i="4"/>
  <c r="D526" i="4"/>
  <c r="E526" i="4"/>
  <c r="F526" i="4"/>
  <c r="G526" i="4"/>
  <c r="H526" i="4"/>
  <c r="I526" i="4"/>
  <c r="J526" i="4"/>
  <c r="K526" i="4"/>
  <c r="B527" i="4"/>
  <c r="C527" i="4"/>
  <c r="D527" i="4"/>
  <c r="E527" i="4"/>
  <c r="F527" i="4"/>
  <c r="G527" i="4"/>
  <c r="H527" i="4"/>
  <c r="I527" i="4"/>
  <c r="J527" i="4"/>
  <c r="K527" i="4"/>
  <c r="B528" i="4"/>
  <c r="C528" i="4"/>
  <c r="D528" i="4"/>
  <c r="E528" i="4"/>
  <c r="F528" i="4"/>
  <c r="G528" i="4"/>
  <c r="H528" i="4"/>
  <c r="I528" i="4"/>
  <c r="J528" i="4"/>
  <c r="K528" i="4"/>
  <c r="B529" i="4"/>
  <c r="C529" i="4"/>
  <c r="D529" i="4"/>
  <c r="E529" i="4"/>
  <c r="F529" i="4"/>
  <c r="G529" i="4"/>
  <c r="H529" i="4"/>
  <c r="I529" i="4"/>
  <c r="J529" i="4"/>
  <c r="K529" i="4"/>
  <c r="B530" i="4"/>
  <c r="C530" i="4"/>
  <c r="D530" i="4"/>
  <c r="E530" i="4"/>
  <c r="F530" i="4"/>
  <c r="G530" i="4"/>
  <c r="H530" i="4"/>
  <c r="I530" i="4"/>
  <c r="J530" i="4"/>
  <c r="K530" i="4"/>
  <c r="B531" i="4"/>
  <c r="C531" i="4"/>
  <c r="D531" i="4"/>
  <c r="E531" i="4"/>
  <c r="F531" i="4"/>
  <c r="G531" i="4"/>
  <c r="H531" i="4"/>
  <c r="I531" i="4"/>
  <c r="J531" i="4"/>
  <c r="K531" i="4"/>
  <c r="B532" i="4"/>
  <c r="C532" i="4"/>
  <c r="D532" i="4"/>
  <c r="E532" i="4"/>
  <c r="F532" i="4"/>
  <c r="G532" i="4"/>
  <c r="H532" i="4"/>
  <c r="I532" i="4"/>
  <c r="J532" i="4"/>
  <c r="K532" i="4"/>
  <c r="B533" i="4"/>
  <c r="C533" i="4"/>
  <c r="D533" i="4"/>
  <c r="E533" i="4"/>
  <c r="F533" i="4"/>
  <c r="G533" i="4"/>
  <c r="H533" i="4"/>
  <c r="I533" i="4"/>
  <c r="J533" i="4"/>
  <c r="K533" i="4"/>
  <c r="B534" i="4"/>
  <c r="C534" i="4"/>
  <c r="D534" i="4"/>
  <c r="E534" i="4"/>
  <c r="F534" i="4"/>
  <c r="G534" i="4"/>
  <c r="H534" i="4"/>
  <c r="I534" i="4"/>
  <c r="J534" i="4"/>
  <c r="K534" i="4"/>
  <c r="B535" i="4"/>
  <c r="C535" i="4"/>
  <c r="D535" i="4"/>
  <c r="E535" i="4"/>
  <c r="F535" i="4"/>
  <c r="G535" i="4"/>
  <c r="H535" i="4"/>
  <c r="I535" i="4"/>
  <c r="J535" i="4"/>
  <c r="K535" i="4"/>
  <c r="B536" i="4"/>
  <c r="C536" i="4"/>
  <c r="D536" i="4"/>
  <c r="E536" i="4"/>
  <c r="F536" i="4"/>
  <c r="G536" i="4"/>
  <c r="H536" i="4"/>
  <c r="I536" i="4"/>
  <c r="J536" i="4"/>
  <c r="K536" i="4"/>
  <c r="B537" i="4"/>
  <c r="C537" i="4"/>
  <c r="D537" i="4"/>
  <c r="E537" i="4"/>
  <c r="F537" i="4"/>
  <c r="G537" i="4"/>
  <c r="H537" i="4"/>
  <c r="I537" i="4"/>
  <c r="J537" i="4"/>
  <c r="K537" i="4"/>
  <c r="B538" i="4"/>
  <c r="C538" i="4"/>
  <c r="D538" i="4"/>
  <c r="E538" i="4"/>
  <c r="F538" i="4"/>
  <c r="G538" i="4"/>
  <c r="H538" i="4"/>
  <c r="I538" i="4"/>
  <c r="J538" i="4"/>
  <c r="K538" i="4"/>
  <c r="B539" i="4"/>
  <c r="C539" i="4"/>
  <c r="D539" i="4"/>
  <c r="E539" i="4"/>
  <c r="F539" i="4"/>
  <c r="G539" i="4"/>
  <c r="H539" i="4"/>
  <c r="I539" i="4"/>
  <c r="J539" i="4"/>
  <c r="K539" i="4"/>
  <c r="B540" i="4"/>
  <c r="C540" i="4"/>
  <c r="D540" i="4"/>
  <c r="E540" i="4"/>
  <c r="F540" i="4"/>
  <c r="G540" i="4"/>
  <c r="H540" i="4"/>
  <c r="I540" i="4"/>
  <c r="J540" i="4"/>
  <c r="K540" i="4"/>
  <c r="B541" i="4"/>
  <c r="C541" i="4"/>
  <c r="D541" i="4"/>
  <c r="E541" i="4"/>
  <c r="F541" i="4"/>
  <c r="G541" i="4"/>
  <c r="H541" i="4"/>
  <c r="I541" i="4"/>
  <c r="J541" i="4"/>
  <c r="K541" i="4"/>
  <c r="B542" i="4"/>
  <c r="C542" i="4"/>
  <c r="D542" i="4"/>
  <c r="E542" i="4"/>
  <c r="F542" i="4"/>
  <c r="G542" i="4"/>
  <c r="H542" i="4"/>
  <c r="I542" i="4"/>
  <c r="J542" i="4"/>
  <c r="K542" i="4"/>
  <c r="B543" i="4"/>
  <c r="C543" i="4"/>
  <c r="D543" i="4"/>
  <c r="E543" i="4"/>
  <c r="F543" i="4"/>
  <c r="G543" i="4"/>
  <c r="H543" i="4"/>
  <c r="I543" i="4"/>
  <c r="J543" i="4"/>
  <c r="K543" i="4"/>
  <c r="B544" i="4"/>
  <c r="C544" i="4"/>
  <c r="D544" i="4"/>
  <c r="E544" i="4"/>
  <c r="F544" i="4"/>
  <c r="G544" i="4"/>
  <c r="H544" i="4"/>
  <c r="I544" i="4"/>
  <c r="J544" i="4"/>
  <c r="K544" i="4"/>
  <c r="B545" i="4"/>
  <c r="C545" i="4"/>
  <c r="D545" i="4"/>
  <c r="E545" i="4"/>
  <c r="F545" i="4"/>
  <c r="G545" i="4"/>
  <c r="H545" i="4"/>
  <c r="I545" i="4"/>
  <c r="J545" i="4"/>
  <c r="K545" i="4"/>
  <c r="B546" i="4"/>
  <c r="C546" i="4"/>
  <c r="D546" i="4"/>
  <c r="E546" i="4"/>
  <c r="F546" i="4"/>
  <c r="G546" i="4"/>
  <c r="H546" i="4"/>
  <c r="I546" i="4"/>
  <c r="J546" i="4"/>
  <c r="K546" i="4"/>
  <c r="B547" i="4"/>
  <c r="C547" i="4"/>
  <c r="D547" i="4"/>
  <c r="E547" i="4"/>
  <c r="F547" i="4"/>
  <c r="G547" i="4"/>
  <c r="H547" i="4"/>
  <c r="I547" i="4"/>
  <c r="J547" i="4"/>
  <c r="K547" i="4"/>
  <c r="B548" i="4"/>
  <c r="C548" i="4"/>
  <c r="D548" i="4"/>
  <c r="E548" i="4"/>
  <c r="F548" i="4"/>
  <c r="G548" i="4"/>
  <c r="H548" i="4"/>
  <c r="I548" i="4"/>
  <c r="J548" i="4"/>
  <c r="K548" i="4"/>
  <c r="B549" i="4"/>
  <c r="C549" i="4"/>
  <c r="D549" i="4"/>
  <c r="E549" i="4"/>
  <c r="F549" i="4"/>
  <c r="G549" i="4"/>
  <c r="H549" i="4"/>
  <c r="I549" i="4"/>
  <c r="J549" i="4"/>
  <c r="K549" i="4"/>
  <c r="B550" i="4"/>
  <c r="C550" i="4"/>
  <c r="D550" i="4"/>
  <c r="E550" i="4"/>
  <c r="F550" i="4"/>
  <c r="G550" i="4"/>
  <c r="H550" i="4"/>
  <c r="I550" i="4"/>
  <c r="J550" i="4"/>
  <c r="K550" i="4"/>
  <c r="B551" i="4"/>
  <c r="C551" i="4"/>
  <c r="D551" i="4"/>
  <c r="E551" i="4"/>
  <c r="F551" i="4"/>
  <c r="G551" i="4"/>
  <c r="H551" i="4"/>
  <c r="I551" i="4"/>
  <c r="J551" i="4"/>
  <c r="K551" i="4"/>
  <c r="B552" i="4"/>
  <c r="C552" i="4"/>
  <c r="D552" i="4"/>
  <c r="E552" i="4"/>
  <c r="F552" i="4"/>
  <c r="G552" i="4"/>
  <c r="H552" i="4"/>
  <c r="I552" i="4"/>
  <c r="J552" i="4"/>
  <c r="K552" i="4"/>
  <c r="B553" i="4"/>
  <c r="C553" i="4"/>
  <c r="D553" i="4"/>
  <c r="E553" i="4"/>
  <c r="F553" i="4"/>
  <c r="G553" i="4"/>
  <c r="H553" i="4"/>
  <c r="I553" i="4"/>
  <c r="J553" i="4"/>
  <c r="K553" i="4"/>
  <c r="B554" i="4"/>
  <c r="C554" i="4"/>
  <c r="D554" i="4"/>
  <c r="E554" i="4"/>
  <c r="F554" i="4"/>
  <c r="G554" i="4"/>
  <c r="H554" i="4"/>
  <c r="I554" i="4"/>
  <c r="J554" i="4"/>
  <c r="K554" i="4"/>
  <c r="B555" i="4"/>
  <c r="C555" i="4"/>
  <c r="D555" i="4"/>
  <c r="E555" i="4"/>
  <c r="F555" i="4"/>
  <c r="G555" i="4"/>
  <c r="H555" i="4"/>
  <c r="I555" i="4"/>
  <c r="J555" i="4"/>
  <c r="K555" i="4"/>
  <c r="B556" i="4"/>
  <c r="C556" i="4"/>
  <c r="D556" i="4"/>
  <c r="E556" i="4"/>
  <c r="F556" i="4"/>
  <c r="G556" i="4"/>
  <c r="H556" i="4"/>
  <c r="I556" i="4"/>
  <c r="J556" i="4"/>
  <c r="K556" i="4"/>
  <c r="B557" i="4"/>
  <c r="C557" i="4"/>
  <c r="D557" i="4"/>
  <c r="E557" i="4"/>
  <c r="F557" i="4"/>
  <c r="G557" i="4"/>
  <c r="H557" i="4"/>
  <c r="I557" i="4"/>
  <c r="J557" i="4"/>
  <c r="K557" i="4"/>
  <c r="B558" i="4"/>
  <c r="C558" i="4"/>
  <c r="D558" i="4"/>
  <c r="E558" i="4"/>
  <c r="F558" i="4"/>
  <c r="G558" i="4"/>
  <c r="H558" i="4"/>
  <c r="I558" i="4"/>
  <c r="J558" i="4"/>
  <c r="K558" i="4"/>
  <c r="B559" i="4"/>
  <c r="C559" i="4"/>
  <c r="D559" i="4"/>
  <c r="E559" i="4"/>
  <c r="F559" i="4"/>
  <c r="G559" i="4"/>
  <c r="H559" i="4"/>
  <c r="I559" i="4"/>
  <c r="J559" i="4"/>
  <c r="K559" i="4"/>
  <c r="B560" i="4"/>
  <c r="C560" i="4"/>
  <c r="D560" i="4"/>
  <c r="E560" i="4"/>
  <c r="F560" i="4"/>
  <c r="G560" i="4"/>
  <c r="H560" i="4"/>
  <c r="I560" i="4"/>
  <c r="J560" i="4"/>
  <c r="K560" i="4"/>
  <c r="B561" i="4"/>
  <c r="C561" i="4"/>
  <c r="D561" i="4"/>
  <c r="E561" i="4"/>
  <c r="F561" i="4"/>
  <c r="G561" i="4"/>
  <c r="H561" i="4"/>
  <c r="I561" i="4"/>
  <c r="J561" i="4"/>
  <c r="K561" i="4"/>
  <c r="B562" i="4"/>
  <c r="C562" i="4"/>
  <c r="D562" i="4"/>
  <c r="E562" i="4"/>
  <c r="F562" i="4"/>
  <c r="G562" i="4"/>
  <c r="H562" i="4"/>
  <c r="I562" i="4"/>
  <c r="J562" i="4"/>
  <c r="K562" i="4"/>
  <c r="B563" i="4"/>
  <c r="C563" i="4"/>
  <c r="D563" i="4"/>
  <c r="E563" i="4"/>
  <c r="F563" i="4"/>
  <c r="G563" i="4"/>
  <c r="H563" i="4"/>
  <c r="I563" i="4"/>
  <c r="J563" i="4"/>
  <c r="K563" i="4"/>
  <c r="B564" i="4"/>
  <c r="C564" i="4"/>
  <c r="D564" i="4"/>
  <c r="E564" i="4"/>
  <c r="F564" i="4"/>
  <c r="G564" i="4"/>
  <c r="H564" i="4"/>
  <c r="I564" i="4"/>
  <c r="J564" i="4"/>
  <c r="K564" i="4"/>
  <c r="B565" i="4"/>
  <c r="C565" i="4"/>
  <c r="D565" i="4"/>
  <c r="E565" i="4"/>
  <c r="F565" i="4"/>
  <c r="G565" i="4"/>
  <c r="H565" i="4"/>
  <c r="I565" i="4"/>
  <c r="J565" i="4"/>
  <c r="K565" i="4"/>
  <c r="B566" i="4"/>
  <c r="C566" i="4"/>
  <c r="D566" i="4"/>
  <c r="E566" i="4"/>
  <c r="F566" i="4"/>
  <c r="G566" i="4"/>
  <c r="H566" i="4"/>
  <c r="I566" i="4"/>
  <c r="J566" i="4"/>
  <c r="K566" i="4"/>
  <c r="B567" i="4"/>
  <c r="C567" i="4"/>
  <c r="D567" i="4"/>
  <c r="E567" i="4"/>
  <c r="F567" i="4"/>
  <c r="G567" i="4"/>
  <c r="H567" i="4"/>
  <c r="I567" i="4"/>
  <c r="J567" i="4"/>
  <c r="K567" i="4"/>
  <c r="B568" i="4"/>
  <c r="C568" i="4"/>
  <c r="D568" i="4"/>
  <c r="E568" i="4"/>
  <c r="F568" i="4"/>
  <c r="G568" i="4"/>
  <c r="H568" i="4"/>
  <c r="I568" i="4"/>
  <c r="J568" i="4"/>
  <c r="K568" i="4"/>
  <c r="B569" i="4"/>
  <c r="C569" i="4"/>
  <c r="D569" i="4"/>
  <c r="E569" i="4"/>
  <c r="F569" i="4"/>
  <c r="G569" i="4"/>
  <c r="H569" i="4"/>
  <c r="I569" i="4"/>
  <c r="J569" i="4"/>
  <c r="K569" i="4"/>
  <c r="B570" i="4"/>
  <c r="C570" i="4"/>
  <c r="D570" i="4"/>
  <c r="E570" i="4"/>
  <c r="F570" i="4"/>
  <c r="G570" i="4"/>
  <c r="H570" i="4"/>
  <c r="I570" i="4"/>
  <c r="J570" i="4"/>
  <c r="K570" i="4"/>
  <c r="B571" i="4"/>
  <c r="C571" i="4"/>
  <c r="D571" i="4"/>
  <c r="E571" i="4"/>
  <c r="F571" i="4"/>
  <c r="G571" i="4"/>
  <c r="H571" i="4"/>
  <c r="I571" i="4"/>
  <c r="J571" i="4"/>
  <c r="K571" i="4"/>
  <c r="B572" i="4"/>
  <c r="C572" i="4"/>
  <c r="D572" i="4"/>
  <c r="E572" i="4"/>
  <c r="F572" i="4"/>
  <c r="G572" i="4"/>
  <c r="H572" i="4"/>
  <c r="I572" i="4"/>
  <c r="J572" i="4"/>
  <c r="K572" i="4"/>
  <c r="B573" i="4"/>
  <c r="C573" i="4"/>
  <c r="D573" i="4"/>
  <c r="E573" i="4"/>
  <c r="F573" i="4"/>
  <c r="G573" i="4"/>
  <c r="H573" i="4"/>
  <c r="I573" i="4"/>
  <c r="J573" i="4"/>
  <c r="K573" i="4"/>
  <c r="B574" i="4"/>
  <c r="C574" i="4"/>
  <c r="D574" i="4"/>
  <c r="E574" i="4"/>
  <c r="F574" i="4"/>
  <c r="G574" i="4"/>
  <c r="H574" i="4"/>
  <c r="I574" i="4"/>
  <c r="J574" i="4"/>
  <c r="K574" i="4"/>
  <c r="B575" i="4"/>
  <c r="C575" i="4"/>
  <c r="D575" i="4"/>
  <c r="E575" i="4"/>
  <c r="F575" i="4"/>
  <c r="G575" i="4"/>
  <c r="H575" i="4"/>
  <c r="I575" i="4"/>
  <c r="J575" i="4"/>
  <c r="K575" i="4"/>
  <c r="B576" i="4"/>
  <c r="C576" i="4"/>
  <c r="D576" i="4"/>
  <c r="E576" i="4"/>
  <c r="F576" i="4"/>
  <c r="G576" i="4"/>
  <c r="H576" i="4"/>
  <c r="I576" i="4"/>
  <c r="J576" i="4"/>
  <c r="K576" i="4"/>
  <c r="B577" i="4"/>
  <c r="C577" i="4"/>
  <c r="D577" i="4"/>
  <c r="E577" i="4"/>
  <c r="F577" i="4"/>
  <c r="G577" i="4"/>
  <c r="H577" i="4"/>
  <c r="I577" i="4"/>
  <c r="J577" i="4"/>
  <c r="K577" i="4"/>
  <c r="B578" i="4"/>
  <c r="C578" i="4"/>
  <c r="D578" i="4"/>
  <c r="E578" i="4"/>
  <c r="F578" i="4"/>
  <c r="G578" i="4"/>
  <c r="H578" i="4"/>
  <c r="I578" i="4"/>
  <c r="J578" i="4"/>
  <c r="K578" i="4"/>
  <c r="B579" i="4"/>
  <c r="C579" i="4"/>
  <c r="D579" i="4"/>
  <c r="E579" i="4"/>
  <c r="F579" i="4"/>
  <c r="G579" i="4"/>
  <c r="H579" i="4"/>
  <c r="I579" i="4"/>
  <c r="J579" i="4"/>
  <c r="K579" i="4"/>
  <c r="B580" i="4"/>
  <c r="C580" i="4"/>
  <c r="D580" i="4"/>
  <c r="E580" i="4"/>
  <c r="F580" i="4"/>
  <c r="G580" i="4"/>
  <c r="H580" i="4"/>
  <c r="I580" i="4"/>
  <c r="J580" i="4"/>
  <c r="K580" i="4"/>
  <c r="B581" i="4"/>
  <c r="C581" i="4"/>
  <c r="D581" i="4"/>
  <c r="E581" i="4"/>
  <c r="F581" i="4"/>
  <c r="G581" i="4"/>
  <c r="H581" i="4"/>
  <c r="I581" i="4"/>
  <c r="J581" i="4"/>
  <c r="K581" i="4"/>
  <c r="B582" i="4"/>
  <c r="C582" i="4"/>
  <c r="D582" i="4"/>
  <c r="E582" i="4"/>
  <c r="F582" i="4"/>
  <c r="G582" i="4"/>
  <c r="H582" i="4"/>
  <c r="I582" i="4"/>
  <c r="J582" i="4"/>
  <c r="K582" i="4"/>
  <c r="B583" i="4"/>
  <c r="C583" i="4"/>
  <c r="D583" i="4"/>
  <c r="E583" i="4"/>
  <c r="F583" i="4"/>
  <c r="G583" i="4"/>
  <c r="H583" i="4"/>
  <c r="I583" i="4"/>
  <c r="J583" i="4"/>
  <c r="K583" i="4"/>
  <c r="B584" i="4"/>
  <c r="C584" i="4"/>
  <c r="D584" i="4"/>
  <c r="E584" i="4"/>
  <c r="F584" i="4"/>
  <c r="G584" i="4"/>
  <c r="H584" i="4"/>
  <c r="I584" i="4"/>
  <c r="J584" i="4"/>
  <c r="K584" i="4"/>
  <c r="B585" i="4"/>
  <c r="C585" i="4"/>
  <c r="D585" i="4"/>
  <c r="E585" i="4"/>
  <c r="F585" i="4"/>
  <c r="G585" i="4"/>
  <c r="H585" i="4"/>
  <c r="I585" i="4"/>
  <c r="J585" i="4"/>
  <c r="K585" i="4"/>
  <c r="B586" i="4"/>
  <c r="C586" i="4"/>
  <c r="D586" i="4"/>
  <c r="E586" i="4"/>
  <c r="F586" i="4"/>
  <c r="G586" i="4"/>
  <c r="H586" i="4"/>
  <c r="I586" i="4"/>
  <c r="J586" i="4"/>
  <c r="K586" i="4"/>
  <c r="B587" i="4"/>
  <c r="C587" i="4"/>
  <c r="D587" i="4"/>
  <c r="E587" i="4"/>
  <c r="F587" i="4"/>
  <c r="G587" i="4"/>
  <c r="H587" i="4"/>
  <c r="I587" i="4"/>
  <c r="J587" i="4"/>
  <c r="K587" i="4"/>
  <c r="B588" i="4"/>
  <c r="C588" i="4"/>
  <c r="D588" i="4"/>
  <c r="E588" i="4"/>
  <c r="F588" i="4"/>
  <c r="G588" i="4"/>
  <c r="H588" i="4"/>
  <c r="I588" i="4"/>
  <c r="J588" i="4"/>
  <c r="K588" i="4"/>
  <c r="B589" i="4"/>
  <c r="C589" i="4"/>
  <c r="D589" i="4"/>
  <c r="E589" i="4"/>
  <c r="F589" i="4"/>
  <c r="G589" i="4"/>
  <c r="H589" i="4"/>
  <c r="I589" i="4"/>
  <c r="J589" i="4"/>
  <c r="K589" i="4"/>
  <c r="B590" i="4"/>
  <c r="C590" i="4"/>
  <c r="D590" i="4"/>
  <c r="E590" i="4"/>
  <c r="F590" i="4"/>
  <c r="G590" i="4"/>
  <c r="H590" i="4"/>
  <c r="I590" i="4"/>
  <c r="J590" i="4"/>
  <c r="K590" i="4"/>
  <c r="B591" i="4"/>
  <c r="C591" i="4"/>
  <c r="D591" i="4"/>
  <c r="E591" i="4"/>
  <c r="F591" i="4"/>
  <c r="G591" i="4"/>
  <c r="H591" i="4"/>
  <c r="I591" i="4"/>
  <c r="J591" i="4"/>
  <c r="K591" i="4"/>
  <c r="B592" i="4"/>
  <c r="C592" i="4"/>
  <c r="D592" i="4"/>
  <c r="E592" i="4"/>
  <c r="F592" i="4"/>
  <c r="G592" i="4"/>
  <c r="H592" i="4"/>
  <c r="I592" i="4"/>
  <c r="J592" i="4"/>
  <c r="K592" i="4"/>
  <c r="B593" i="4"/>
  <c r="C593" i="4"/>
  <c r="D593" i="4"/>
  <c r="E593" i="4"/>
  <c r="F593" i="4"/>
  <c r="G593" i="4"/>
  <c r="H593" i="4"/>
  <c r="I593" i="4"/>
  <c r="J593" i="4"/>
  <c r="K593" i="4"/>
  <c r="B594" i="4"/>
  <c r="C594" i="4"/>
  <c r="D594" i="4"/>
  <c r="E594" i="4"/>
  <c r="F594" i="4"/>
  <c r="G594" i="4"/>
  <c r="H594" i="4"/>
  <c r="I594" i="4"/>
  <c r="J594" i="4"/>
  <c r="K594" i="4"/>
  <c r="B595" i="4"/>
  <c r="C595" i="4"/>
  <c r="D595" i="4"/>
  <c r="E595" i="4"/>
  <c r="F595" i="4"/>
  <c r="G595" i="4"/>
  <c r="H595" i="4"/>
  <c r="I595" i="4"/>
  <c r="J595" i="4"/>
  <c r="K595" i="4"/>
  <c r="B596" i="4"/>
  <c r="C596" i="4"/>
  <c r="D596" i="4"/>
  <c r="E596" i="4"/>
  <c r="F596" i="4"/>
  <c r="G596" i="4"/>
  <c r="H596" i="4"/>
  <c r="I596" i="4"/>
  <c r="J596" i="4"/>
  <c r="K596" i="4"/>
  <c r="B597" i="4"/>
  <c r="C597" i="4"/>
  <c r="D597" i="4"/>
  <c r="E597" i="4"/>
  <c r="F597" i="4"/>
  <c r="G597" i="4"/>
  <c r="H597" i="4"/>
  <c r="I597" i="4"/>
  <c r="J597" i="4"/>
  <c r="K597" i="4"/>
  <c r="B598" i="4"/>
  <c r="C598" i="4"/>
  <c r="D598" i="4"/>
  <c r="E598" i="4"/>
  <c r="F598" i="4"/>
  <c r="G598" i="4"/>
  <c r="H598" i="4"/>
  <c r="I598" i="4"/>
  <c r="J598" i="4"/>
  <c r="K598" i="4"/>
  <c r="B599" i="4"/>
  <c r="C599" i="4"/>
  <c r="D599" i="4"/>
  <c r="E599" i="4"/>
  <c r="F599" i="4"/>
  <c r="G599" i="4"/>
  <c r="H599" i="4"/>
  <c r="I599" i="4"/>
  <c r="J599" i="4"/>
  <c r="K599" i="4"/>
  <c r="B600" i="4"/>
  <c r="C600" i="4"/>
  <c r="D600" i="4"/>
  <c r="E600" i="4"/>
  <c r="F600" i="4"/>
  <c r="G600" i="4"/>
  <c r="H600" i="4"/>
  <c r="I600" i="4"/>
  <c r="J600" i="4"/>
  <c r="K600" i="4"/>
  <c r="B601" i="4"/>
  <c r="C601" i="4"/>
  <c r="D601" i="4"/>
  <c r="E601" i="4"/>
  <c r="F601" i="4"/>
  <c r="G601" i="4"/>
  <c r="H601" i="4"/>
  <c r="I601" i="4"/>
  <c r="J601" i="4"/>
  <c r="K601" i="4"/>
  <c r="B602" i="4"/>
  <c r="C602" i="4"/>
  <c r="D602" i="4"/>
  <c r="E602" i="4"/>
  <c r="F602" i="4"/>
  <c r="G602" i="4"/>
  <c r="H602" i="4"/>
  <c r="I602" i="4"/>
  <c r="J602" i="4"/>
  <c r="K602" i="4"/>
  <c r="B603" i="4"/>
  <c r="C603" i="4"/>
  <c r="D603" i="4"/>
  <c r="E603" i="4"/>
  <c r="F603" i="4"/>
  <c r="G603" i="4"/>
  <c r="H603" i="4"/>
  <c r="I603" i="4"/>
  <c r="J603" i="4"/>
  <c r="K603" i="4"/>
  <c r="B604" i="4"/>
  <c r="C604" i="4"/>
  <c r="D604" i="4"/>
  <c r="E604" i="4"/>
  <c r="F604" i="4"/>
  <c r="G604" i="4"/>
  <c r="H604" i="4"/>
  <c r="I604" i="4"/>
  <c r="J604" i="4"/>
  <c r="K604" i="4"/>
  <c r="B605" i="4"/>
  <c r="C605" i="4"/>
  <c r="D605" i="4"/>
  <c r="E605" i="4"/>
  <c r="F605" i="4"/>
  <c r="G605" i="4"/>
  <c r="H605" i="4"/>
  <c r="I605" i="4"/>
  <c r="J605" i="4"/>
  <c r="K605" i="4"/>
  <c r="B606" i="4"/>
  <c r="C606" i="4"/>
  <c r="D606" i="4"/>
  <c r="E606" i="4"/>
  <c r="F606" i="4"/>
  <c r="G606" i="4"/>
  <c r="H606" i="4"/>
  <c r="I606" i="4"/>
  <c r="J606" i="4"/>
  <c r="K606" i="4"/>
  <c r="B607" i="4"/>
  <c r="C607" i="4"/>
  <c r="D607" i="4"/>
  <c r="E607" i="4"/>
  <c r="F607" i="4"/>
  <c r="G607" i="4"/>
  <c r="H607" i="4"/>
  <c r="I607" i="4"/>
  <c r="J607" i="4"/>
  <c r="K607" i="4"/>
  <c r="B608" i="4"/>
  <c r="C608" i="4"/>
  <c r="D608" i="4"/>
  <c r="E608" i="4"/>
  <c r="F608" i="4"/>
  <c r="G608" i="4"/>
  <c r="H608" i="4"/>
  <c r="I608" i="4"/>
  <c r="J608" i="4"/>
  <c r="K608" i="4"/>
  <c r="B609" i="4"/>
  <c r="C609" i="4"/>
  <c r="D609" i="4"/>
  <c r="E609" i="4"/>
  <c r="F609" i="4"/>
  <c r="G609" i="4"/>
  <c r="H609" i="4"/>
  <c r="I609" i="4"/>
  <c r="J609" i="4"/>
  <c r="K609" i="4"/>
  <c r="B610" i="4"/>
  <c r="C610" i="4"/>
  <c r="D610" i="4"/>
  <c r="E610" i="4"/>
  <c r="F610" i="4"/>
  <c r="G610" i="4"/>
  <c r="H610" i="4"/>
  <c r="I610" i="4"/>
  <c r="J610" i="4"/>
  <c r="K610" i="4"/>
  <c r="B611" i="4"/>
  <c r="C611" i="4"/>
  <c r="D611" i="4"/>
  <c r="E611" i="4"/>
  <c r="F611" i="4"/>
  <c r="G611" i="4"/>
  <c r="H611" i="4"/>
  <c r="I611" i="4"/>
  <c r="J611" i="4"/>
  <c r="K611" i="4"/>
  <c r="B612" i="4"/>
  <c r="C612" i="4"/>
  <c r="D612" i="4"/>
  <c r="E612" i="4"/>
  <c r="F612" i="4"/>
  <c r="G612" i="4"/>
  <c r="H612" i="4"/>
  <c r="I612" i="4"/>
  <c r="J612" i="4"/>
  <c r="K612" i="4"/>
  <c r="B613" i="4"/>
  <c r="C613" i="4"/>
  <c r="D613" i="4"/>
  <c r="E613" i="4"/>
  <c r="F613" i="4"/>
  <c r="G613" i="4"/>
  <c r="H613" i="4"/>
  <c r="I613" i="4"/>
  <c r="J613" i="4"/>
  <c r="K613" i="4"/>
  <c r="B614" i="4"/>
  <c r="C614" i="4"/>
  <c r="D614" i="4"/>
  <c r="E614" i="4"/>
  <c r="F614" i="4"/>
  <c r="G614" i="4"/>
  <c r="H614" i="4"/>
  <c r="I614" i="4"/>
  <c r="J614" i="4"/>
  <c r="K614" i="4"/>
  <c r="B615" i="4"/>
  <c r="C615" i="4"/>
  <c r="D615" i="4"/>
  <c r="E615" i="4"/>
  <c r="F615" i="4"/>
  <c r="G615" i="4"/>
  <c r="H615" i="4"/>
  <c r="I615" i="4"/>
  <c r="J615" i="4"/>
  <c r="K615" i="4"/>
  <c r="B616" i="4"/>
  <c r="C616" i="4"/>
  <c r="D616" i="4"/>
  <c r="E616" i="4"/>
  <c r="F616" i="4"/>
  <c r="G616" i="4"/>
  <c r="H616" i="4"/>
  <c r="I616" i="4"/>
  <c r="J616" i="4"/>
  <c r="K616" i="4"/>
  <c r="B617" i="4"/>
  <c r="C617" i="4"/>
  <c r="D617" i="4"/>
  <c r="E617" i="4"/>
  <c r="F617" i="4"/>
  <c r="G617" i="4"/>
  <c r="H617" i="4"/>
  <c r="I617" i="4"/>
  <c r="J617" i="4"/>
  <c r="K617" i="4"/>
  <c r="B618" i="4"/>
  <c r="C618" i="4"/>
  <c r="D618" i="4"/>
  <c r="E618" i="4"/>
  <c r="F618" i="4"/>
  <c r="G618" i="4"/>
  <c r="H618" i="4"/>
  <c r="I618" i="4"/>
  <c r="J618" i="4"/>
  <c r="K618" i="4"/>
  <c r="B619" i="4"/>
  <c r="C619" i="4"/>
  <c r="D619" i="4"/>
  <c r="E619" i="4"/>
  <c r="F619" i="4"/>
  <c r="G619" i="4"/>
  <c r="H619" i="4"/>
  <c r="I619" i="4"/>
  <c r="J619" i="4"/>
  <c r="K619" i="4"/>
  <c r="B620" i="4"/>
  <c r="C620" i="4"/>
  <c r="D620" i="4"/>
  <c r="E620" i="4"/>
  <c r="F620" i="4"/>
  <c r="G620" i="4"/>
  <c r="H620" i="4"/>
  <c r="I620" i="4"/>
  <c r="J620" i="4"/>
  <c r="K620" i="4"/>
  <c r="B621" i="4"/>
  <c r="C621" i="4"/>
  <c r="D621" i="4"/>
  <c r="E621" i="4"/>
  <c r="F621" i="4"/>
  <c r="G621" i="4"/>
  <c r="H621" i="4"/>
  <c r="I621" i="4"/>
  <c r="J621" i="4"/>
  <c r="K621" i="4"/>
  <c r="B622" i="4"/>
  <c r="C622" i="4"/>
  <c r="D622" i="4"/>
  <c r="E622" i="4"/>
  <c r="F622" i="4"/>
  <c r="G622" i="4"/>
  <c r="H622" i="4"/>
  <c r="I622" i="4"/>
  <c r="J622" i="4"/>
  <c r="K622" i="4"/>
  <c r="B623" i="4"/>
  <c r="C623" i="4"/>
  <c r="D623" i="4"/>
  <c r="E623" i="4"/>
  <c r="F623" i="4"/>
  <c r="G623" i="4"/>
  <c r="H623" i="4"/>
  <c r="I623" i="4"/>
  <c r="J623" i="4"/>
  <c r="K623" i="4"/>
  <c r="B624" i="4"/>
  <c r="C624" i="4"/>
  <c r="D624" i="4"/>
  <c r="E624" i="4"/>
  <c r="F624" i="4"/>
  <c r="G624" i="4"/>
  <c r="H624" i="4"/>
  <c r="I624" i="4"/>
  <c r="J624" i="4"/>
  <c r="K624" i="4"/>
  <c r="B625" i="4"/>
  <c r="C625" i="4"/>
  <c r="D625" i="4"/>
  <c r="E625" i="4"/>
  <c r="F625" i="4"/>
  <c r="G625" i="4"/>
  <c r="H625" i="4"/>
  <c r="I625" i="4"/>
  <c r="J625" i="4"/>
  <c r="K625" i="4"/>
  <c r="B626" i="4"/>
  <c r="C626" i="4"/>
  <c r="D626" i="4"/>
  <c r="E626" i="4"/>
  <c r="F626" i="4"/>
  <c r="G626" i="4"/>
  <c r="H626" i="4"/>
  <c r="I626" i="4"/>
  <c r="J626" i="4"/>
  <c r="K626" i="4"/>
  <c r="B627" i="4"/>
  <c r="C627" i="4"/>
  <c r="D627" i="4"/>
  <c r="E627" i="4"/>
  <c r="F627" i="4"/>
  <c r="G627" i="4"/>
  <c r="H627" i="4"/>
  <c r="I627" i="4"/>
  <c r="J627" i="4"/>
  <c r="K627" i="4"/>
  <c r="B628" i="4"/>
  <c r="C628" i="4"/>
  <c r="D628" i="4"/>
  <c r="E628" i="4"/>
  <c r="F628" i="4"/>
  <c r="G628" i="4"/>
  <c r="H628" i="4"/>
  <c r="I628" i="4"/>
  <c r="J628" i="4"/>
  <c r="K628" i="4"/>
  <c r="B629" i="4"/>
  <c r="C629" i="4"/>
  <c r="D629" i="4"/>
  <c r="E629" i="4"/>
  <c r="F629" i="4"/>
  <c r="G629" i="4"/>
  <c r="H629" i="4"/>
  <c r="I629" i="4"/>
  <c r="J629" i="4"/>
  <c r="K629" i="4"/>
  <c r="B630" i="4"/>
  <c r="C630" i="4"/>
  <c r="D630" i="4"/>
  <c r="E630" i="4"/>
  <c r="F630" i="4"/>
  <c r="G630" i="4"/>
  <c r="H630" i="4"/>
  <c r="I630" i="4"/>
  <c r="J630" i="4"/>
  <c r="K630" i="4"/>
  <c r="B631" i="4"/>
  <c r="C631" i="4"/>
  <c r="D631" i="4"/>
  <c r="E631" i="4"/>
  <c r="F631" i="4"/>
  <c r="G631" i="4"/>
  <c r="H631" i="4"/>
  <c r="I631" i="4"/>
  <c r="J631" i="4"/>
  <c r="K631" i="4"/>
  <c r="B632" i="4"/>
  <c r="C632" i="4"/>
  <c r="D632" i="4"/>
  <c r="E632" i="4"/>
  <c r="F632" i="4"/>
  <c r="G632" i="4"/>
  <c r="H632" i="4"/>
  <c r="I632" i="4"/>
  <c r="J632" i="4"/>
  <c r="K632" i="4"/>
  <c r="B633" i="4"/>
  <c r="C633" i="4"/>
  <c r="D633" i="4"/>
  <c r="E633" i="4"/>
  <c r="F633" i="4"/>
  <c r="G633" i="4"/>
  <c r="H633" i="4"/>
  <c r="I633" i="4"/>
  <c r="J633" i="4"/>
  <c r="K633" i="4"/>
  <c r="B634" i="4"/>
  <c r="C634" i="4"/>
  <c r="D634" i="4"/>
  <c r="E634" i="4"/>
  <c r="F634" i="4"/>
  <c r="G634" i="4"/>
  <c r="H634" i="4"/>
  <c r="I634" i="4"/>
  <c r="J634" i="4"/>
  <c r="K634" i="4"/>
  <c r="B635" i="4"/>
  <c r="C635" i="4"/>
  <c r="D635" i="4"/>
  <c r="E635" i="4"/>
  <c r="F635" i="4"/>
  <c r="G635" i="4"/>
  <c r="H635" i="4"/>
  <c r="I635" i="4"/>
  <c r="J635" i="4"/>
  <c r="K635" i="4"/>
  <c r="B636" i="4"/>
  <c r="C636" i="4"/>
  <c r="D636" i="4"/>
  <c r="E636" i="4"/>
  <c r="F636" i="4"/>
  <c r="G636" i="4"/>
  <c r="H636" i="4"/>
  <c r="I636" i="4"/>
  <c r="J636" i="4"/>
  <c r="K636" i="4"/>
  <c r="B637" i="4"/>
  <c r="C637" i="4"/>
  <c r="D637" i="4"/>
  <c r="E637" i="4"/>
  <c r="F637" i="4"/>
  <c r="G637" i="4"/>
  <c r="H637" i="4"/>
  <c r="I637" i="4"/>
  <c r="J637" i="4"/>
  <c r="K637" i="4"/>
  <c r="B638" i="4"/>
  <c r="C638" i="4"/>
  <c r="D638" i="4"/>
  <c r="E638" i="4"/>
  <c r="F638" i="4"/>
  <c r="G638" i="4"/>
  <c r="H638" i="4"/>
  <c r="I638" i="4"/>
  <c r="J638" i="4"/>
  <c r="K638" i="4"/>
  <c r="B639" i="4"/>
  <c r="C639" i="4"/>
  <c r="D639" i="4"/>
  <c r="E639" i="4"/>
  <c r="F639" i="4"/>
  <c r="G639" i="4"/>
  <c r="H639" i="4"/>
  <c r="I639" i="4"/>
  <c r="J639" i="4"/>
  <c r="K639" i="4"/>
  <c r="B640" i="4"/>
  <c r="C640" i="4"/>
  <c r="D640" i="4"/>
  <c r="E640" i="4"/>
  <c r="F640" i="4"/>
  <c r="G640" i="4"/>
  <c r="H640" i="4"/>
  <c r="I640" i="4"/>
  <c r="J640" i="4"/>
  <c r="K640" i="4"/>
  <c r="B641" i="4"/>
  <c r="C641" i="4"/>
  <c r="D641" i="4"/>
  <c r="E641" i="4"/>
  <c r="F641" i="4"/>
  <c r="G641" i="4"/>
  <c r="H641" i="4"/>
  <c r="I641" i="4"/>
  <c r="J641" i="4"/>
  <c r="K641" i="4"/>
  <c r="B642" i="4"/>
  <c r="C642" i="4"/>
  <c r="D642" i="4"/>
  <c r="E642" i="4"/>
  <c r="F642" i="4"/>
  <c r="G642" i="4"/>
  <c r="H642" i="4"/>
  <c r="I642" i="4"/>
  <c r="J642" i="4"/>
  <c r="K642" i="4"/>
  <c r="B643" i="4"/>
  <c r="C643" i="4"/>
  <c r="D643" i="4"/>
  <c r="E643" i="4"/>
  <c r="F643" i="4"/>
  <c r="G643" i="4"/>
  <c r="H643" i="4"/>
  <c r="I643" i="4"/>
  <c r="J643" i="4"/>
  <c r="K643" i="4"/>
  <c r="B644" i="4"/>
  <c r="C644" i="4"/>
  <c r="D644" i="4"/>
  <c r="E644" i="4"/>
  <c r="F644" i="4"/>
  <c r="G644" i="4"/>
  <c r="H644" i="4"/>
  <c r="I644" i="4"/>
  <c r="J644" i="4"/>
  <c r="K644" i="4"/>
  <c r="B645" i="4"/>
  <c r="C645" i="4"/>
  <c r="D645" i="4"/>
  <c r="E645" i="4"/>
  <c r="F645" i="4"/>
  <c r="G645" i="4"/>
  <c r="H645" i="4"/>
  <c r="I645" i="4"/>
  <c r="J645" i="4"/>
  <c r="K645" i="4"/>
  <c r="B646" i="4"/>
  <c r="C646" i="4"/>
  <c r="D646" i="4"/>
  <c r="E646" i="4"/>
  <c r="F646" i="4"/>
  <c r="G646" i="4"/>
  <c r="H646" i="4"/>
  <c r="I646" i="4"/>
  <c r="J646" i="4"/>
  <c r="K646" i="4"/>
  <c r="B647" i="4"/>
  <c r="C647" i="4"/>
  <c r="D647" i="4"/>
  <c r="E647" i="4"/>
  <c r="F647" i="4"/>
  <c r="G647" i="4"/>
  <c r="H647" i="4"/>
  <c r="I647" i="4"/>
  <c r="J647" i="4"/>
  <c r="K647" i="4"/>
  <c r="B648" i="4"/>
  <c r="C648" i="4"/>
  <c r="D648" i="4"/>
  <c r="E648" i="4"/>
  <c r="F648" i="4"/>
  <c r="G648" i="4"/>
  <c r="H648" i="4"/>
  <c r="I648" i="4"/>
  <c r="J648" i="4"/>
  <c r="K648" i="4"/>
  <c r="B649" i="4"/>
  <c r="C649" i="4"/>
  <c r="D649" i="4"/>
  <c r="E649" i="4"/>
  <c r="F649" i="4"/>
  <c r="G649" i="4"/>
  <c r="H649" i="4"/>
  <c r="I649" i="4"/>
  <c r="J649" i="4"/>
  <c r="K649" i="4"/>
  <c r="B650" i="4"/>
  <c r="C650" i="4"/>
  <c r="D650" i="4"/>
  <c r="E650" i="4"/>
  <c r="F650" i="4"/>
  <c r="G650" i="4"/>
  <c r="H650" i="4"/>
  <c r="I650" i="4"/>
  <c r="J650" i="4"/>
  <c r="K650" i="4"/>
  <c r="B651" i="4"/>
  <c r="C651" i="4"/>
  <c r="D651" i="4"/>
  <c r="E651" i="4"/>
  <c r="F651" i="4"/>
  <c r="G651" i="4"/>
  <c r="H651" i="4"/>
  <c r="I651" i="4"/>
  <c r="J651" i="4"/>
  <c r="K651" i="4"/>
  <c r="B652" i="4"/>
  <c r="C652" i="4"/>
  <c r="D652" i="4"/>
  <c r="E652" i="4"/>
  <c r="F652" i="4"/>
  <c r="G652" i="4"/>
  <c r="H652" i="4"/>
  <c r="I652" i="4"/>
  <c r="J652" i="4"/>
  <c r="K652" i="4"/>
  <c r="B653" i="4"/>
  <c r="C653" i="4"/>
  <c r="D653" i="4"/>
  <c r="E653" i="4"/>
  <c r="F653" i="4"/>
  <c r="G653" i="4"/>
  <c r="H653" i="4"/>
  <c r="I653" i="4"/>
  <c r="J653" i="4"/>
  <c r="K653" i="4"/>
  <c r="B654" i="4"/>
  <c r="C654" i="4"/>
  <c r="D654" i="4"/>
  <c r="E654" i="4"/>
  <c r="F654" i="4"/>
  <c r="G654" i="4"/>
  <c r="H654" i="4"/>
  <c r="I654" i="4"/>
  <c r="J654" i="4"/>
  <c r="K654" i="4"/>
  <c r="B655" i="4"/>
  <c r="C655" i="4"/>
  <c r="D655" i="4"/>
  <c r="E655" i="4"/>
  <c r="F655" i="4"/>
  <c r="G655" i="4"/>
  <c r="H655" i="4"/>
  <c r="I655" i="4"/>
  <c r="J655" i="4"/>
  <c r="K655" i="4"/>
  <c r="B656" i="4"/>
  <c r="C656" i="4"/>
  <c r="D656" i="4"/>
  <c r="E656" i="4"/>
  <c r="F656" i="4"/>
  <c r="G656" i="4"/>
  <c r="H656" i="4"/>
  <c r="I656" i="4"/>
  <c r="J656" i="4"/>
  <c r="K656" i="4"/>
  <c r="B657" i="4"/>
  <c r="C657" i="4"/>
  <c r="D657" i="4"/>
  <c r="E657" i="4"/>
  <c r="F657" i="4"/>
  <c r="G657" i="4"/>
  <c r="H657" i="4"/>
  <c r="I657" i="4"/>
  <c r="J657" i="4"/>
  <c r="K657" i="4"/>
  <c r="B658" i="4"/>
  <c r="C658" i="4"/>
  <c r="D658" i="4"/>
  <c r="E658" i="4"/>
  <c r="F658" i="4"/>
  <c r="G658" i="4"/>
  <c r="H658" i="4"/>
  <c r="I658" i="4"/>
  <c r="J658" i="4"/>
  <c r="K658" i="4"/>
  <c r="B659" i="4"/>
  <c r="C659" i="4"/>
  <c r="D659" i="4"/>
  <c r="E659" i="4"/>
  <c r="F659" i="4"/>
  <c r="G659" i="4"/>
  <c r="H659" i="4"/>
  <c r="I659" i="4"/>
  <c r="J659" i="4"/>
  <c r="K659" i="4"/>
  <c r="B660" i="4"/>
  <c r="C660" i="4"/>
  <c r="D660" i="4"/>
  <c r="E660" i="4"/>
  <c r="F660" i="4"/>
  <c r="G660" i="4"/>
  <c r="H660" i="4"/>
  <c r="I660" i="4"/>
  <c r="J660" i="4"/>
  <c r="K660" i="4"/>
  <c r="B661" i="4"/>
  <c r="C661" i="4"/>
  <c r="D661" i="4"/>
  <c r="E661" i="4"/>
  <c r="F661" i="4"/>
  <c r="G661" i="4"/>
  <c r="H661" i="4"/>
  <c r="I661" i="4"/>
  <c r="J661" i="4"/>
  <c r="K661" i="4"/>
  <c r="B662" i="4"/>
  <c r="C662" i="4"/>
  <c r="D662" i="4"/>
  <c r="E662" i="4"/>
  <c r="F662" i="4"/>
  <c r="G662" i="4"/>
  <c r="H662" i="4"/>
  <c r="I662" i="4"/>
  <c r="J662" i="4"/>
  <c r="K662" i="4"/>
  <c r="B663" i="4"/>
  <c r="C663" i="4"/>
  <c r="D663" i="4"/>
  <c r="E663" i="4"/>
  <c r="F663" i="4"/>
  <c r="G663" i="4"/>
  <c r="H663" i="4"/>
  <c r="I663" i="4"/>
  <c r="J663" i="4"/>
  <c r="K663" i="4"/>
  <c r="B664" i="4"/>
  <c r="C664" i="4"/>
  <c r="D664" i="4"/>
  <c r="E664" i="4"/>
  <c r="F664" i="4"/>
  <c r="G664" i="4"/>
  <c r="H664" i="4"/>
  <c r="I664" i="4"/>
  <c r="J664" i="4"/>
  <c r="K664" i="4"/>
  <c r="B665" i="4"/>
  <c r="C665" i="4"/>
  <c r="D665" i="4"/>
  <c r="E665" i="4"/>
  <c r="F665" i="4"/>
  <c r="G665" i="4"/>
  <c r="H665" i="4"/>
  <c r="I665" i="4"/>
  <c r="J665" i="4"/>
  <c r="K665" i="4"/>
  <c r="B666" i="4"/>
  <c r="C666" i="4"/>
  <c r="D666" i="4"/>
  <c r="E666" i="4"/>
  <c r="F666" i="4"/>
  <c r="G666" i="4"/>
  <c r="H666" i="4"/>
  <c r="I666" i="4"/>
  <c r="J666" i="4"/>
  <c r="K666" i="4"/>
  <c r="B667" i="4"/>
  <c r="C667" i="4"/>
  <c r="D667" i="4"/>
  <c r="E667" i="4"/>
  <c r="F667" i="4"/>
  <c r="G667" i="4"/>
  <c r="H667" i="4"/>
  <c r="I667" i="4"/>
  <c r="J667" i="4"/>
  <c r="K667" i="4"/>
  <c r="B668" i="4"/>
  <c r="C668" i="4"/>
  <c r="D668" i="4"/>
  <c r="E668" i="4"/>
  <c r="F668" i="4"/>
  <c r="G668" i="4"/>
  <c r="H668" i="4"/>
  <c r="I668" i="4"/>
  <c r="J668" i="4"/>
  <c r="K668" i="4"/>
  <c r="B669" i="4"/>
  <c r="C669" i="4"/>
  <c r="D669" i="4"/>
  <c r="E669" i="4"/>
  <c r="F669" i="4"/>
  <c r="G669" i="4"/>
  <c r="H669" i="4"/>
  <c r="I669" i="4"/>
  <c r="J669" i="4"/>
  <c r="K669" i="4"/>
  <c r="B670" i="4"/>
  <c r="C670" i="4"/>
  <c r="D670" i="4"/>
  <c r="E670" i="4"/>
  <c r="F670" i="4"/>
  <c r="G670" i="4"/>
  <c r="H670" i="4"/>
  <c r="I670" i="4"/>
  <c r="J670" i="4"/>
  <c r="K670" i="4"/>
  <c r="B671" i="4"/>
  <c r="C671" i="4"/>
  <c r="D671" i="4"/>
  <c r="E671" i="4"/>
  <c r="F671" i="4"/>
  <c r="G671" i="4"/>
  <c r="H671" i="4"/>
  <c r="I671" i="4"/>
  <c r="J671" i="4"/>
  <c r="K671" i="4"/>
  <c r="B672" i="4"/>
  <c r="C672" i="4"/>
  <c r="D672" i="4"/>
  <c r="E672" i="4"/>
  <c r="F672" i="4"/>
  <c r="G672" i="4"/>
  <c r="H672" i="4"/>
  <c r="I672" i="4"/>
  <c r="J672" i="4"/>
  <c r="K672" i="4"/>
  <c r="B673" i="4"/>
  <c r="C673" i="4"/>
  <c r="D673" i="4"/>
  <c r="E673" i="4"/>
  <c r="F673" i="4"/>
  <c r="G673" i="4"/>
  <c r="H673" i="4"/>
  <c r="I673" i="4"/>
  <c r="J673" i="4"/>
  <c r="K673" i="4"/>
  <c r="B674" i="4"/>
  <c r="C674" i="4"/>
  <c r="D674" i="4"/>
  <c r="E674" i="4"/>
  <c r="F674" i="4"/>
  <c r="G674" i="4"/>
  <c r="H674" i="4"/>
  <c r="I674" i="4"/>
  <c r="J674" i="4"/>
  <c r="K674" i="4"/>
  <c r="B675" i="4"/>
  <c r="C675" i="4"/>
  <c r="D675" i="4"/>
  <c r="E675" i="4"/>
  <c r="F675" i="4"/>
  <c r="G675" i="4"/>
  <c r="H675" i="4"/>
  <c r="I675" i="4"/>
  <c r="J675" i="4"/>
  <c r="K675" i="4"/>
  <c r="B676" i="4"/>
  <c r="C676" i="4"/>
  <c r="D676" i="4"/>
  <c r="E676" i="4"/>
  <c r="F676" i="4"/>
  <c r="G676" i="4"/>
  <c r="H676" i="4"/>
  <c r="I676" i="4"/>
  <c r="J676" i="4"/>
  <c r="K676" i="4"/>
  <c r="B677" i="4"/>
  <c r="C677" i="4"/>
  <c r="D677" i="4"/>
  <c r="E677" i="4"/>
  <c r="F677" i="4"/>
  <c r="G677" i="4"/>
  <c r="H677" i="4"/>
  <c r="I677" i="4"/>
  <c r="J677" i="4"/>
  <c r="K677" i="4"/>
  <c r="B678" i="4"/>
  <c r="C678" i="4"/>
  <c r="D678" i="4"/>
  <c r="E678" i="4"/>
  <c r="F678" i="4"/>
  <c r="G678" i="4"/>
  <c r="H678" i="4"/>
  <c r="I678" i="4"/>
  <c r="J678" i="4"/>
  <c r="K678" i="4"/>
  <c r="B679" i="4"/>
  <c r="C679" i="4"/>
  <c r="D679" i="4"/>
  <c r="E679" i="4"/>
  <c r="F679" i="4"/>
  <c r="G679" i="4"/>
  <c r="H679" i="4"/>
  <c r="I679" i="4"/>
  <c r="J679" i="4"/>
  <c r="K679" i="4"/>
  <c r="B680" i="4"/>
  <c r="C680" i="4"/>
  <c r="D680" i="4"/>
  <c r="E680" i="4"/>
  <c r="F680" i="4"/>
  <c r="G680" i="4"/>
  <c r="H680" i="4"/>
  <c r="I680" i="4"/>
  <c r="J680" i="4"/>
  <c r="K680" i="4"/>
  <c r="B681" i="4"/>
  <c r="C681" i="4"/>
  <c r="D681" i="4"/>
  <c r="E681" i="4"/>
  <c r="F681" i="4"/>
  <c r="G681" i="4"/>
  <c r="H681" i="4"/>
  <c r="I681" i="4"/>
  <c r="J681" i="4"/>
  <c r="K681" i="4"/>
  <c r="B682" i="4"/>
  <c r="C682" i="4"/>
  <c r="D682" i="4"/>
  <c r="E682" i="4"/>
  <c r="F682" i="4"/>
  <c r="G682" i="4"/>
  <c r="H682" i="4"/>
  <c r="I682" i="4"/>
  <c r="J682" i="4"/>
  <c r="K682" i="4"/>
  <c r="B683" i="4"/>
  <c r="C683" i="4"/>
  <c r="D683" i="4"/>
  <c r="E683" i="4"/>
  <c r="F683" i="4"/>
  <c r="G683" i="4"/>
  <c r="H683" i="4"/>
  <c r="I683" i="4"/>
  <c r="J683" i="4"/>
  <c r="K683" i="4"/>
  <c r="B684" i="4"/>
  <c r="C684" i="4"/>
  <c r="D684" i="4"/>
  <c r="E684" i="4"/>
  <c r="F684" i="4"/>
  <c r="G684" i="4"/>
  <c r="H684" i="4"/>
  <c r="I684" i="4"/>
  <c r="J684" i="4"/>
  <c r="K684" i="4"/>
  <c r="B685" i="4"/>
  <c r="C685" i="4"/>
  <c r="D685" i="4"/>
  <c r="E685" i="4"/>
  <c r="F685" i="4"/>
  <c r="G685" i="4"/>
  <c r="H685" i="4"/>
  <c r="I685" i="4"/>
  <c r="J685" i="4"/>
  <c r="K685" i="4"/>
  <c r="B686" i="4"/>
  <c r="C686" i="4"/>
  <c r="D686" i="4"/>
  <c r="E686" i="4"/>
  <c r="F686" i="4"/>
  <c r="G686" i="4"/>
  <c r="H686" i="4"/>
  <c r="I686" i="4"/>
  <c r="J686" i="4"/>
  <c r="K686" i="4"/>
  <c r="B687" i="4"/>
  <c r="C687" i="4"/>
  <c r="D687" i="4"/>
  <c r="E687" i="4"/>
  <c r="F687" i="4"/>
  <c r="G687" i="4"/>
  <c r="H687" i="4"/>
  <c r="I687" i="4"/>
  <c r="J687" i="4"/>
  <c r="K687" i="4"/>
  <c r="B688" i="4"/>
  <c r="C688" i="4"/>
  <c r="D688" i="4"/>
  <c r="E688" i="4"/>
  <c r="F688" i="4"/>
  <c r="G688" i="4"/>
  <c r="H688" i="4"/>
  <c r="I688" i="4"/>
  <c r="J688" i="4"/>
  <c r="K688" i="4"/>
  <c r="B689" i="4"/>
  <c r="C689" i="4"/>
  <c r="D689" i="4"/>
  <c r="E689" i="4"/>
  <c r="F689" i="4"/>
  <c r="G689" i="4"/>
  <c r="H689" i="4"/>
  <c r="I689" i="4"/>
  <c r="J689" i="4"/>
  <c r="K689" i="4"/>
  <c r="B690" i="4"/>
  <c r="C690" i="4"/>
  <c r="D690" i="4"/>
  <c r="E690" i="4"/>
  <c r="F690" i="4"/>
  <c r="G690" i="4"/>
  <c r="H690" i="4"/>
  <c r="I690" i="4"/>
  <c r="J690" i="4"/>
  <c r="K690" i="4"/>
  <c r="B691" i="4"/>
  <c r="C691" i="4"/>
  <c r="D691" i="4"/>
  <c r="E691" i="4"/>
  <c r="F691" i="4"/>
  <c r="G691" i="4"/>
  <c r="H691" i="4"/>
  <c r="I691" i="4"/>
  <c r="J691" i="4"/>
  <c r="K691" i="4"/>
  <c r="B692" i="4"/>
  <c r="C692" i="4"/>
  <c r="D692" i="4"/>
  <c r="E692" i="4"/>
  <c r="F692" i="4"/>
  <c r="G692" i="4"/>
  <c r="H692" i="4"/>
  <c r="I692" i="4"/>
  <c r="J692" i="4"/>
  <c r="K692" i="4"/>
  <c r="B693" i="4"/>
  <c r="C693" i="4"/>
  <c r="D693" i="4"/>
  <c r="E693" i="4"/>
  <c r="F693" i="4"/>
  <c r="G693" i="4"/>
  <c r="H693" i="4"/>
  <c r="I693" i="4"/>
  <c r="J693" i="4"/>
  <c r="K693" i="4"/>
  <c r="B694" i="4"/>
  <c r="C694" i="4"/>
  <c r="D694" i="4"/>
  <c r="E694" i="4"/>
  <c r="F694" i="4"/>
  <c r="G694" i="4"/>
  <c r="H694" i="4"/>
  <c r="I694" i="4"/>
  <c r="J694" i="4"/>
  <c r="K694" i="4"/>
  <c r="B695" i="4"/>
  <c r="C695" i="4"/>
  <c r="D695" i="4"/>
  <c r="E695" i="4"/>
  <c r="F695" i="4"/>
  <c r="G695" i="4"/>
  <c r="H695" i="4"/>
  <c r="I695" i="4"/>
  <c r="J695" i="4"/>
  <c r="K695" i="4"/>
  <c r="B696" i="4"/>
  <c r="C696" i="4"/>
  <c r="D696" i="4"/>
  <c r="E696" i="4"/>
  <c r="F696" i="4"/>
  <c r="G696" i="4"/>
  <c r="H696" i="4"/>
  <c r="I696" i="4"/>
  <c r="J696" i="4"/>
  <c r="K696" i="4"/>
  <c r="B697" i="4"/>
  <c r="C697" i="4"/>
  <c r="D697" i="4"/>
  <c r="E697" i="4"/>
  <c r="F697" i="4"/>
  <c r="G697" i="4"/>
  <c r="H697" i="4"/>
  <c r="I697" i="4"/>
  <c r="J697" i="4"/>
  <c r="K697" i="4"/>
  <c r="B698" i="4"/>
  <c r="C698" i="4"/>
  <c r="D698" i="4"/>
  <c r="E698" i="4"/>
  <c r="F698" i="4"/>
  <c r="G698" i="4"/>
  <c r="H698" i="4"/>
  <c r="I698" i="4"/>
  <c r="J698" i="4"/>
  <c r="K698" i="4"/>
  <c r="B699" i="4"/>
  <c r="C699" i="4"/>
  <c r="D699" i="4"/>
  <c r="E699" i="4"/>
  <c r="F699" i="4"/>
  <c r="G699" i="4"/>
  <c r="H699" i="4"/>
  <c r="I699" i="4"/>
  <c r="J699" i="4"/>
  <c r="K699" i="4"/>
  <c r="B700" i="4"/>
  <c r="C700" i="4"/>
  <c r="D700" i="4"/>
  <c r="E700" i="4"/>
  <c r="F700" i="4"/>
  <c r="G700" i="4"/>
  <c r="H700" i="4"/>
  <c r="I700" i="4"/>
  <c r="J700" i="4"/>
  <c r="K700" i="4"/>
  <c r="B701" i="4"/>
  <c r="C701" i="4"/>
  <c r="D701" i="4"/>
  <c r="E701" i="4"/>
  <c r="F701" i="4"/>
  <c r="G701" i="4"/>
  <c r="H701" i="4"/>
  <c r="I701" i="4"/>
  <c r="J701" i="4"/>
  <c r="K701" i="4"/>
  <c r="B702" i="4"/>
  <c r="C702" i="4"/>
  <c r="D702" i="4"/>
  <c r="E702" i="4"/>
  <c r="F702" i="4"/>
  <c r="G702" i="4"/>
  <c r="H702" i="4"/>
  <c r="I702" i="4"/>
  <c r="J702" i="4"/>
  <c r="K702" i="4"/>
  <c r="B703" i="4"/>
  <c r="C703" i="4"/>
  <c r="D703" i="4"/>
  <c r="E703" i="4"/>
  <c r="F703" i="4"/>
  <c r="G703" i="4"/>
  <c r="H703" i="4"/>
  <c r="I703" i="4"/>
  <c r="J703" i="4"/>
  <c r="K703" i="4"/>
  <c r="B704" i="4"/>
  <c r="C704" i="4"/>
  <c r="D704" i="4"/>
  <c r="E704" i="4"/>
  <c r="F704" i="4"/>
  <c r="G704" i="4"/>
  <c r="H704" i="4"/>
  <c r="I704" i="4"/>
  <c r="J704" i="4"/>
  <c r="K704" i="4"/>
  <c r="B705" i="4"/>
  <c r="C705" i="4"/>
  <c r="D705" i="4"/>
  <c r="E705" i="4"/>
  <c r="F705" i="4"/>
  <c r="G705" i="4"/>
  <c r="H705" i="4"/>
  <c r="I705" i="4"/>
  <c r="J705" i="4"/>
  <c r="K705" i="4"/>
  <c r="B706" i="4"/>
  <c r="C706" i="4"/>
  <c r="D706" i="4"/>
  <c r="E706" i="4"/>
  <c r="F706" i="4"/>
  <c r="G706" i="4"/>
  <c r="H706" i="4"/>
  <c r="I706" i="4"/>
  <c r="J706" i="4"/>
  <c r="K706" i="4"/>
  <c r="B707" i="4"/>
  <c r="C707" i="4"/>
  <c r="D707" i="4"/>
  <c r="E707" i="4"/>
  <c r="F707" i="4"/>
  <c r="G707" i="4"/>
  <c r="H707" i="4"/>
  <c r="I707" i="4"/>
  <c r="J707" i="4"/>
  <c r="K707" i="4"/>
  <c r="B708" i="4"/>
  <c r="C708" i="4"/>
  <c r="D708" i="4"/>
  <c r="E708" i="4"/>
  <c r="F708" i="4"/>
  <c r="G708" i="4"/>
  <c r="H708" i="4"/>
  <c r="I708" i="4"/>
  <c r="J708" i="4"/>
  <c r="K708" i="4"/>
  <c r="B709" i="4"/>
  <c r="C709" i="4"/>
  <c r="D709" i="4"/>
  <c r="E709" i="4"/>
  <c r="F709" i="4"/>
  <c r="G709" i="4"/>
  <c r="H709" i="4"/>
  <c r="I709" i="4"/>
  <c r="J709" i="4"/>
  <c r="K709" i="4"/>
  <c r="B710" i="4"/>
  <c r="C710" i="4"/>
  <c r="D710" i="4"/>
  <c r="E710" i="4"/>
  <c r="F710" i="4"/>
  <c r="G710" i="4"/>
  <c r="H710" i="4"/>
  <c r="I710" i="4"/>
  <c r="J710" i="4"/>
  <c r="K710" i="4"/>
  <c r="B711" i="4"/>
  <c r="C711" i="4"/>
  <c r="D711" i="4"/>
  <c r="E711" i="4"/>
  <c r="F711" i="4"/>
  <c r="G711" i="4"/>
  <c r="H711" i="4"/>
  <c r="I711" i="4"/>
  <c r="J711" i="4"/>
  <c r="K711" i="4"/>
  <c r="B712" i="4"/>
  <c r="C712" i="4"/>
  <c r="D712" i="4"/>
  <c r="E712" i="4"/>
  <c r="F712" i="4"/>
  <c r="G712" i="4"/>
  <c r="H712" i="4"/>
  <c r="I712" i="4"/>
  <c r="J712" i="4"/>
  <c r="K712" i="4"/>
  <c r="B713" i="4"/>
  <c r="C713" i="4"/>
  <c r="D713" i="4"/>
  <c r="E713" i="4"/>
  <c r="F713" i="4"/>
  <c r="G713" i="4"/>
  <c r="H713" i="4"/>
  <c r="I713" i="4"/>
  <c r="J713" i="4"/>
  <c r="K713" i="4"/>
  <c r="B714" i="4"/>
  <c r="C714" i="4"/>
  <c r="D714" i="4"/>
  <c r="E714" i="4"/>
  <c r="F714" i="4"/>
  <c r="G714" i="4"/>
  <c r="H714" i="4"/>
  <c r="I714" i="4"/>
  <c r="J714" i="4"/>
  <c r="K714" i="4"/>
  <c r="B715" i="4"/>
  <c r="C715" i="4"/>
  <c r="D715" i="4"/>
  <c r="E715" i="4"/>
  <c r="F715" i="4"/>
  <c r="G715" i="4"/>
  <c r="H715" i="4"/>
  <c r="I715" i="4"/>
  <c r="J715" i="4"/>
  <c r="K715" i="4"/>
  <c r="B716" i="4"/>
  <c r="C716" i="4"/>
  <c r="D716" i="4"/>
  <c r="E716" i="4"/>
  <c r="F716" i="4"/>
  <c r="G716" i="4"/>
  <c r="H716" i="4"/>
  <c r="I716" i="4"/>
  <c r="J716" i="4"/>
  <c r="K716" i="4"/>
  <c r="B717" i="4"/>
  <c r="C717" i="4"/>
  <c r="D717" i="4"/>
  <c r="E717" i="4"/>
  <c r="F717" i="4"/>
  <c r="G717" i="4"/>
  <c r="H717" i="4"/>
  <c r="I717" i="4"/>
  <c r="J717" i="4"/>
  <c r="K717" i="4"/>
  <c r="B718" i="4"/>
  <c r="C718" i="4"/>
  <c r="D718" i="4"/>
  <c r="E718" i="4"/>
  <c r="F718" i="4"/>
  <c r="G718" i="4"/>
  <c r="H718" i="4"/>
  <c r="I718" i="4"/>
  <c r="J718" i="4"/>
  <c r="K718" i="4"/>
  <c r="B719" i="4"/>
  <c r="C719" i="4"/>
  <c r="D719" i="4"/>
  <c r="E719" i="4"/>
  <c r="F719" i="4"/>
  <c r="G719" i="4"/>
  <c r="H719" i="4"/>
  <c r="I719" i="4"/>
  <c r="J719" i="4"/>
  <c r="K719" i="4"/>
  <c r="B720" i="4"/>
  <c r="C720" i="4"/>
  <c r="D720" i="4"/>
  <c r="E720" i="4"/>
  <c r="F720" i="4"/>
  <c r="G720" i="4"/>
  <c r="H720" i="4"/>
  <c r="I720" i="4"/>
  <c r="J720" i="4"/>
  <c r="K720" i="4"/>
  <c r="B721" i="4"/>
  <c r="C721" i="4"/>
  <c r="D721" i="4"/>
  <c r="E721" i="4"/>
  <c r="F721" i="4"/>
  <c r="G721" i="4"/>
  <c r="H721" i="4"/>
  <c r="I721" i="4"/>
  <c r="J721" i="4"/>
  <c r="K721" i="4"/>
  <c r="B722" i="4"/>
  <c r="C722" i="4"/>
  <c r="D722" i="4"/>
  <c r="E722" i="4"/>
  <c r="F722" i="4"/>
  <c r="G722" i="4"/>
  <c r="H722" i="4"/>
  <c r="I722" i="4"/>
  <c r="J722" i="4"/>
  <c r="K722" i="4"/>
  <c r="B723" i="4"/>
  <c r="C723" i="4"/>
  <c r="D723" i="4"/>
  <c r="E723" i="4"/>
  <c r="F723" i="4"/>
  <c r="G723" i="4"/>
  <c r="H723" i="4"/>
  <c r="I723" i="4"/>
  <c r="J723" i="4"/>
  <c r="K723" i="4"/>
  <c r="B724" i="4"/>
  <c r="C724" i="4"/>
  <c r="D724" i="4"/>
  <c r="E724" i="4"/>
  <c r="F724" i="4"/>
  <c r="G724" i="4"/>
  <c r="H724" i="4"/>
  <c r="I724" i="4"/>
  <c r="J724" i="4"/>
  <c r="K724" i="4"/>
  <c r="B725" i="4"/>
  <c r="C725" i="4"/>
  <c r="D725" i="4"/>
  <c r="E725" i="4"/>
  <c r="F725" i="4"/>
  <c r="G725" i="4"/>
  <c r="H725" i="4"/>
  <c r="I725" i="4"/>
  <c r="J725" i="4"/>
  <c r="K725" i="4"/>
  <c r="B726" i="4"/>
  <c r="C726" i="4"/>
  <c r="D726" i="4"/>
  <c r="E726" i="4"/>
  <c r="F726" i="4"/>
  <c r="G726" i="4"/>
  <c r="H726" i="4"/>
  <c r="I726" i="4"/>
  <c r="J726" i="4"/>
  <c r="K726" i="4"/>
  <c r="B727" i="4"/>
  <c r="C727" i="4"/>
  <c r="D727" i="4"/>
  <c r="E727" i="4"/>
  <c r="F727" i="4"/>
  <c r="G727" i="4"/>
  <c r="H727" i="4"/>
  <c r="I727" i="4"/>
  <c r="J727" i="4"/>
  <c r="K727" i="4"/>
  <c r="B728" i="4"/>
  <c r="C728" i="4"/>
  <c r="D728" i="4"/>
  <c r="E728" i="4"/>
  <c r="F728" i="4"/>
  <c r="G728" i="4"/>
  <c r="H728" i="4"/>
  <c r="I728" i="4"/>
  <c r="J728" i="4"/>
  <c r="K728" i="4"/>
  <c r="B729" i="4"/>
  <c r="C729" i="4"/>
  <c r="D729" i="4"/>
  <c r="E729" i="4"/>
  <c r="F729" i="4"/>
  <c r="G729" i="4"/>
  <c r="H729" i="4"/>
  <c r="I729" i="4"/>
  <c r="J729" i="4"/>
  <c r="K729" i="4"/>
  <c r="B730" i="4"/>
  <c r="C730" i="4"/>
  <c r="D730" i="4"/>
  <c r="E730" i="4"/>
  <c r="F730" i="4"/>
  <c r="G730" i="4"/>
  <c r="H730" i="4"/>
  <c r="I730" i="4"/>
  <c r="J730" i="4"/>
  <c r="K730" i="4"/>
  <c r="B731" i="4"/>
  <c r="C731" i="4"/>
  <c r="D731" i="4"/>
  <c r="E731" i="4"/>
  <c r="F731" i="4"/>
  <c r="G731" i="4"/>
  <c r="H731" i="4"/>
  <c r="I731" i="4"/>
  <c r="J731" i="4"/>
  <c r="K731" i="4"/>
  <c r="B732" i="4"/>
  <c r="C732" i="4"/>
  <c r="D732" i="4"/>
  <c r="E732" i="4"/>
  <c r="F732" i="4"/>
  <c r="G732" i="4"/>
  <c r="H732" i="4"/>
  <c r="I732" i="4"/>
  <c r="J732" i="4"/>
  <c r="K732" i="4"/>
  <c r="B733" i="4"/>
  <c r="C733" i="4"/>
  <c r="D733" i="4"/>
  <c r="E733" i="4"/>
  <c r="F733" i="4"/>
  <c r="G733" i="4"/>
  <c r="H733" i="4"/>
  <c r="I733" i="4"/>
  <c r="J733" i="4"/>
  <c r="K733" i="4"/>
  <c r="B734" i="4"/>
  <c r="C734" i="4"/>
  <c r="D734" i="4"/>
  <c r="E734" i="4"/>
  <c r="F734" i="4"/>
  <c r="G734" i="4"/>
  <c r="H734" i="4"/>
  <c r="I734" i="4"/>
  <c r="J734" i="4"/>
  <c r="K734" i="4"/>
  <c r="B735" i="4"/>
  <c r="C735" i="4"/>
  <c r="D735" i="4"/>
  <c r="E735" i="4"/>
  <c r="F735" i="4"/>
  <c r="G735" i="4"/>
  <c r="H735" i="4"/>
  <c r="I735" i="4"/>
  <c r="J735" i="4"/>
  <c r="K735" i="4"/>
  <c r="B736" i="4"/>
  <c r="C736" i="4"/>
  <c r="D736" i="4"/>
  <c r="E736" i="4"/>
  <c r="F736" i="4"/>
  <c r="G736" i="4"/>
  <c r="H736" i="4"/>
  <c r="I736" i="4"/>
  <c r="J736" i="4"/>
  <c r="K736" i="4"/>
  <c r="B737" i="4"/>
  <c r="C737" i="4"/>
  <c r="D737" i="4"/>
  <c r="E737" i="4"/>
  <c r="F737" i="4"/>
  <c r="G737" i="4"/>
  <c r="H737" i="4"/>
  <c r="I737" i="4"/>
  <c r="J737" i="4"/>
  <c r="K737" i="4"/>
  <c r="B738" i="4"/>
  <c r="C738" i="4"/>
  <c r="D738" i="4"/>
  <c r="E738" i="4"/>
  <c r="F738" i="4"/>
  <c r="G738" i="4"/>
  <c r="H738" i="4"/>
  <c r="I738" i="4"/>
  <c r="J738" i="4"/>
  <c r="K738" i="4"/>
  <c r="B739" i="4"/>
  <c r="C739" i="4"/>
  <c r="D739" i="4"/>
  <c r="E739" i="4"/>
  <c r="F739" i="4"/>
  <c r="G739" i="4"/>
  <c r="H739" i="4"/>
  <c r="I739" i="4"/>
  <c r="J739" i="4"/>
  <c r="K739" i="4"/>
  <c r="B740" i="4"/>
  <c r="C740" i="4"/>
  <c r="D740" i="4"/>
  <c r="E740" i="4"/>
  <c r="F740" i="4"/>
  <c r="G740" i="4"/>
  <c r="H740" i="4"/>
  <c r="I740" i="4"/>
  <c r="J740" i="4"/>
  <c r="K740" i="4"/>
  <c r="B741" i="4"/>
  <c r="C741" i="4"/>
  <c r="D741" i="4"/>
  <c r="E741" i="4"/>
  <c r="F741" i="4"/>
  <c r="G741" i="4"/>
  <c r="H741" i="4"/>
  <c r="I741" i="4"/>
  <c r="J741" i="4"/>
  <c r="K741" i="4"/>
  <c r="B742" i="4"/>
  <c r="C742" i="4"/>
  <c r="D742" i="4"/>
  <c r="E742" i="4"/>
  <c r="F742" i="4"/>
  <c r="G742" i="4"/>
  <c r="H742" i="4"/>
  <c r="I742" i="4"/>
  <c r="J742" i="4"/>
  <c r="K742" i="4"/>
  <c r="B743" i="4"/>
  <c r="C743" i="4"/>
  <c r="D743" i="4"/>
  <c r="E743" i="4"/>
  <c r="F743" i="4"/>
  <c r="G743" i="4"/>
  <c r="H743" i="4"/>
  <c r="I743" i="4"/>
  <c r="J743" i="4"/>
  <c r="K743" i="4"/>
  <c r="B744" i="4"/>
  <c r="C744" i="4"/>
  <c r="D744" i="4"/>
  <c r="E744" i="4"/>
  <c r="F744" i="4"/>
  <c r="G744" i="4"/>
  <c r="H744" i="4"/>
  <c r="I744" i="4"/>
  <c r="J744" i="4"/>
  <c r="K744" i="4"/>
  <c r="B745" i="4"/>
  <c r="C745" i="4"/>
  <c r="D745" i="4"/>
  <c r="E745" i="4"/>
  <c r="F745" i="4"/>
  <c r="G745" i="4"/>
  <c r="H745" i="4"/>
  <c r="I745" i="4"/>
  <c r="J745" i="4"/>
  <c r="K745" i="4"/>
  <c r="B746" i="4"/>
  <c r="C746" i="4"/>
  <c r="D746" i="4"/>
  <c r="E746" i="4"/>
  <c r="F746" i="4"/>
  <c r="G746" i="4"/>
  <c r="H746" i="4"/>
  <c r="I746" i="4"/>
  <c r="J746" i="4"/>
  <c r="K746" i="4"/>
  <c r="B747" i="4"/>
  <c r="C747" i="4"/>
  <c r="D747" i="4"/>
  <c r="E747" i="4"/>
  <c r="F747" i="4"/>
  <c r="G747" i="4"/>
  <c r="H747" i="4"/>
  <c r="I747" i="4"/>
  <c r="J747" i="4"/>
  <c r="K747" i="4"/>
  <c r="B748" i="4"/>
  <c r="C748" i="4"/>
  <c r="D748" i="4"/>
  <c r="E748" i="4"/>
  <c r="F748" i="4"/>
  <c r="G748" i="4"/>
  <c r="H748" i="4"/>
  <c r="I748" i="4"/>
  <c r="J748" i="4"/>
  <c r="K748" i="4"/>
  <c r="B749" i="4"/>
  <c r="C749" i="4"/>
  <c r="D749" i="4"/>
  <c r="E749" i="4"/>
  <c r="F749" i="4"/>
  <c r="G749" i="4"/>
  <c r="H749" i="4"/>
  <c r="I749" i="4"/>
  <c r="J749" i="4"/>
  <c r="K749" i="4"/>
  <c r="B750" i="4"/>
  <c r="C750" i="4"/>
  <c r="D750" i="4"/>
  <c r="E750" i="4"/>
  <c r="F750" i="4"/>
  <c r="G750" i="4"/>
  <c r="H750" i="4"/>
  <c r="I750" i="4"/>
  <c r="J750" i="4"/>
  <c r="K750" i="4"/>
  <c r="B751" i="4"/>
  <c r="C751" i="4"/>
  <c r="D751" i="4"/>
  <c r="E751" i="4"/>
  <c r="F751" i="4"/>
  <c r="G751" i="4"/>
  <c r="H751" i="4"/>
  <c r="I751" i="4"/>
  <c r="J751" i="4"/>
  <c r="K751" i="4"/>
  <c r="B752" i="4"/>
  <c r="C752" i="4"/>
  <c r="D752" i="4"/>
  <c r="E752" i="4"/>
  <c r="F752" i="4"/>
  <c r="G752" i="4"/>
  <c r="H752" i="4"/>
  <c r="I752" i="4"/>
  <c r="J752" i="4"/>
  <c r="K752" i="4"/>
  <c r="B753" i="4"/>
  <c r="C753" i="4"/>
  <c r="D753" i="4"/>
  <c r="E753" i="4"/>
  <c r="F753" i="4"/>
  <c r="G753" i="4"/>
  <c r="H753" i="4"/>
  <c r="I753" i="4"/>
  <c r="J753" i="4"/>
  <c r="K753" i="4"/>
  <c r="B754" i="4"/>
  <c r="C754" i="4"/>
  <c r="D754" i="4"/>
  <c r="E754" i="4"/>
  <c r="F754" i="4"/>
  <c r="G754" i="4"/>
  <c r="H754" i="4"/>
  <c r="I754" i="4"/>
  <c r="J754" i="4"/>
  <c r="K754" i="4"/>
  <c r="B755" i="4"/>
  <c r="C755" i="4"/>
  <c r="D755" i="4"/>
  <c r="E755" i="4"/>
  <c r="F755" i="4"/>
  <c r="G755" i="4"/>
  <c r="H755" i="4"/>
  <c r="I755" i="4"/>
  <c r="J755" i="4"/>
  <c r="K755" i="4"/>
  <c r="B756" i="4"/>
  <c r="C756" i="4"/>
  <c r="D756" i="4"/>
  <c r="E756" i="4"/>
  <c r="F756" i="4"/>
  <c r="G756" i="4"/>
  <c r="H756" i="4"/>
  <c r="I756" i="4"/>
  <c r="J756" i="4"/>
  <c r="K756" i="4"/>
  <c r="B757" i="4"/>
  <c r="C757" i="4"/>
  <c r="D757" i="4"/>
  <c r="E757" i="4"/>
  <c r="F757" i="4"/>
  <c r="G757" i="4"/>
  <c r="H757" i="4"/>
  <c r="I757" i="4"/>
  <c r="J757" i="4"/>
  <c r="K757" i="4"/>
  <c r="B758" i="4"/>
  <c r="C758" i="4"/>
  <c r="D758" i="4"/>
  <c r="E758" i="4"/>
  <c r="F758" i="4"/>
  <c r="G758" i="4"/>
  <c r="H758" i="4"/>
  <c r="I758" i="4"/>
  <c r="J758" i="4"/>
  <c r="K758" i="4"/>
  <c r="B759" i="4"/>
  <c r="C759" i="4"/>
  <c r="D759" i="4"/>
  <c r="E759" i="4"/>
  <c r="F759" i="4"/>
  <c r="G759" i="4"/>
  <c r="H759" i="4"/>
  <c r="I759" i="4"/>
  <c r="J759" i="4"/>
  <c r="K759" i="4"/>
  <c r="B760" i="4"/>
  <c r="C760" i="4"/>
  <c r="D760" i="4"/>
  <c r="E760" i="4"/>
  <c r="F760" i="4"/>
  <c r="G760" i="4"/>
  <c r="H760" i="4"/>
  <c r="I760" i="4"/>
  <c r="J760" i="4"/>
  <c r="K760" i="4"/>
  <c r="B761" i="4"/>
  <c r="C761" i="4"/>
  <c r="D761" i="4"/>
  <c r="E761" i="4"/>
  <c r="F761" i="4"/>
  <c r="G761" i="4"/>
  <c r="H761" i="4"/>
  <c r="I761" i="4"/>
  <c r="J761" i="4"/>
  <c r="K761" i="4"/>
  <c r="B762" i="4"/>
  <c r="C762" i="4"/>
  <c r="D762" i="4"/>
  <c r="E762" i="4"/>
  <c r="F762" i="4"/>
  <c r="G762" i="4"/>
  <c r="H762" i="4"/>
  <c r="I762" i="4"/>
  <c r="J762" i="4"/>
  <c r="K762" i="4"/>
  <c r="B763" i="4"/>
  <c r="C763" i="4"/>
  <c r="D763" i="4"/>
  <c r="E763" i="4"/>
  <c r="F763" i="4"/>
  <c r="G763" i="4"/>
  <c r="H763" i="4"/>
  <c r="I763" i="4"/>
  <c r="J763" i="4"/>
  <c r="K763" i="4"/>
  <c r="B764" i="4"/>
  <c r="C764" i="4"/>
  <c r="D764" i="4"/>
  <c r="E764" i="4"/>
  <c r="F764" i="4"/>
  <c r="G764" i="4"/>
  <c r="H764" i="4"/>
  <c r="I764" i="4"/>
  <c r="J764" i="4"/>
  <c r="K764" i="4"/>
  <c r="B765" i="4"/>
  <c r="C765" i="4"/>
  <c r="D765" i="4"/>
  <c r="E765" i="4"/>
  <c r="F765" i="4"/>
  <c r="G765" i="4"/>
  <c r="H765" i="4"/>
  <c r="I765" i="4"/>
  <c r="J765" i="4"/>
  <c r="K765" i="4"/>
  <c r="B766" i="4"/>
  <c r="C766" i="4"/>
  <c r="D766" i="4"/>
  <c r="E766" i="4"/>
  <c r="F766" i="4"/>
  <c r="G766" i="4"/>
  <c r="H766" i="4"/>
  <c r="I766" i="4"/>
  <c r="J766" i="4"/>
  <c r="K766" i="4"/>
  <c r="B767" i="4"/>
  <c r="C767" i="4"/>
  <c r="D767" i="4"/>
  <c r="E767" i="4"/>
  <c r="F767" i="4"/>
  <c r="G767" i="4"/>
  <c r="H767" i="4"/>
  <c r="I767" i="4"/>
  <c r="J767" i="4"/>
  <c r="K767" i="4"/>
  <c r="B768" i="4"/>
  <c r="C768" i="4"/>
  <c r="D768" i="4"/>
  <c r="E768" i="4"/>
  <c r="F768" i="4"/>
  <c r="G768" i="4"/>
  <c r="H768" i="4"/>
  <c r="I768" i="4"/>
  <c r="J768" i="4"/>
  <c r="K768" i="4"/>
  <c r="B769" i="4"/>
  <c r="C769" i="4"/>
  <c r="D769" i="4"/>
  <c r="E769" i="4"/>
  <c r="F769" i="4"/>
  <c r="G769" i="4"/>
  <c r="H769" i="4"/>
  <c r="I769" i="4"/>
  <c r="J769" i="4"/>
  <c r="K769" i="4"/>
  <c r="B770" i="4"/>
  <c r="C770" i="4"/>
  <c r="D770" i="4"/>
  <c r="E770" i="4"/>
  <c r="F770" i="4"/>
  <c r="G770" i="4"/>
  <c r="H770" i="4"/>
  <c r="I770" i="4"/>
  <c r="J770" i="4"/>
  <c r="K770" i="4"/>
  <c r="B771" i="4"/>
  <c r="C771" i="4"/>
  <c r="D771" i="4"/>
  <c r="E771" i="4"/>
  <c r="F771" i="4"/>
  <c r="G771" i="4"/>
  <c r="H771" i="4"/>
  <c r="I771" i="4"/>
  <c r="J771" i="4"/>
  <c r="K771" i="4"/>
  <c r="B772" i="4"/>
  <c r="C772" i="4"/>
  <c r="D772" i="4"/>
  <c r="E772" i="4"/>
  <c r="F772" i="4"/>
  <c r="G772" i="4"/>
  <c r="H772" i="4"/>
  <c r="I772" i="4"/>
  <c r="J772" i="4"/>
  <c r="K772" i="4"/>
  <c r="B773" i="4"/>
  <c r="C773" i="4"/>
  <c r="D773" i="4"/>
  <c r="E773" i="4"/>
  <c r="F773" i="4"/>
  <c r="G773" i="4"/>
  <c r="H773" i="4"/>
  <c r="I773" i="4"/>
  <c r="J773" i="4"/>
  <c r="K773" i="4"/>
  <c r="B774" i="4"/>
  <c r="C774" i="4"/>
  <c r="D774" i="4"/>
  <c r="E774" i="4"/>
  <c r="F774" i="4"/>
  <c r="G774" i="4"/>
  <c r="H774" i="4"/>
  <c r="I774" i="4"/>
  <c r="J774" i="4"/>
  <c r="K774" i="4"/>
  <c r="B775" i="4"/>
  <c r="C775" i="4"/>
  <c r="D775" i="4"/>
  <c r="E775" i="4"/>
  <c r="F775" i="4"/>
  <c r="G775" i="4"/>
  <c r="H775" i="4"/>
  <c r="I775" i="4"/>
  <c r="J775" i="4"/>
  <c r="K775" i="4"/>
  <c r="B776" i="4"/>
  <c r="C776" i="4"/>
  <c r="D776" i="4"/>
  <c r="E776" i="4"/>
  <c r="F776" i="4"/>
  <c r="G776" i="4"/>
  <c r="H776" i="4"/>
  <c r="I776" i="4"/>
  <c r="J776" i="4"/>
  <c r="K776" i="4"/>
  <c r="B777" i="4"/>
  <c r="C777" i="4"/>
  <c r="D777" i="4"/>
  <c r="E777" i="4"/>
  <c r="F777" i="4"/>
  <c r="G777" i="4"/>
  <c r="H777" i="4"/>
  <c r="I777" i="4"/>
  <c r="J777" i="4"/>
  <c r="K777" i="4"/>
  <c r="B778" i="4"/>
  <c r="C778" i="4"/>
  <c r="D778" i="4"/>
  <c r="E778" i="4"/>
  <c r="F778" i="4"/>
  <c r="G778" i="4"/>
  <c r="H778" i="4"/>
  <c r="I778" i="4"/>
  <c r="J778" i="4"/>
  <c r="K778" i="4"/>
  <c r="B779" i="4"/>
  <c r="C779" i="4"/>
  <c r="D779" i="4"/>
  <c r="E779" i="4"/>
  <c r="F779" i="4"/>
  <c r="G779" i="4"/>
  <c r="H779" i="4"/>
  <c r="I779" i="4"/>
  <c r="J779" i="4"/>
  <c r="K779" i="4"/>
  <c r="B780" i="4"/>
  <c r="C780" i="4"/>
  <c r="D780" i="4"/>
  <c r="E780" i="4"/>
  <c r="F780" i="4"/>
  <c r="G780" i="4"/>
  <c r="H780" i="4"/>
  <c r="I780" i="4"/>
  <c r="J780" i="4"/>
  <c r="K780" i="4"/>
  <c r="B781" i="4"/>
  <c r="C781" i="4"/>
  <c r="D781" i="4"/>
  <c r="E781" i="4"/>
  <c r="F781" i="4"/>
  <c r="G781" i="4"/>
  <c r="H781" i="4"/>
  <c r="I781" i="4"/>
  <c r="J781" i="4"/>
  <c r="K781" i="4"/>
  <c r="B782" i="4"/>
  <c r="C782" i="4"/>
  <c r="D782" i="4"/>
  <c r="E782" i="4"/>
  <c r="F782" i="4"/>
  <c r="G782" i="4"/>
  <c r="H782" i="4"/>
  <c r="I782" i="4"/>
  <c r="J782" i="4"/>
  <c r="K782" i="4"/>
  <c r="B783" i="4"/>
  <c r="C783" i="4"/>
  <c r="D783" i="4"/>
  <c r="E783" i="4"/>
  <c r="F783" i="4"/>
  <c r="G783" i="4"/>
  <c r="H783" i="4"/>
  <c r="I783" i="4"/>
  <c r="J783" i="4"/>
  <c r="K783" i="4"/>
  <c r="B784" i="4"/>
  <c r="C784" i="4"/>
  <c r="D784" i="4"/>
  <c r="E784" i="4"/>
  <c r="F784" i="4"/>
  <c r="G784" i="4"/>
  <c r="H784" i="4"/>
  <c r="I784" i="4"/>
  <c r="J784" i="4"/>
  <c r="K784" i="4"/>
  <c r="B785" i="4"/>
  <c r="C785" i="4"/>
  <c r="D785" i="4"/>
  <c r="E785" i="4"/>
  <c r="F785" i="4"/>
  <c r="G785" i="4"/>
  <c r="H785" i="4"/>
  <c r="I785" i="4"/>
  <c r="J785" i="4"/>
  <c r="K785" i="4"/>
  <c r="B786" i="4"/>
  <c r="C786" i="4"/>
  <c r="D786" i="4"/>
  <c r="E786" i="4"/>
  <c r="F786" i="4"/>
  <c r="G786" i="4"/>
  <c r="H786" i="4"/>
  <c r="I786" i="4"/>
  <c r="J786" i="4"/>
  <c r="K786" i="4"/>
  <c r="B787" i="4"/>
  <c r="C787" i="4"/>
  <c r="D787" i="4"/>
  <c r="E787" i="4"/>
  <c r="F787" i="4"/>
  <c r="G787" i="4"/>
  <c r="H787" i="4"/>
  <c r="I787" i="4"/>
  <c r="J787" i="4"/>
  <c r="K787" i="4"/>
  <c r="B788" i="4"/>
  <c r="C788" i="4"/>
  <c r="D788" i="4"/>
  <c r="E788" i="4"/>
  <c r="F788" i="4"/>
  <c r="G788" i="4"/>
  <c r="H788" i="4"/>
  <c r="I788" i="4"/>
  <c r="J788" i="4"/>
  <c r="K788" i="4"/>
  <c r="B789" i="4"/>
  <c r="C789" i="4"/>
  <c r="D789" i="4"/>
  <c r="E789" i="4"/>
  <c r="F789" i="4"/>
  <c r="G789" i="4"/>
  <c r="H789" i="4"/>
  <c r="I789" i="4"/>
  <c r="J789" i="4"/>
  <c r="K789" i="4"/>
  <c r="B790" i="4"/>
  <c r="C790" i="4"/>
  <c r="D790" i="4"/>
  <c r="E790" i="4"/>
  <c r="F790" i="4"/>
  <c r="G790" i="4"/>
  <c r="H790" i="4"/>
  <c r="I790" i="4"/>
  <c r="J790" i="4"/>
  <c r="K790" i="4"/>
  <c r="B791" i="4"/>
  <c r="C791" i="4"/>
  <c r="D791" i="4"/>
  <c r="E791" i="4"/>
  <c r="F791" i="4"/>
  <c r="G791" i="4"/>
  <c r="H791" i="4"/>
  <c r="I791" i="4"/>
  <c r="J791" i="4"/>
  <c r="K791" i="4"/>
  <c r="B792" i="4"/>
  <c r="C792" i="4"/>
  <c r="D792" i="4"/>
  <c r="E792" i="4"/>
  <c r="F792" i="4"/>
  <c r="G792" i="4"/>
  <c r="H792" i="4"/>
  <c r="I792" i="4"/>
  <c r="J792" i="4"/>
  <c r="K792" i="4"/>
  <c r="B793" i="4"/>
  <c r="C793" i="4"/>
  <c r="D793" i="4"/>
  <c r="E793" i="4"/>
  <c r="F793" i="4"/>
  <c r="G793" i="4"/>
  <c r="H793" i="4"/>
  <c r="I793" i="4"/>
  <c r="J793" i="4"/>
  <c r="K793" i="4"/>
  <c r="B794" i="4"/>
  <c r="C794" i="4"/>
  <c r="D794" i="4"/>
  <c r="E794" i="4"/>
  <c r="F794" i="4"/>
  <c r="G794" i="4"/>
  <c r="H794" i="4"/>
  <c r="I794" i="4"/>
  <c r="J794" i="4"/>
  <c r="K794" i="4"/>
  <c r="B795" i="4"/>
  <c r="C795" i="4"/>
  <c r="D795" i="4"/>
  <c r="E795" i="4"/>
  <c r="F795" i="4"/>
  <c r="G795" i="4"/>
  <c r="H795" i="4"/>
  <c r="I795" i="4"/>
  <c r="J795" i="4"/>
  <c r="K795" i="4"/>
  <c r="B796" i="4"/>
  <c r="C796" i="4"/>
  <c r="D796" i="4"/>
  <c r="E796" i="4"/>
  <c r="F796" i="4"/>
  <c r="G796" i="4"/>
  <c r="H796" i="4"/>
  <c r="I796" i="4"/>
  <c r="J796" i="4"/>
  <c r="K796" i="4"/>
  <c r="B797" i="4"/>
  <c r="C797" i="4"/>
  <c r="D797" i="4"/>
  <c r="E797" i="4"/>
  <c r="F797" i="4"/>
  <c r="G797" i="4"/>
  <c r="H797" i="4"/>
  <c r="I797" i="4"/>
  <c r="J797" i="4"/>
  <c r="K797" i="4"/>
  <c r="B798" i="4"/>
  <c r="C798" i="4"/>
  <c r="D798" i="4"/>
  <c r="E798" i="4"/>
  <c r="F798" i="4"/>
  <c r="G798" i="4"/>
  <c r="H798" i="4"/>
  <c r="I798" i="4"/>
  <c r="J798" i="4"/>
  <c r="K798" i="4"/>
  <c r="B799" i="4"/>
  <c r="C799" i="4"/>
  <c r="D799" i="4"/>
  <c r="E799" i="4"/>
  <c r="F799" i="4"/>
  <c r="G799" i="4"/>
  <c r="H799" i="4"/>
  <c r="I799" i="4"/>
  <c r="J799" i="4"/>
  <c r="K799" i="4"/>
  <c r="B800" i="4"/>
  <c r="C800" i="4"/>
  <c r="D800" i="4"/>
  <c r="E800" i="4"/>
  <c r="F800" i="4"/>
  <c r="G800" i="4"/>
  <c r="H800" i="4"/>
  <c r="I800" i="4"/>
  <c r="J800" i="4"/>
  <c r="K800" i="4"/>
  <c r="B801" i="4"/>
  <c r="C801" i="4"/>
  <c r="D801" i="4"/>
  <c r="E801" i="4"/>
  <c r="F801" i="4"/>
  <c r="G801" i="4"/>
  <c r="H801" i="4"/>
  <c r="I801" i="4"/>
  <c r="J801" i="4"/>
  <c r="K801" i="4"/>
  <c r="B802" i="4"/>
  <c r="C802" i="4"/>
  <c r="D802" i="4"/>
  <c r="E802" i="4"/>
  <c r="F802" i="4"/>
  <c r="G802" i="4"/>
  <c r="H802" i="4"/>
  <c r="I802" i="4"/>
  <c r="J802" i="4"/>
  <c r="K802" i="4"/>
  <c r="B803" i="4"/>
  <c r="C803" i="4"/>
  <c r="D803" i="4"/>
  <c r="E803" i="4"/>
  <c r="F803" i="4"/>
  <c r="G803" i="4"/>
  <c r="H803" i="4"/>
  <c r="I803" i="4"/>
  <c r="J803" i="4"/>
  <c r="K803" i="4"/>
  <c r="B804" i="4"/>
  <c r="C804" i="4"/>
  <c r="D804" i="4"/>
  <c r="E804" i="4"/>
  <c r="F804" i="4"/>
  <c r="G804" i="4"/>
  <c r="H804" i="4"/>
  <c r="I804" i="4"/>
  <c r="J804" i="4"/>
  <c r="K804" i="4"/>
  <c r="B805" i="4"/>
  <c r="C805" i="4"/>
  <c r="D805" i="4"/>
  <c r="E805" i="4"/>
  <c r="F805" i="4"/>
  <c r="G805" i="4"/>
  <c r="H805" i="4"/>
  <c r="I805" i="4"/>
  <c r="J805" i="4"/>
  <c r="K805" i="4"/>
  <c r="B806" i="4"/>
  <c r="C806" i="4"/>
  <c r="D806" i="4"/>
  <c r="E806" i="4"/>
  <c r="F806" i="4"/>
  <c r="G806" i="4"/>
  <c r="H806" i="4"/>
  <c r="I806" i="4"/>
  <c r="J806" i="4"/>
  <c r="K806" i="4"/>
  <c r="B807" i="4"/>
  <c r="C807" i="4"/>
  <c r="D807" i="4"/>
  <c r="E807" i="4"/>
  <c r="F807" i="4"/>
  <c r="G807" i="4"/>
  <c r="H807" i="4"/>
  <c r="I807" i="4"/>
  <c r="J807" i="4"/>
  <c r="K807" i="4"/>
  <c r="B808" i="4"/>
  <c r="C808" i="4"/>
  <c r="D808" i="4"/>
  <c r="E808" i="4"/>
  <c r="F808" i="4"/>
  <c r="G808" i="4"/>
  <c r="H808" i="4"/>
  <c r="I808" i="4"/>
  <c r="J808" i="4"/>
  <c r="K808" i="4"/>
  <c r="B809" i="4"/>
  <c r="C809" i="4"/>
  <c r="D809" i="4"/>
  <c r="E809" i="4"/>
  <c r="F809" i="4"/>
  <c r="G809" i="4"/>
  <c r="H809" i="4"/>
  <c r="I809" i="4"/>
  <c r="J809" i="4"/>
  <c r="K809" i="4"/>
  <c r="B810" i="4"/>
  <c r="C810" i="4"/>
  <c r="D810" i="4"/>
  <c r="E810" i="4"/>
  <c r="F810" i="4"/>
  <c r="G810" i="4"/>
  <c r="H810" i="4"/>
  <c r="I810" i="4"/>
  <c r="J810" i="4"/>
  <c r="K810" i="4"/>
  <c r="B811" i="4"/>
  <c r="C811" i="4"/>
  <c r="D811" i="4"/>
  <c r="E811" i="4"/>
  <c r="F811" i="4"/>
  <c r="G811" i="4"/>
  <c r="H811" i="4"/>
  <c r="I811" i="4"/>
  <c r="J811" i="4"/>
  <c r="K811" i="4"/>
  <c r="B812" i="4"/>
  <c r="C812" i="4"/>
  <c r="D812" i="4"/>
  <c r="E812" i="4"/>
  <c r="F812" i="4"/>
  <c r="G812" i="4"/>
  <c r="H812" i="4"/>
  <c r="I812" i="4"/>
  <c r="J812" i="4"/>
  <c r="K812" i="4"/>
  <c r="B813" i="4"/>
  <c r="C813" i="4"/>
  <c r="D813" i="4"/>
  <c r="E813" i="4"/>
  <c r="F813" i="4"/>
  <c r="G813" i="4"/>
  <c r="H813" i="4"/>
  <c r="I813" i="4"/>
  <c r="J813" i="4"/>
  <c r="K813" i="4"/>
  <c r="B814" i="4"/>
  <c r="C814" i="4"/>
  <c r="D814" i="4"/>
  <c r="E814" i="4"/>
  <c r="F814" i="4"/>
  <c r="G814" i="4"/>
  <c r="H814" i="4"/>
  <c r="I814" i="4"/>
  <c r="J814" i="4"/>
  <c r="K814" i="4"/>
  <c r="B815" i="4"/>
  <c r="C815" i="4"/>
  <c r="D815" i="4"/>
  <c r="E815" i="4"/>
  <c r="F815" i="4"/>
  <c r="G815" i="4"/>
  <c r="H815" i="4"/>
  <c r="I815" i="4"/>
  <c r="J815" i="4"/>
  <c r="K815" i="4"/>
  <c r="B816" i="4"/>
  <c r="C816" i="4"/>
  <c r="D816" i="4"/>
  <c r="E816" i="4"/>
  <c r="F816" i="4"/>
  <c r="G816" i="4"/>
  <c r="H816" i="4"/>
  <c r="I816" i="4"/>
  <c r="J816" i="4"/>
  <c r="K816" i="4"/>
  <c r="B817" i="4"/>
  <c r="C817" i="4"/>
  <c r="D817" i="4"/>
  <c r="E817" i="4"/>
  <c r="F817" i="4"/>
  <c r="G817" i="4"/>
  <c r="H817" i="4"/>
  <c r="I817" i="4"/>
  <c r="J817" i="4"/>
  <c r="K817" i="4"/>
  <c r="B818" i="4"/>
  <c r="C818" i="4"/>
  <c r="D818" i="4"/>
  <c r="E818" i="4"/>
  <c r="F818" i="4"/>
  <c r="G818" i="4"/>
  <c r="H818" i="4"/>
  <c r="I818" i="4"/>
  <c r="J818" i="4"/>
  <c r="K818" i="4"/>
  <c r="B819" i="4"/>
  <c r="C819" i="4"/>
  <c r="D819" i="4"/>
  <c r="E819" i="4"/>
  <c r="F819" i="4"/>
  <c r="G819" i="4"/>
  <c r="H819" i="4"/>
  <c r="I819" i="4"/>
  <c r="J819" i="4"/>
  <c r="K819" i="4"/>
  <c r="B820" i="4"/>
  <c r="C820" i="4"/>
  <c r="D820" i="4"/>
  <c r="E820" i="4"/>
  <c r="F820" i="4"/>
  <c r="G820" i="4"/>
  <c r="H820" i="4"/>
  <c r="I820" i="4"/>
  <c r="J820" i="4"/>
  <c r="K820" i="4"/>
  <c r="B821" i="4"/>
  <c r="C821" i="4"/>
  <c r="D821" i="4"/>
  <c r="E821" i="4"/>
  <c r="F821" i="4"/>
  <c r="G821" i="4"/>
  <c r="H821" i="4"/>
  <c r="I821" i="4"/>
  <c r="J821" i="4"/>
  <c r="K821" i="4"/>
  <c r="B822" i="4"/>
  <c r="C822" i="4"/>
  <c r="D822" i="4"/>
  <c r="E822" i="4"/>
  <c r="F822" i="4"/>
  <c r="G822" i="4"/>
  <c r="H822" i="4"/>
  <c r="I822" i="4"/>
  <c r="J822" i="4"/>
  <c r="K822" i="4"/>
  <c r="B823" i="4"/>
  <c r="C823" i="4"/>
  <c r="D823" i="4"/>
  <c r="E823" i="4"/>
  <c r="F823" i="4"/>
  <c r="G823" i="4"/>
  <c r="H823" i="4"/>
  <c r="I823" i="4"/>
  <c r="J823" i="4"/>
  <c r="K823" i="4"/>
  <c r="B824" i="4"/>
  <c r="C824" i="4"/>
  <c r="D824" i="4"/>
  <c r="E824" i="4"/>
  <c r="F824" i="4"/>
  <c r="G824" i="4"/>
  <c r="H824" i="4"/>
  <c r="I824" i="4"/>
  <c r="J824" i="4"/>
  <c r="K824" i="4"/>
  <c r="B825" i="4"/>
  <c r="C825" i="4"/>
  <c r="D825" i="4"/>
  <c r="E825" i="4"/>
  <c r="F825" i="4"/>
  <c r="G825" i="4"/>
  <c r="H825" i="4"/>
  <c r="I825" i="4"/>
  <c r="J825" i="4"/>
  <c r="K825" i="4"/>
  <c r="B826" i="4"/>
  <c r="C826" i="4"/>
  <c r="D826" i="4"/>
  <c r="E826" i="4"/>
  <c r="F826" i="4"/>
  <c r="G826" i="4"/>
  <c r="H826" i="4"/>
  <c r="I826" i="4"/>
  <c r="J826" i="4"/>
  <c r="K826" i="4"/>
  <c r="B827" i="4"/>
  <c r="C827" i="4"/>
  <c r="D827" i="4"/>
  <c r="E827" i="4"/>
  <c r="F827" i="4"/>
  <c r="G827" i="4"/>
  <c r="H827" i="4"/>
  <c r="I827" i="4"/>
  <c r="J827" i="4"/>
  <c r="K827" i="4"/>
  <c r="B828" i="4"/>
  <c r="C828" i="4"/>
  <c r="D828" i="4"/>
  <c r="E828" i="4"/>
  <c r="F828" i="4"/>
  <c r="G828" i="4"/>
  <c r="H828" i="4"/>
  <c r="I828" i="4"/>
  <c r="J828" i="4"/>
  <c r="K828" i="4"/>
  <c r="B829" i="4"/>
  <c r="C829" i="4"/>
  <c r="D829" i="4"/>
  <c r="E829" i="4"/>
  <c r="F829" i="4"/>
  <c r="G829" i="4"/>
  <c r="H829" i="4"/>
  <c r="I829" i="4"/>
  <c r="J829" i="4"/>
  <c r="K829" i="4"/>
  <c r="B830" i="4"/>
  <c r="C830" i="4"/>
  <c r="D830" i="4"/>
  <c r="E830" i="4"/>
  <c r="F830" i="4"/>
  <c r="G830" i="4"/>
  <c r="H830" i="4"/>
  <c r="I830" i="4"/>
  <c r="J830" i="4"/>
  <c r="K830" i="4"/>
  <c r="B831" i="4"/>
  <c r="C831" i="4"/>
  <c r="D831" i="4"/>
  <c r="E831" i="4"/>
  <c r="F831" i="4"/>
  <c r="G831" i="4"/>
  <c r="H831" i="4"/>
  <c r="I831" i="4"/>
  <c r="J831" i="4"/>
  <c r="K831" i="4"/>
  <c r="B832" i="4"/>
  <c r="C832" i="4"/>
  <c r="D832" i="4"/>
  <c r="E832" i="4"/>
  <c r="F832" i="4"/>
  <c r="G832" i="4"/>
  <c r="H832" i="4"/>
  <c r="I832" i="4"/>
  <c r="J832" i="4"/>
  <c r="K832" i="4"/>
  <c r="B833" i="4"/>
  <c r="C833" i="4"/>
  <c r="D833" i="4"/>
  <c r="E833" i="4"/>
  <c r="F833" i="4"/>
  <c r="G833" i="4"/>
  <c r="H833" i="4"/>
  <c r="I833" i="4"/>
  <c r="J833" i="4"/>
  <c r="K833" i="4"/>
  <c r="B834" i="4"/>
  <c r="C834" i="4"/>
  <c r="D834" i="4"/>
  <c r="E834" i="4"/>
  <c r="F834" i="4"/>
  <c r="G834" i="4"/>
  <c r="H834" i="4"/>
  <c r="I834" i="4"/>
  <c r="J834" i="4"/>
  <c r="K834" i="4"/>
  <c r="B835" i="4"/>
  <c r="C835" i="4"/>
  <c r="D835" i="4"/>
  <c r="E835" i="4"/>
  <c r="F835" i="4"/>
  <c r="G835" i="4"/>
  <c r="H835" i="4"/>
  <c r="I835" i="4"/>
  <c r="J835" i="4"/>
  <c r="K835" i="4"/>
  <c r="B836" i="4"/>
  <c r="C836" i="4"/>
  <c r="D836" i="4"/>
  <c r="E836" i="4"/>
  <c r="F836" i="4"/>
  <c r="G836" i="4"/>
  <c r="H836" i="4"/>
  <c r="I836" i="4"/>
  <c r="J836" i="4"/>
  <c r="K836" i="4"/>
  <c r="B837" i="4"/>
  <c r="C837" i="4"/>
  <c r="D837" i="4"/>
  <c r="E837" i="4"/>
  <c r="F837" i="4"/>
  <c r="G837" i="4"/>
  <c r="H837" i="4"/>
  <c r="I837" i="4"/>
  <c r="J837" i="4"/>
  <c r="K837" i="4"/>
  <c r="B838" i="4"/>
  <c r="C838" i="4"/>
  <c r="D838" i="4"/>
  <c r="E838" i="4"/>
  <c r="F838" i="4"/>
  <c r="G838" i="4"/>
  <c r="H838" i="4"/>
  <c r="I838" i="4"/>
  <c r="J838" i="4"/>
  <c r="K838" i="4"/>
  <c r="B839" i="4"/>
  <c r="C839" i="4"/>
  <c r="D839" i="4"/>
  <c r="E839" i="4"/>
  <c r="F839" i="4"/>
  <c r="G839" i="4"/>
  <c r="H839" i="4"/>
  <c r="I839" i="4"/>
  <c r="J839" i="4"/>
  <c r="K839" i="4"/>
  <c r="B840" i="4"/>
  <c r="C840" i="4"/>
  <c r="D840" i="4"/>
  <c r="E840" i="4"/>
  <c r="F840" i="4"/>
  <c r="G840" i="4"/>
  <c r="H840" i="4"/>
  <c r="I840" i="4"/>
  <c r="J840" i="4"/>
  <c r="K840" i="4"/>
  <c r="B841" i="4"/>
  <c r="C841" i="4"/>
  <c r="D841" i="4"/>
  <c r="E841" i="4"/>
  <c r="F841" i="4"/>
  <c r="G841" i="4"/>
  <c r="H841" i="4"/>
  <c r="I841" i="4"/>
  <c r="J841" i="4"/>
  <c r="K841" i="4"/>
  <c r="B842" i="4"/>
  <c r="C842" i="4"/>
  <c r="D842" i="4"/>
  <c r="E842" i="4"/>
  <c r="F842" i="4"/>
  <c r="G842" i="4"/>
  <c r="H842" i="4"/>
  <c r="I842" i="4"/>
  <c r="J842" i="4"/>
  <c r="K842" i="4"/>
  <c r="B843" i="4"/>
  <c r="C843" i="4"/>
  <c r="D843" i="4"/>
  <c r="E843" i="4"/>
  <c r="F843" i="4"/>
  <c r="G843" i="4"/>
  <c r="H843" i="4"/>
  <c r="I843" i="4"/>
  <c r="J843" i="4"/>
  <c r="K843" i="4"/>
  <c r="B844" i="4"/>
  <c r="C844" i="4"/>
  <c r="D844" i="4"/>
  <c r="E844" i="4"/>
  <c r="F844" i="4"/>
  <c r="G844" i="4"/>
  <c r="H844" i="4"/>
  <c r="I844" i="4"/>
  <c r="J844" i="4"/>
  <c r="K844" i="4"/>
  <c r="B845" i="4"/>
  <c r="C845" i="4"/>
  <c r="D845" i="4"/>
  <c r="E845" i="4"/>
  <c r="F845" i="4"/>
  <c r="G845" i="4"/>
  <c r="H845" i="4"/>
  <c r="I845" i="4"/>
  <c r="J845" i="4"/>
  <c r="K845" i="4"/>
  <c r="B846" i="4"/>
  <c r="C846" i="4"/>
  <c r="D846" i="4"/>
  <c r="E846" i="4"/>
  <c r="F846" i="4"/>
  <c r="G846" i="4"/>
  <c r="H846" i="4"/>
  <c r="I846" i="4"/>
  <c r="J846" i="4"/>
  <c r="K846" i="4"/>
  <c r="B847" i="4"/>
  <c r="C847" i="4"/>
  <c r="D847" i="4"/>
  <c r="E847" i="4"/>
  <c r="F847" i="4"/>
  <c r="G847" i="4"/>
  <c r="H847" i="4"/>
  <c r="I847" i="4"/>
  <c r="J847" i="4"/>
  <c r="K847" i="4"/>
  <c r="B848" i="4"/>
  <c r="C848" i="4"/>
  <c r="D848" i="4"/>
  <c r="E848" i="4"/>
  <c r="F848" i="4"/>
  <c r="G848" i="4"/>
  <c r="H848" i="4"/>
  <c r="I848" i="4"/>
  <c r="J848" i="4"/>
  <c r="K848" i="4"/>
  <c r="B849" i="4"/>
  <c r="C849" i="4"/>
  <c r="D849" i="4"/>
  <c r="E849" i="4"/>
  <c r="F849" i="4"/>
  <c r="G849" i="4"/>
  <c r="H849" i="4"/>
  <c r="I849" i="4"/>
  <c r="J849" i="4"/>
  <c r="K849" i="4"/>
  <c r="B850" i="4"/>
  <c r="C850" i="4"/>
  <c r="D850" i="4"/>
  <c r="E850" i="4"/>
  <c r="F850" i="4"/>
  <c r="G850" i="4"/>
  <c r="H850" i="4"/>
  <c r="I850" i="4"/>
  <c r="J850" i="4"/>
  <c r="K850" i="4"/>
  <c r="B851" i="4"/>
  <c r="C851" i="4"/>
  <c r="D851" i="4"/>
  <c r="E851" i="4"/>
  <c r="F851" i="4"/>
  <c r="G851" i="4"/>
  <c r="H851" i="4"/>
  <c r="I851" i="4"/>
  <c r="J851" i="4"/>
  <c r="K851" i="4"/>
  <c r="B852" i="4"/>
  <c r="C852" i="4"/>
  <c r="D852" i="4"/>
  <c r="E852" i="4"/>
  <c r="F852" i="4"/>
  <c r="G852" i="4"/>
  <c r="H852" i="4"/>
  <c r="I852" i="4"/>
  <c r="J852" i="4"/>
  <c r="K852" i="4"/>
  <c r="B853" i="4"/>
  <c r="C853" i="4"/>
  <c r="D853" i="4"/>
  <c r="E853" i="4"/>
  <c r="F853" i="4"/>
  <c r="G853" i="4"/>
  <c r="H853" i="4"/>
  <c r="I853" i="4"/>
  <c r="J853" i="4"/>
  <c r="K853" i="4"/>
  <c r="B854" i="4"/>
  <c r="C854" i="4"/>
  <c r="D854" i="4"/>
  <c r="E854" i="4"/>
  <c r="F854" i="4"/>
  <c r="G854" i="4"/>
  <c r="H854" i="4"/>
  <c r="I854" i="4"/>
  <c r="J854" i="4"/>
  <c r="K854" i="4"/>
  <c r="B855" i="4"/>
  <c r="C855" i="4"/>
  <c r="D855" i="4"/>
  <c r="E855" i="4"/>
  <c r="F855" i="4"/>
  <c r="G855" i="4"/>
  <c r="H855" i="4"/>
  <c r="I855" i="4"/>
  <c r="J855" i="4"/>
  <c r="K855" i="4"/>
  <c r="B856" i="4"/>
  <c r="C856" i="4"/>
  <c r="D856" i="4"/>
  <c r="E856" i="4"/>
  <c r="F856" i="4"/>
  <c r="G856" i="4"/>
  <c r="H856" i="4"/>
  <c r="I856" i="4"/>
  <c r="J856" i="4"/>
  <c r="K856" i="4"/>
  <c r="B857" i="4"/>
  <c r="C857" i="4"/>
  <c r="D857" i="4"/>
  <c r="E857" i="4"/>
  <c r="F857" i="4"/>
  <c r="G857" i="4"/>
  <c r="H857" i="4"/>
  <c r="I857" i="4"/>
  <c r="J857" i="4"/>
  <c r="K857" i="4"/>
  <c r="B858" i="4"/>
  <c r="C858" i="4"/>
  <c r="D858" i="4"/>
  <c r="E858" i="4"/>
  <c r="F858" i="4"/>
  <c r="G858" i="4"/>
  <c r="H858" i="4"/>
  <c r="I858" i="4"/>
  <c r="J858" i="4"/>
  <c r="K858" i="4"/>
  <c r="B859" i="4"/>
  <c r="C859" i="4"/>
  <c r="D859" i="4"/>
  <c r="E859" i="4"/>
  <c r="F859" i="4"/>
  <c r="G859" i="4"/>
  <c r="H859" i="4"/>
  <c r="I859" i="4"/>
  <c r="J859" i="4"/>
  <c r="K859" i="4"/>
  <c r="B860" i="4"/>
  <c r="C860" i="4"/>
  <c r="D860" i="4"/>
  <c r="E860" i="4"/>
  <c r="F860" i="4"/>
  <c r="G860" i="4"/>
  <c r="H860" i="4"/>
  <c r="I860" i="4"/>
  <c r="J860" i="4"/>
  <c r="K860" i="4"/>
  <c r="B861" i="4"/>
  <c r="C861" i="4"/>
  <c r="D861" i="4"/>
  <c r="E861" i="4"/>
  <c r="F861" i="4"/>
  <c r="G861" i="4"/>
  <c r="H861" i="4"/>
  <c r="I861" i="4"/>
  <c r="J861" i="4"/>
  <c r="K861" i="4"/>
  <c r="B862" i="4"/>
  <c r="C862" i="4"/>
  <c r="D862" i="4"/>
  <c r="E862" i="4"/>
  <c r="F862" i="4"/>
  <c r="G862" i="4"/>
  <c r="H862" i="4"/>
  <c r="I862" i="4"/>
  <c r="J862" i="4"/>
  <c r="K862" i="4"/>
  <c r="B863" i="4"/>
  <c r="C863" i="4"/>
  <c r="D863" i="4"/>
  <c r="E863" i="4"/>
  <c r="F863" i="4"/>
  <c r="G863" i="4"/>
  <c r="H863" i="4"/>
  <c r="I863" i="4"/>
  <c r="J863" i="4"/>
  <c r="K863" i="4"/>
  <c r="B864" i="4"/>
  <c r="C864" i="4"/>
  <c r="D864" i="4"/>
  <c r="E864" i="4"/>
  <c r="F864" i="4"/>
  <c r="G864" i="4"/>
  <c r="H864" i="4"/>
  <c r="I864" i="4"/>
  <c r="J864" i="4"/>
  <c r="K864" i="4"/>
  <c r="B865" i="4"/>
  <c r="C865" i="4"/>
  <c r="D865" i="4"/>
  <c r="E865" i="4"/>
  <c r="F865" i="4"/>
  <c r="G865" i="4"/>
  <c r="H865" i="4"/>
  <c r="I865" i="4"/>
  <c r="J865" i="4"/>
  <c r="K865" i="4"/>
  <c r="B866" i="4"/>
  <c r="C866" i="4"/>
  <c r="D866" i="4"/>
  <c r="E866" i="4"/>
  <c r="F866" i="4"/>
  <c r="G866" i="4"/>
  <c r="H866" i="4"/>
  <c r="I866" i="4"/>
  <c r="J866" i="4"/>
  <c r="K866" i="4"/>
  <c r="B867" i="4"/>
  <c r="C867" i="4"/>
  <c r="D867" i="4"/>
  <c r="E867" i="4"/>
  <c r="F867" i="4"/>
  <c r="G867" i="4"/>
  <c r="H867" i="4"/>
  <c r="I867" i="4"/>
  <c r="J867" i="4"/>
  <c r="K867" i="4"/>
  <c r="B868" i="4"/>
  <c r="C868" i="4"/>
  <c r="D868" i="4"/>
  <c r="E868" i="4"/>
  <c r="F868" i="4"/>
  <c r="G868" i="4"/>
  <c r="H868" i="4"/>
  <c r="I868" i="4"/>
  <c r="J868" i="4"/>
  <c r="K868" i="4"/>
  <c r="B869" i="4"/>
  <c r="C869" i="4"/>
  <c r="D869" i="4"/>
  <c r="E869" i="4"/>
  <c r="F869" i="4"/>
  <c r="G869" i="4"/>
  <c r="H869" i="4"/>
  <c r="I869" i="4"/>
  <c r="J869" i="4"/>
  <c r="K869" i="4"/>
  <c r="B870" i="4"/>
  <c r="C870" i="4"/>
  <c r="D870" i="4"/>
  <c r="E870" i="4"/>
  <c r="F870" i="4"/>
  <c r="G870" i="4"/>
  <c r="H870" i="4"/>
  <c r="I870" i="4"/>
  <c r="J870" i="4"/>
  <c r="K870" i="4"/>
  <c r="B871" i="4"/>
  <c r="C871" i="4"/>
  <c r="D871" i="4"/>
  <c r="E871" i="4"/>
  <c r="F871" i="4"/>
  <c r="G871" i="4"/>
  <c r="H871" i="4"/>
  <c r="I871" i="4"/>
  <c r="J871" i="4"/>
  <c r="K871" i="4"/>
  <c r="B872" i="4"/>
  <c r="C872" i="4"/>
  <c r="D872" i="4"/>
  <c r="E872" i="4"/>
  <c r="F872" i="4"/>
  <c r="G872" i="4"/>
  <c r="H872" i="4"/>
  <c r="I872" i="4"/>
  <c r="J872" i="4"/>
  <c r="K872" i="4"/>
  <c r="B873" i="4"/>
  <c r="C873" i="4"/>
  <c r="D873" i="4"/>
  <c r="E873" i="4"/>
  <c r="F873" i="4"/>
  <c r="G873" i="4"/>
  <c r="H873" i="4"/>
  <c r="I873" i="4"/>
  <c r="J873" i="4"/>
  <c r="K873" i="4"/>
  <c r="B874" i="4"/>
  <c r="C874" i="4"/>
  <c r="D874" i="4"/>
  <c r="E874" i="4"/>
  <c r="F874" i="4"/>
  <c r="G874" i="4"/>
  <c r="H874" i="4"/>
  <c r="I874" i="4"/>
  <c r="J874" i="4"/>
  <c r="K874" i="4"/>
  <c r="B875" i="4"/>
  <c r="C875" i="4"/>
  <c r="D875" i="4"/>
  <c r="E875" i="4"/>
  <c r="F875" i="4"/>
  <c r="G875" i="4"/>
  <c r="H875" i="4"/>
  <c r="I875" i="4"/>
  <c r="J875" i="4"/>
  <c r="K875" i="4"/>
  <c r="B876" i="4"/>
  <c r="C876" i="4"/>
  <c r="D876" i="4"/>
  <c r="E876" i="4"/>
  <c r="F876" i="4"/>
  <c r="G876" i="4"/>
  <c r="H876" i="4"/>
  <c r="I876" i="4"/>
  <c r="J876" i="4"/>
  <c r="K876" i="4"/>
  <c r="B877" i="4"/>
  <c r="C877" i="4"/>
  <c r="D877" i="4"/>
  <c r="E877" i="4"/>
  <c r="F877" i="4"/>
  <c r="G877" i="4"/>
  <c r="H877" i="4"/>
  <c r="I877" i="4"/>
  <c r="J877" i="4"/>
  <c r="K877" i="4"/>
  <c r="B878" i="4"/>
  <c r="C878" i="4"/>
  <c r="D878" i="4"/>
  <c r="E878" i="4"/>
  <c r="F878" i="4"/>
  <c r="G878" i="4"/>
  <c r="H878" i="4"/>
  <c r="I878" i="4"/>
  <c r="J878" i="4"/>
  <c r="K878" i="4"/>
  <c r="B879" i="4"/>
  <c r="C879" i="4"/>
  <c r="D879" i="4"/>
  <c r="E879" i="4"/>
  <c r="F879" i="4"/>
  <c r="G879" i="4"/>
  <c r="H879" i="4"/>
  <c r="I879" i="4"/>
  <c r="J879" i="4"/>
  <c r="K879" i="4"/>
  <c r="B880" i="4"/>
  <c r="C880" i="4"/>
  <c r="D880" i="4"/>
  <c r="E880" i="4"/>
  <c r="F880" i="4"/>
  <c r="G880" i="4"/>
  <c r="H880" i="4"/>
  <c r="I880" i="4"/>
  <c r="J880" i="4"/>
  <c r="K880" i="4"/>
  <c r="B881" i="4"/>
  <c r="C881" i="4"/>
  <c r="D881" i="4"/>
  <c r="E881" i="4"/>
  <c r="F881" i="4"/>
  <c r="G881" i="4"/>
  <c r="H881" i="4"/>
  <c r="I881" i="4"/>
  <c r="J881" i="4"/>
  <c r="K881" i="4"/>
  <c r="B882" i="4"/>
  <c r="C882" i="4"/>
  <c r="D882" i="4"/>
  <c r="E882" i="4"/>
  <c r="F882" i="4"/>
  <c r="G882" i="4"/>
  <c r="H882" i="4"/>
  <c r="I882" i="4"/>
  <c r="J882" i="4"/>
  <c r="K882" i="4"/>
  <c r="B883" i="4"/>
  <c r="C883" i="4"/>
  <c r="D883" i="4"/>
  <c r="E883" i="4"/>
  <c r="F883" i="4"/>
  <c r="G883" i="4"/>
  <c r="H883" i="4"/>
  <c r="I883" i="4"/>
  <c r="J883" i="4"/>
  <c r="K883" i="4"/>
  <c r="B884" i="4"/>
  <c r="C884" i="4"/>
  <c r="D884" i="4"/>
  <c r="E884" i="4"/>
  <c r="F884" i="4"/>
  <c r="G884" i="4"/>
  <c r="H884" i="4"/>
  <c r="I884" i="4"/>
  <c r="J884" i="4"/>
  <c r="K884" i="4"/>
  <c r="B885" i="4"/>
  <c r="C885" i="4"/>
  <c r="D885" i="4"/>
  <c r="E885" i="4"/>
  <c r="F885" i="4"/>
  <c r="G885" i="4"/>
  <c r="H885" i="4"/>
  <c r="I885" i="4"/>
  <c r="J885" i="4"/>
  <c r="K885" i="4"/>
  <c r="B886" i="4"/>
  <c r="C886" i="4"/>
  <c r="D886" i="4"/>
  <c r="E886" i="4"/>
  <c r="F886" i="4"/>
  <c r="G886" i="4"/>
  <c r="H886" i="4"/>
  <c r="I886" i="4"/>
  <c r="J886" i="4"/>
  <c r="K886" i="4"/>
  <c r="B887" i="4"/>
  <c r="C887" i="4"/>
  <c r="D887" i="4"/>
  <c r="E887" i="4"/>
  <c r="F887" i="4"/>
  <c r="G887" i="4"/>
  <c r="H887" i="4"/>
  <c r="I887" i="4"/>
  <c r="J887" i="4"/>
  <c r="K887" i="4"/>
  <c r="B888" i="4"/>
  <c r="C888" i="4"/>
  <c r="D888" i="4"/>
  <c r="E888" i="4"/>
  <c r="F888" i="4"/>
  <c r="G888" i="4"/>
  <c r="H888" i="4"/>
  <c r="I888" i="4"/>
  <c r="J888" i="4"/>
  <c r="K888" i="4"/>
  <c r="B889" i="4"/>
  <c r="C889" i="4"/>
  <c r="D889" i="4"/>
  <c r="E889" i="4"/>
  <c r="F889" i="4"/>
  <c r="G889" i="4"/>
  <c r="H889" i="4"/>
  <c r="I889" i="4"/>
  <c r="J889" i="4"/>
  <c r="K889" i="4"/>
  <c r="B890" i="4"/>
  <c r="C890" i="4"/>
  <c r="D890" i="4"/>
  <c r="E890" i="4"/>
  <c r="F890" i="4"/>
  <c r="G890" i="4"/>
  <c r="H890" i="4"/>
  <c r="I890" i="4"/>
  <c r="J890" i="4"/>
  <c r="K890" i="4"/>
  <c r="B891" i="4"/>
  <c r="C891" i="4"/>
  <c r="D891" i="4"/>
  <c r="E891" i="4"/>
  <c r="F891" i="4"/>
  <c r="G891" i="4"/>
  <c r="H891" i="4"/>
  <c r="I891" i="4"/>
  <c r="J891" i="4"/>
  <c r="K891" i="4"/>
  <c r="B892" i="4"/>
  <c r="C892" i="4"/>
  <c r="D892" i="4"/>
  <c r="E892" i="4"/>
  <c r="F892" i="4"/>
  <c r="G892" i="4"/>
  <c r="H892" i="4"/>
  <c r="I892" i="4"/>
  <c r="J892" i="4"/>
  <c r="K892" i="4"/>
  <c r="B893" i="4"/>
  <c r="C893" i="4"/>
  <c r="D893" i="4"/>
  <c r="E893" i="4"/>
  <c r="F893" i="4"/>
  <c r="G893" i="4"/>
  <c r="H893" i="4"/>
  <c r="I893" i="4"/>
  <c r="J893" i="4"/>
  <c r="K893" i="4"/>
  <c r="B894" i="4"/>
  <c r="C894" i="4"/>
  <c r="D894" i="4"/>
  <c r="E894" i="4"/>
  <c r="F894" i="4"/>
  <c r="G894" i="4"/>
  <c r="H894" i="4"/>
  <c r="I894" i="4"/>
  <c r="J894" i="4"/>
  <c r="K894" i="4"/>
  <c r="B895" i="4"/>
  <c r="C895" i="4"/>
  <c r="D895" i="4"/>
  <c r="E895" i="4"/>
  <c r="F895" i="4"/>
  <c r="G895" i="4"/>
  <c r="H895" i="4"/>
  <c r="I895" i="4"/>
  <c r="J895" i="4"/>
  <c r="K895" i="4"/>
  <c r="B896" i="4"/>
  <c r="C896" i="4"/>
  <c r="D896" i="4"/>
  <c r="E896" i="4"/>
  <c r="F896" i="4"/>
  <c r="G896" i="4"/>
  <c r="H896" i="4"/>
  <c r="I896" i="4"/>
  <c r="J896" i="4"/>
  <c r="K896" i="4"/>
  <c r="B897" i="4"/>
  <c r="C897" i="4"/>
  <c r="D897" i="4"/>
  <c r="E897" i="4"/>
  <c r="F897" i="4"/>
  <c r="G897" i="4"/>
  <c r="H897" i="4"/>
  <c r="I897" i="4"/>
  <c r="J897" i="4"/>
  <c r="K897" i="4"/>
  <c r="B898" i="4"/>
  <c r="C898" i="4"/>
  <c r="D898" i="4"/>
  <c r="E898" i="4"/>
  <c r="F898" i="4"/>
  <c r="G898" i="4"/>
  <c r="H898" i="4"/>
  <c r="I898" i="4"/>
  <c r="J898" i="4"/>
  <c r="K898" i="4"/>
  <c r="B899" i="4"/>
  <c r="C899" i="4"/>
  <c r="D899" i="4"/>
  <c r="E899" i="4"/>
  <c r="F899" i="4"/>
  <c r="G899" i="4"/>
  <c r="H899" i="4"/>
  <c r="I899" i="4"/>
  <c r="J899" i="4"/>
  <c r="K899" i="4"/>
  <c r="B900" i="4"/>
  <c r="C900" i="4"/>
  <c r="D900" i="4"/>
  <c r="E900" i="4"/>
  <c r="F900" i="4"/>
  <c r="G900" i="4"/>
  <c r="H900" i="4"/>
  <c r="I900" i="4"/>
  <c r="J900" i="4"/>
  <c r="K900" i="4"/>
  <c r="B901" i="4"/>
  <c r="C901" i="4"/>
  <c r="D901" i="4"/>
  <c r="E901" i="4"/>
  <c r="F901" i="4"/>
  <c r="G901" i="4"/>
  <c r="H901" i="4"/>
  <c r="I901" i="4"/>
  <c r="J901" i="4"/>
  <c r="K901" i="4"/>
  <c r="B902" i="4"/>
  <c r="C902" i="4"/>
  <c r="D902" i="4"/>
  <c r="E902" i="4"/>
  <c r="F902" i="4"/>
  <c r="G902" i="4"/>
  <c r="H902" i="4"/>
  <c r="I902" i="4"/>
  <c r="J902" i="4"/>
  <c r="K902" i="4"/>
  <c r="B903" i="4"/>
  <c r="C903" i="4"/>
  <c r="D903" i="4"/>
  <c r="E903" i="4"/>
  <c r="F903" i="4"/>
  <c r="G903" i="4"/>
  <c r="H903" i="4"/>
  <c r="I903" i="4"/>
  <c r="J903" i="4"/>
  <c r="K903" i="4"/>
  <c r="B904" i="4"/>
  <c r="C904" i="4"/>
  <c r="D904" i="4"/>
  <c r="E904" i="4"/>
  <c r="F904" i="4"/>
  <c r="G904" i="4"/>
  <c r="H904" i="4"/>
  <c r="I904" i="4"/>
  <c r="J904" i="4"/>
  <c r="K904" i="4"/>
  <c r="B905" i="4"/>
  <c r="C905" i="4"/>
  <c r="D905" i="4"/>
  <c r="E905" i="4"/>
  <c r="F905" i="4"/>
  <c r="G905" i="4"/>
  <c r="H905" i="4"/>
  <c r="I905" i="4"/>
  <c r="J905" i="4"/>
  <c r="K905" i="4"/>
  <c r="B906" i="4"/>
  <c r="C906" i="4"/>
  <c r="D906" i="4"/>
  <c r="E906" i="4"/>
  <c r="F906" i="4"/>
  <c r="G906" i="4"/>
  <c r="H906" i="4"/>
  <c r="I906" i="4"/>
  <c r="J906" i="4"/>
  <c r="K906" i="4"/>
  <c r="B907" i="4"/>
  <c r="C907" i="4"/>
  <c r="D907" i="4"/>
  <c r="E907" i="4"/>
  <c r="F907" i="4"/>
  <c r="G907" i="4"/>
  <c r="H907" i="4"/>
  <c r="I907" i="4"/>
  <c r="J907" i="4"/>
  <c r="K907" i="4"/>
  <c r="B908" i="4"/>
  <c r="C908" i="4"/>
  <c r="D908" i="4"/>
  <c r="E908" i="4"/>
  <c r="F908" i="4"/>
  <c r="G908" i="4"/>
  <c r="H908" i="4"/>
  <c r="I908" i="4"/>
  <c r="J908" i="4"/>
  <c r="K908" i="4"/>
  <c r="B909" i="4"/>
  <c r="C909" i="4"/>
  <c r="D909" i="4"/>
  <c r="E909" i="4"/>
  <c r="F909" i="4"/>
  <c r="G909" i="4"/>
  <c r="H909" i="4"/>
  <c r="I909" i="4"/>
  <c r="J909" i="4"/>
  <c r="K909" i="4"/>
  <c r="B910" i="4"/>
  <c r="C910" i="4"/>
  <c r="D910" i="4"/>
  <c r="E910" i="4"/>
  <c r="F910" i="4"/>
  <c r="G910" i="4"/>
  <c r="H910" i="4"/>
  <c r="I910" i="4"/>
  <c r="J910" i="4"/>
  <c r="K910" i="4"/>
  <c r="B911" i="4"/>
  <c r="C911" i="4"/>
  <c r="D911" i="4"/>
  <c r="E911" i="4"/>
  <c r="F911" i="4"/>
  <c r="G911" i="4"/>
  <c r="H911" i="4"/>
  <c r="I911" i="4"/>
  <c r="J911" i="4"/>
  <c r="K911" i="4"/>
  <c r="B912" i="4"/>
  <c r="C912" i="4"/>
  <c r="D912" i="4"/>
  <c r="E912" i="4"/>
  <c r="F912" i="4"/>
  <c r="G912" i="4"/>
  <c r="H912" i="4"/>
  <c r="I912" i="4"/>
  <c r="J912" i="4"/>
  <c r="K912" i="4"/>
  <c r="B913" i="4"/>
  <c r="C913" i="4"/>
  <c r="D913" i="4"/>
  <c r="E913" i="4"/>
  <c r="F913" i="4"/>
  <c r="G913" i="4"/>
  <c r="H913" i="4"/>
  <c r="I913" i="4"/>
  <c r="J913" i="4"/>
  <c r="K913" i="4"/>
  <c r="B914" i="4"/>
  <c r="C914" i="4"/>
  <c r="D914" i="4"/>
  <c r="E914" i="4"/>
  <c r="F914" i="4"/>
  <c r="G914" i="4"/>
  <c r="H914" i="4"/>
  <c r="I914" i="4"/>
  <c r="J914" i="4"/>
  <c r="K914" i="4"/>
  <c r="B915" i="4"/>
  <c r="C915" i="4"/>
  <c r="D915" i="4"/>
  <c r="E915" i="4"/>
  <c r="F915" i="4"/>
  <c r="G915" i="4"/>
  <c r="H915" i="4"/>
  <c r="I915" i="4"/>
  <c r="J915" i="4"/>
  <c r="K915" i="4"/>
  <c r="B916" i="4"/>
  <c r="C916" i="4"/>
  <c r="D916" i="4"/>
  <c r="E916" i="4"/>
  <c r="F916" i="4"/>
  <c r="G916" i="4"/>
  <c r="H916" i="4"/>
  <c r="I916" i="4"/>
  <c r="J916" i="4"/>
  <c r="K916" i="4"/>
  <c r="B917" i="4"/>
  <c r="C917" i="4"/>
  <c r="D917" i="4"/>
  <c r="E917" i="4"/>
  <c r="F917" i="4"/>
  <c r="G917" i="4"/>
  <c r="H917" i="4"/>
  <c r="I917" i="4"/>
  <c r="J917" i="4"/>
  <c r="K917" i="4"/>
  <c r="B918" i="4"/>
  <c r="C918" i="4"/>
  <c r="D918" i="4"/>
  <c r="E918" i="4"/>
  <c r="F918" i="4"/>
  <c r="G918" i="4"/>
  <c r="H918" i="4"/>
  <c r="I918" i="4"/>
  <c r="J918" i="4"/>
  <c r="K918" i="4"/>
  <c r="B919" i="4"/>
  <c r="C919" i="4"/>
  <c r="D919" i="4"/>
  <c r="E919" i="4"/>
  <c r="F919" i="4"/>
  <c r="G919" i="4"/>
  <c r="H919" i="4"/>
  <c r="I919" i="4"/>
  <c r="J919" i="4"/>
  <c r="K919" i="4"/>
  <c r="B920" i="4"/>
  <c r="C920" i="4"/>
  <c r="D920" i="4"/>
  <c r="E920" i="4"/>
  <c r="F920" i="4"/>
  <c r="G920" i="4"/>
  <c r="H920" i="4"/>
  <c r="I920" i="4"/>
  <c r="J920" i="4"/>
  <c r="K920" i="4"/>
  <c r="B921" i="4"/>
  <c r="C921" i="4"/>
  <c r="D921" i="4"/>
  <c r="E921" i="4"/>
  <c r="F921" i="4"/>
  <c r="G921" i="4"/>
  <c r="H921" i="4"/>
  <c r="I921" i="4"/>
  <c r="J921" i="4"/>
  <c r="K921" i="4"/>
  <c r="B922" i="4"/>
  <c r="C922" i="4"/>
  <c r="D922" i="4"/>
  <c r="E922" i="4"/>
  <c r="F922" i="4"/>
  <c r="G922" i="4"/>
  <c r="H922" i="4"/>
  <c r="I922" i="4"/>
  <c r="J922" i="4"/>
  <c r="K922" i="4"/>
  <c r="B923" i="4"/>
  <c r="C923" i="4"/>
  <c r="D923" i="4"/>
  <c r="E923" i="4"/>
  <c r="F923" i="4"/>
  <c r="G923" i="4"/>
  <c r="H923" i="4"/>
  <c r="I923" i="4"/>
  <c r="J923" i="4"/>
  <c r="K923" i="4"/>
  <c r="B924" i="4"/>
  <c r="C924" i="4"/>
  <c r="D924" i="4"/>
  <c r="E924" i="4"/>
  <c r="F924" i="4"/>
  <c r="G924" i="4"/>
  <c r="H924" i="4"/>
  <c r="I924" i="4"/>
  <c r="J924" i="4"/>
  <c r="K924" i="4"/>
  <c r="B925" i="4"/>
  <c r="C925" i="4"/>
  <c r="D925" i="4"/>
  <c r="E925" i="4"/>
  <c r="F925" i="4"/>
  <c r="G925" i="4"/>
  <c r="H925" i="4"/>
  <c r="I925" i="4"/>
  <c r="J925" i="4"/>
  <c r="K925" i="4"/>
  <c r="B926" i="4"/>
  <c r="C926" i="4"/>
  <c r="D926" i="4"/>
  <c r="E926" i="4"/>
  <c r="F926" i="4"/>
  <c r="G926" i="4"/>
  <c r="H926" i="4"/>
  <c r="I926" i="4"/>
  <c r="J926" i="4"/>
  <c r="K926" i="4"/>
  <c r="B927" i="4"/>
  <c r="C927" i="4"/>
  <c r="D927" i="4"/>
  <c r="E927" i="4"/>
  <c r="F927" i="4"/>
  <c r="G927" i="4"/>
  <c r="H927" i="4"/>
  <c r="I927" i="4"/>
  <c r="J927" i="4"/>
  <c r="K927" i="4"/>
  <c r="B928" i="4"/>
  <c r="C928" i="4"/>
  <c r="D928" i="4"/>
  <c r="E928" i="4"/>
  <c r="F928" i="4"/>
  <c r="G928" i="4"/>
  <c r="H928" i="4"/>
  <c r="I928" i="4"/>
  <c r="J928" i="4"/>
  <c r="K928" i="4"/>
  <c r="B929" i="4"/>
  <c r="C929" i="4"/>
  <c r="D929" i="4"/>
  <c r="E929" i="4"/>
  <c r="F929" i="4"/>
  <c r="G929" i="4"/>
  <c r="H929" i="4"/>
  <c r="I929" i="4"/>
  <c r="J929" i="4"/>
  <c r="K929" i="4"/>
  <c r="B930" i="4"/>
  <c r="C930" i="4"/>
  <c r="D930" i="4"/>
  <c r="E930" i="4"/>
  <c r="F930" i="4"/>
  <c r="G930" i="4"/>
  <c r="H930" i="4"/>
  <c r="I930" i="4"/>
  <c r="J930" i="4"/>
  <c r="K930" i="4"/>
  <c r="B931" i="4"/>
  <c r="C931" i="4"/>
  <c r="D931" i="4"/>
  <c r="E931" i="4"/>
  <c r="F931" i="4"/>
  <c r="G931" i="4"/>
  <c r="H931" i="4"/>
  <c r="I931" i="4"/>
  <c r="J931" i="4"/>
  <c r="K931" i="4"/>
  <c r="B932" i="4"/>
  <c r="C932" i="4"/>
  <c r="D932" i="4"/>
  <c r="E932" i="4"/>
  <c r="F932" i="4"/>
  <c r="G932" i="4"/>
  <c r="H932" i="4"/>
  <c r="I932" i="4"/>
  <c r="J932" i="4"/>
  <c r="K932" i="4"/>
  <c r="B933" i="4"/>
  <c r="C933" i="4"/>
  <c r="D933" i="4"/>
  <c r="E933" i="4"/>
  <c r="F933" i="4"/>
  <c r="G933" i="4"/>
  <c r="H933" i="4"/>
  <c r="I933" i="4"/>
  <c r="J933" i="4"/>
  <c r="K933" i="4"/>
  <c r="B934" i="4"/>
  <c r="C934" i="4"/>
  <c r="D934" i="4"/>
  <c r="E934" i="4"/>
  <c r="F934" i="4"/>
  <c r="G934" i="4"/>
  <c r="H934" i="4"/>
  <c r="I934" i="4"/>
  <c r="J934" i="4"/>
  <c r="K934" i="4"/>
  <c r="B935" i="4"/>
  <c r="C935" i="4"/>
  <c r="D935" i="4"/>
  <c r="E935" i="4"/>
  <c r="F935" i="4"/>
  <c r="G935" i="4"/>
  <c r="H935" i="4"/>
  <c r="I935" i="4"/>
  <c r="J935" i="4"/>
  <c r="K935" i="4"/>
  <c r="B936" i="4"/>
  <c r="C936" i="4"/>
  <c r="D936" i="4"/>
  <c r="E936" i="4"/>
  <c r="F936" i="4"/>
  <c r="G936" i="4"/>
  <c r="H936" i="4"/>
  <c r="I936" i="4"/>
  <c r="J936" i="4"/>
  <c r="K936" i="4"/>
  <c r="B937" i="4"/>
  <c r="C937" i="4"/>
  <c r="D937" i="4"/>
  <c r="E937" i="4"/>
  <c r="F937" i="4"/>
  <c r="G937" i="4"/>
  <c r="H937" i="4"/>
  <c r="I937" i="4"/>
  <c r="J937" i="4"/>
  <c r="K937" i="4"/>
  <c r="B938" i="4"/>
  <c r="C938" i="4"/>
  <c r="D938" i="4"/>
  <c r="E938" i="4"/>
  <c r="F938" i="4"/>
  <c r="G938" i="4"/>
  <c r="H938" i="4"/>
  <c r="I938" i="4"/>
  <c r="J938" i="4"/>
  <c r="K938" i="4"/>
  <c r="B939" i="4"/>
  <c r="C939" i="4"/>
  <c r="D939" i="4"/>
  <c r="E939" i="4"/>
  <c r="F939" i="4"/>
  <c r="G939" i="4"/>
  <c r="H939" i="4"/>
  <c r="I939" i="4"/>
  <c r="J939" i="4"/>
  <c r="K939" i="4"/>
  <c r="B940" i="4"/>
  <c r="C940" i="4"/>
  <c r="D940" i="4"/>
  <c r="E940" i="4"/>
  <c r="F940" i="4"/>
  <c r="G940" i="4"/>
  <c r="H940" i="4"/>
  <c r="I940" i="4"/>
  <c r="J940" i="4"/>
  <c r="K940" i="4"/>
  <c r="B941" i="4"/>
  <c r="C941" i="4"/>
  <c r="D941" i="4"/>
  <c r="E941" i="4"/>
  <c r="F941" i="4"/>
  <c r="G941" i="4"/>
  <c r="H941" i="4"/>
  <c r="I941" i="4"/>
  <c r="J941" i="4"/>
  <c r="K941" i="4"/>
  <c r="B942" i="4"/>
  <c r="C942" i="4"/>
  <c r="D942" i="4"/>
  <c r="E942" i="4"/>
  <c r="F942" i="4"/>
  <c r="G942" i="4"/>
  <c r="H942" i="4"/>
  <c r="I942" i="4"/>
  <c r="J942" i="4"/>
  <c r="K942" i="4"/>
  <c r="B943" i="4"/>
  <c r="C943" i="4"/>
  <c r="D943" i="4"/>
  <c r="E943" i="4"/>
  <c r="F943" i="4"/>
  <c r="G943" i="4"/>
  <c r="H943" i="4"/>
  <c r="I943" i="4"/>
  <c r="J943" i="4"/>
  <c r="K943" i="4"/>
  <c r="B944" i="4"/>
  <c r="C944" i="4"/>
  <c r="D944" i="4"/>
  <c r="E944" i="4"/>
  <c r="F944" i="4"/>
  <c r="G944" i="4"/>
  <c r="H944" i="4"/>
  <c r="I944" i="4"/>
  <c r="J944" i="4"/>
  <c r="K944" i="4"/>
  <c r="B945" i="4"/>
  <c r="C945" i="4"/>
  <c r="D945" i="4"/>
  <c r="E945" i="4"/>
  <c r="F945" i="4"/>
  <c r="G945" i="4"/>
  <c r="H945" i="4"/>
  <c r="I945" i="4"/>
  <c r="J945" i="4"/>
  <c r="K945" i="4"/>
  <c r="B946" i="4"/>
  <c r="C946" i="4"/>
  <c r="D946" i="4"/>
  <c r="E946" i="4"/>
  <c r="F946" i="4"/>
  <c r="G946" i="4"/>
  <c r="H946" i="4"/>
  <c r="I946" i="4"/>
  <c r="J946" i="4"/>
  <c r="K946" i="4"/>
  <c r="B947" i="4"/>
  <c r="C947" i="4"/>
  <c r="D947" i="4"/>
  <c r="E947" i="4"/>
  <c r="F947" i="4"/>
  <c r="G947" i="4"/>
  <c r="H947" i="4"/>
  <c r="I947" i="4"/>
  <c r="J947" i="4"/>
  <c r="K947" i="4"/>
  <c r="B948" i="4"/>
  <c r="C948" i="4"/>
  <c r="D948" i="4"/>
  <c r="E948" i="4"/>
  <c r="F948" i="4"/>
  <c r="G948" i="4"/>
  <c r="H948" i="4"/>
  <c r="I948" i="4"/>
  <c r="J948" i="4"/>
  <c r="K948" i="4"/>
  <c r="B949" i="4"/>
  <c r="C949" i="4"/>
  <c r="D949" i="4"/>
  <c r="E949" i="4"/>
  <c r="F949" i="4"/>
  <c r="G949" i="4"/>
  <c r="H949" i="4"/>
  <c r="I949" i="4"/>
  <c r="J949" i="4"/>
  <c r="K949" i="4"/>
  <c r="B950" i="4"/>
  <c r="C950" i="4"/>
  <c r="D950" i="4"/>
  <c r="E950" i="4"/>
  <c r="F950" i="4"/>
  <c r="G950" i="4"/>
  <c r="H950" i="4"/>
  <c r="I950" i="4"/>
  <c r="J950" i="4"/>
  <c r="K950" i="4"/>
  <c r="B951" i="4"/>
  <c r="C951" i="4"/>
  <c r="D951" i="4"/>
  <c r="E951" i="4"/>
  <c r="F951" i="4"/>
  <c r="G951" i="4"/>
  <c r="H951" i="4"/>
  <c r="I951" i="4"/>
  <c r="J951" i="4"/>
  <c r="K951" i="4"/>
  <c r="B952" i="4"/>
  <c r="C952" i="4"/>
  <c r="D952" i="4"/>
  <c r="E952" i="4"/>
  <c r="F952" i="4"/>
  <c r="G952" i="4"/>
  <c r="H952" i="4"/>
  <c r="I952" i="4"/>
  <c r="J952" i="4"/>
  <c r="K952" i="4"/>
  <c r="B953" i="4"/>
  <c r="C953" i="4"/>
  <c r="D953" i="4"/>
  <c r="E953" i="4"/>
  <c r="F953" i="4"/>
  <c r="G953" i="4"/>
  <c r="H953" i="4"/>
  <c r="I953" i="4"/>
  <c r="J953" i="4"/>
  <c r="K953" i="4"/>
  <c r="B954" i="4"/>
  <c r="C954" i="4"/>
  <c r="D954" i="4"/>
  <c r="E954" i="4"/>
  <c r="F954" i="4"/>
  <c r="G954" i="4"/>
  <c r="H954" i="4"/>
  <c r="I954" i="4"/>
  <c r="J954" i="4"/>
  <c r="K954" i="4"/>
  <c r="B955" i="4"/>
  <c r="C955" i="4"/>
  <c r="D955" i="4"/>
  <c r="E955" i="4"/>
  <c r="F955" i="4"/>
  <c r="G955" i="4"/>
  <c r="H955" i="4"/>
  <c r="I955" i="4"/>
  <c r="J955" i="4"/>
  <c r="K955" i="4"/>
  <c r="B956" i="4"/>
  <c r="C956" i="4"/>
  <c r="D956" i="4"/>
  <c r="E956" i="4"/>
  <c r="F956" i="4"/>
  <c r="G956" i="4"/>
  <c r="H956" i="4"/>
  <c r="I956" i="4"/>
  <c r="J956" i="4"/>
  <c r="K956" i="4"/>
  <c r="B957" i="4"/>
  <c r="C957" i="4"/>
  <c r="D957" i="4"/>
  <c r="E957" i="4"/>
  <c r="F957" i="4"/>
  <c r="G957" i="4"/>
  <c r="H957" i="4"/>
  <c r="I957" i="4"/>
  <c r="J957" i="4"/>
  <c r="K957" i="4"/>
  <c r="B958" i="4"/>
  <c r="C958" i="4"/>
  <c r="D958" i="4"/>
  <c r="E958" i="4"/>
  <c r="F958" i="4"/>
  <c r="G958" i="4"/>
  <c r="H958" i="4"/>
  <c r="I958" i="4"/>
  <c r="J958" i="4"/>
  <c r="K958" i="4"/>
  <c r="B959" i="4"/>
  <c r="C959" i="4"/>
  <c r="D959" i="4"/>
  <c r="E959" i="4"/>
  <c r="F959" i="4"/>
  <c r="G959" i="4"/>
  <c r="H959" i="4"/>
  <c r="I959" i="4"/>
  <c r="J959" i="4"/>
  <c r="K959" i="4"/>
  <c r="B960" i="4"/>
  <c r="C960" i="4"/>
  <c r="D960" i="4"/>
  <c r="E960" i="4"/>
  <c r="F960" i="4"/>
  <c r="G960" i="4"/>
  <c r="H960" i="4"/>
  <c r="I960" i="4"/>
  <c r="J960" i="4"/>
  <c r="K960" i="4"/>
  <c r="B961" i="4"/>
  <c r="C961" i="4"/>
  <c r="D961" i="4"/>
  <c r="E961" i="4"/>
  <c r="F961" i="4"/>
  <c r="G961" i="4"/>
  <c r="H961" i="4"/>
  <c r="I961" i="4"/>
  <c r="J961" i="4"/>
  <c r="K961" i="4"/>
  <c r="B962" i="4"/>
  <c r="C962" i="4"/>
  <c r="D962" i="4"/>
  <c r="E962" i="4"/>
  <c r="F962" i="4"/>
  <c r="G962" i="4"/>
  <c r="H962" i="4"/>
  <c r="I962" i="4"/>
  <c r="J962" i="4"/>
  <c r="K962" i="4"/>
  <c r="B963" i="4"/>
  <c r="C963" i="4"/>
  <c r="D963" i="4"/>
  <c r="E963" i="4"/>
  <c r="F963" i="4"/>
  <c r="G963" i="4"/>
  <c r="H963" i="4"/>
  <c r="I963" i="4"/>
  <c r="J963" i="4"/>
  <c r="K963" i="4"/>
  <c r="B964" i="4"/>
  <c r="C964" i="4"/>
  <c r="D964" i="4"/>
  <c r="E964" i="4"/>
  <c r="F964" i="4"/>
  <c r="G964" i="4"/>
  <c r="H964" i="4"/>
  <c r="I964" i="4"/>
  <c r="J964" i="4"/>
  <c r="K964" i="4"/>
  <c r="B965" i="4"/>
  <c r="C965" i="4"/>
  <c r="D965" i="4"/>
  <c r="E965" i="4"/>
  <c r="F965" i="4"/>
  <c r="G965" i="4"/>
  <c r="H965" i="4"/>
  <c r="I965" i="4"/>
  <c r="J965" i="4"/>
  <c r="K965" i="4"/>
  <c r="B966" i="4"/>
  <c r="C966" i="4"/>
  <c r="D966" i="4"/>
  <c r="E966" i="4"/>
  <c r="F966" i="4"/>
  <c r="G966" i="4"/>
  <c r="H966" i="4"/>
  <c r="I966" i="4"/>
  <c r="J966" i="4"/>
  <c r="K966" i="4"/>
  <c r="B967" i="4"/>
  <c r="C967" i="4"/>
  <c r="D967" i="4"/>
  <c r="E967" i="4"/>
  <c r="F967" i="4"/>
  <c r="G967" i="4"/>
  <c r="H967" i="4"/>
  <c r="I967" i="4"/>
  <c r="J967" i="4"/>
  <c r="K967" i="4"/>
  <c r="B968" i="4"/>
  <c r="C968" i="4"/>
  <c r="D968" i="4"/>
  <c r="E968" i="4"/>
  <c r="F968" i="4"/>
  <c r="G968" i="4"/>
  <c r="H968" i="4"/>
  <c r="I968" i="4"/>
  <c r="J968" i="4"/>
  <c r="K968" i="4"/>
  <c r="B969" i="4"/>
  <c r="C969" i="4"/>
  <c r="D969" i="4"/>
  <c r="E969" i="4"/>
  <c r="F969" i="4"/>
  <c r="G969" i="4"/>
  <c r="H969" i="4"/>
  <c r="I969" i="4"/>
  <c r="J969" i="4"/>
  <c r="K969" i="4"/>
  <c r="B970" i="4"/>
  <c r="C970" i="4"/>
  <c r="D970" i="4"/>
  <c r="E970" i="4"/>
  <c r="F970" i="4"/>
  <c r="G970" i="4"/>
  <c r="H970" i="4"/>
  <c r="I970" i="4"/>
  <c r="J970" i="4"/>
  <c r="K970" i="4"/>
  <c r="B971" i="4"/>
  <c r="C971" i="4"/>
  <c r="D971" i="4"/>
  <c r="E971" i="4"/>
  <c r="F971" i="4"/>
  <c r="G971" i="4"/>
  <c r="H971" i="4"/>
  <c r="I971" i="4"/>
  <c r="J971" i="4"/>
  <c r="K971" i="4"/>
  <c r="B972" i="4"/>
  <c r="C972" i="4"/>
  <c r="D972" i="4"/>
  <c r="E972" i="4"/>
  <c r="F972" i="4"/>
  <c r="G972" i="4"/>
  <c r="H972" i="4"/>
  <c r="I972" i="4"/>
  <c r="J972" i="4"/>
  <c r="K972" i="4"/>
  <c r="B973" i="4"/>
  <c r="C973" i="4"/>
  <c r="D973" i="4"/>
  <c r="E973" i="4"/>
  <c r="F973" i="4"/>
  <c r="G973" i="4"/>
  <c r="H973" i="4"/>
  <c r="I973" i="4"/>
  <c r="J973" i="4"/>
  <c r="K973" i="4"/>
  <c r="B974" i="4"/>
  <c r="C974" i="4"/>
  <c r="D974" i="4"/>
  <c r="E974" i="4"/>
  <c r="F974" i="4"/>
  <c r="G974" i="4"/>
  <c r="H974" i="4"/>
  <c r="I974" i="4"/>
  <c r="J974" i="4"/>
  <c r="K974" i="4"/>
  <c r="B975" i="4"/>
  <c r="C975" i="4"/>
  <c r="D975" i="4"/>
  <c r="E975" i="4"/>
  <c r="F975" i="4"/>
  <c r="G975" i="4"/>
  <c r="H975" i="4"/>
  <c r="I975" i="4"/>
  <c r="J975" i="4"/>
  <c r="K975" i="4"/>
  <c r="B976" i="4"/>
  <c r="C976" i="4"/>
  <c r="D976" i="4"/>
  <c r="E976" i="4"/>
  <c r="F976" i="4"/>
  <c r="G976" i="4"/>
  <c r="H976" i="4"/>
  <c r="I976" i="4"/>
  <c r="J976" i="4"/>
  <c r="K976" i="4"/>
  <c r="B977" i="4"/>
  <c r="C977" i="4"/>
  <c r="D977" i="4"/>
  <c r="E977" i="4"/>
  <c r="F977" i="4"/>
  <c r="G977" i="4"/>
  <c r="H977" i="4"/>
  <c r="I977" i="4"/>
  <c r="J977" i="4"/>
  <c r="K977" i="4"/>
  <c r="B978" i="4"/>
  <c r="C978" i="4"/>
  <c r="D978" i="4"/>
  <c r="E978" i="4"/>
  <c r="F978" i="4"/>
  <c r="G978" i="4"/>
  <c r="H978" i="4"/>
  <c r="I978" i="4"/>
  <c r="J978" i="4"/>
  <c r="K978" i="4"/>
  <c r="B979" i="4"/>
  <c r="C979" i="4"/>
  <c r="D979" i="4"/>
  <c r="E979" i="4"/>
  <c r="F979" i="4"/>
  <c r="G979" i="4"/>
  <c r="H979" i="4"/>
  <c r="I979" i="4"/>
  <c r="J979" i="4"/>
  <c r="K979" i="4"/>
  <c r="B980" i="4"/>
  <c r="C980" i="4"/>
  <c r="D980" i="4"/>
  <c r="E980" i="4"/>
  <c r="F980" i="4"/>
  <c r="G980" i="4"/>
  <c r="H980" i="4"/>
  <c r="I980" i="4"/>
  <c r="J980" i="4"/>
  <c r="K980" i="4"/>
  <c r="B981" i="4"/>
  <c r="C981" i="4"/>
  <c r="D981" i="4"/>
  <c r="E981" i="4"/>
  <c r="F981" i="4"/>
  <c r="G981" i="4"/>
  <c r="H981" i="4"/>
  <c r="I981" i="4"/>
  <c r="J981" i="4"/>
  <c r="K981" i="4"/>
  <c r="B982" i="4"/>
  <c r="C982" i="4"/>
  <c r="D982" i="4"/>
  <c r="E982" i="4"/>
  <c r="F982" i="4"/>
  <c r="G982" i="4"/>
  <c r="H982" i="4"/>
  <c r="I982" i="4"/>
  <c r="J982" i="4"/>
  <c r="K982" i="4"/>
  <c r="B983" i="4"/>
  <c r="C983" i="4"/>
  <c r="D983" i="4"/>
  <c r="E983" i="4"/>
  <c r="F983" i="4"/>
  <c r="G983" i="4"/>
  <c r="H983" i="4"/>
  <c r="I983" i="4"/>
  <c r="J983" i="4"/>
  <c r="K983" i="4"/>
  <c r="B984" i="4"/>
  <c r="C984" i="4"/>
  <c r="D984" i="4"/>
  <c r="E984" i="4"/>
  <c r="F984" i="4"/>
  <c r="G984" i="4"/>
  <c r="H984" i="4"/>
  <c r="I984" i="4"/>
  <c r="J984" i="4"/>
  <c r="K984" i="4"/>
  <c r="B985" i="4"/>
  <c r="C985" i="4"/>
  <c r="D985" i="4"/>
  <c r="E985" i="4"/>
  <c r="F985" i="4"/>
  <c r="G985" i="4"/>
  <c r="H985" i="4"/>
  <c r="I985" i="4"/>
  <c r="J985" i="4"/>
  <c r="K985" i="4"/>
  <c r="B986" i="4"/>
  <c r="C986" i="4"/>
  <c r="D986" i="4"/>
  <c r="E986" i="4"/>
  <c r="F986" i="4"/>
  <c r="G986" i="4"/>
  <c r="H986" i="4"/>
  <c r="I986" i="4"/>
  <c r="J986" i="4"/>
  <c r="K986" i="4"/>
  <c r="B987" i="4"/>
  <c r="C987" i="4"/>
  <c r="D987" i="4"/>
  <c r="E987" i="4"/>
  <c r="F987" i="4"/>
  <c r="G987" i="4"/>
  <c r="H987" i="4"/>
  <c r="I987" i="4"/>
  <c r="J987" i="4"/>
  <c r="K987" i="4"/>
  <c r="B988" i="4"/>
  <c r="C988" i="4"/>
  <c r="D988" i="4"/>
  <c r="E988" i="4"/>
  <c r="F988" i="4"/>
  <c r="G988" i="4"/>
  <c r="H988" i="4"/>
  <c r="I988" i="4"/>
  <c r="J988" i="4"/>
  <c r="K988" i="4"/>
  <c r="B989" i="4"/>
  <c r="C989" i="4"/>
  <c r="D989" i="4"/>
  <c r="E989" i="4"/>
  <c r="F989" i="4"/>
  <c r="G989" i="4"/>
  <c r="H989" i="4"/>
  <c r="I989" i="4"/>
  <c r="J989" i="4"/>
  <c r="K989" i="4"/>
  <c r="B990" i="4"/>
  <c r="C990" i="4"/>
  <c r="D990" i="4"/>
  <c r="E990" i="4"/>
  <c r="F990" i="4"/>
  <c r="G990" i="4"/>
  <c r="H990" i="4"/>
  <c r="I990" i="4"/>
  <c r="J990" i="4"/>
  <c r="K990" i="4"/>
  <c r="B991" i="4"/>
  <c r="C991" i="4"/>
  <c r="D991" i="4"/>
  <c r="E991" i="4"/>
  <c r="F991" i="4"/>
  <c r="G991" i="4"/>
  <c r="H991" i="4"/>
  <c r="I991" i="4"/>
  <c r="J991" i="4"/>
  <c r="K991" i="4"/>
  <c r="B992" i="4"/>
  <c r="C992" i="4"/>
  <c r="D992" i="4"/>
  <c r="E992" i="4"/>
  <c r="F992" i="4"/>
  <c r="G992" i="4"/>
  <c r="H992" i="4"/>
  <c r="I992" i="4"/>
  <c r="J992" i="4"/>
  <c r="K992" i="4"/>
  <c r="B993" i="4"/>
  <c r="C993" i="4"/>
  <c r="D993" i="4"/>
  <c r="E993" i="4"/>
  <c r="F993" i="4"/>
  <c r="G993" i="4"/>
  <c r="H993" i="4"/>
  <c r="I993" i="4"/>
  <c r="J993" i="4"/>
  <c r="K993" i="4"/>
  <c r="B994" i="4"/>
  <c r="C994" i="4"/>
  <c r="D994" i="4"/>
  <c r="E994" i="4"/>
  <c r="F994" i="4"/>
  <c r="G994" i="4"/>
  <c r="H994" i="4"/>
  <c r="I994" i="4"/>
  <c r="J994" i="4"/>
  <c r="K994" i="4"/>
  <c r="B995" i="4"/>
  <c r="C995" i="4"/>
  <c r="D995" i="4"/>
  <c r="E995" i="4"/>
  <c r="F995" i="4"/>
  <c r="G995" i="4"/>
  <c r="H995" i="4"/>
  <c r="I995" i="4"/>
  <c r="J995" i="4"/>
  <c r="K995" i="4"/>
  <c r="B996" i="4"/>
  <c r="C996" i="4"/>
  <c r="D996" i="4"/>
  <c r="E996" i="4"/>
  <c r="F996" i="4"/>
  <c r="G996" i="4"/>
  <c r="H996" i="4"/>
  <c r="I996" i="4"/>
  <c r="J996" i="4"/>
  <c r="K996" i="4"/>
  <c r="B997" i="4"/>
  <c r="C997" i="4"/>
  <c r="D997" i="4"/>
  <c r="E997" i="4"/>
  <c r="F997" i="4"/>
  <c r="G997" i="4"/>
  <c r="H997" i="4"/>
  <c r="I997" i="4"/>
  <c r="J997" i="4"/>
  <c r="K997" i="4"/>
  <c r="B998" i="4"/>
  <c r="C998" i="4"/>
  <c r="D998" i="4"/>
  <c r="E998" i="4"/>
  <c r="F998" i="4"/>
  <c r="G998" i="4"/>
  <c r="H998" i="4"/>
  <c r="I998" i="4"/>
  <c r="J998" i="4"/>
  <c r="K998" i="4"/>
  <c r="B999" i="4"/>
  <c r="C999" i="4"/>
  <c r="D999" i="4"/>
  <c r="E999" i="4"/>
  <c r="F999" i="4"/>
  <c r="G999" i="4"/>
  <c r="H999" i="4"/>
  <c r="I999" i="4"/>
  <c r="J999" i="4"/>
  <c r="K999" i="4"/>
  <c r="B1000" i="4"/>
  <c r="C1000" i="4"/>
  <c r="D1000" i="4"/>
  <c r="E1000" i="4"/>
  <c r="F1000" i="4"/>
  <c r="G1000" i="4"/>
  <c r="H1000" i="4"/>
  <c r="I1000" i="4"/>
  <c r="J1000" i="4"/>
  <c r="K1000" i="4"/>
  <c r="B1001" i="4"/>
  <c r="C1001" i="4"/>
  <c r="D1001" i="4"/>
  <c r="E1001" i="4"/>
  <c r="F1001" i="4"/>
  <c r="G1001" i="4"/>
  <c r="H1001" i="4"/>
  <c r="I1001" i="4"/>
  <c r="J1001" i="4"/>
  <c r="K1001" i="4"/>
  <c r="B1002" i="4"/>
  <c r="C1002" i="4"/>
  <c r="D1002" i="4"/>
  <c r="E1002" i="4"/>
  <c r="F1002" i="4"/>
  <c r="G1002" i="4"/>
  <c r="H1002" i="4"/>
  <c r="I1002" i="4"/>
  <c r="J1002" i="4"/>
  <c r="K1002" i="4"/>
  <c r="B1003" i="4"/>
  <c r="C1003" i="4"/>
  <c r="D1003" i="4"/>
  <c r="E1003" i="4"/>
  <c r="F1003" i="4"/>
  <c r="G1003" i="4"/>
  <c r="H1003" i="4"/>
  <c r="I1003" i="4"/>
  <c r="J1003" i="4"/>
  <c r="K1003" i="4"/>
  <c r="B1004" i="4"/>
  <c r="C1004" i="4"/>
  <c r="D1004" i="4"/>
  <c r="E1004" i="4"/>
  <c r="F1004" i="4"/>
  <c r="G1004" i="4"/>
  <c r="H1004" i="4"/>
  <c r="I1004" i="4"/>
  <c r="J1004" i="4"/>
  <c r="K1004" i="4"/>
  <c r="B1005" i="4"/>
  <c r="C1005" i="4"/>
  <c r="D1005" i="4"/>
  <c r="E1005" i="4"/>
  <c r="F1005" i="4"/>
  <c r="G1005" i="4"/>
  <c r="H1005" i="4"/>
  <c r="I1005" i="4"/>
  <c r="J1005" i="4"/>
  <c r="K1005" i="4"/>
  <c r="B1006" i="4"/>
  <c r="C1006" i="4"/>
  <c r="D1006" i="4"/>
  <c r="E1006" i="4"/>
  <c r="F1006" i="4"/>
  <c r="G1006" i="4"/>
  <c r="H1006" i="4"/>
  <c r="I1006" i="4"/>
  <c r="J1006" i="4"/>
  <c r="K1006" i="4"/>
  <c r="B1007" i="4"/>
  <c r="C1007" i="4"/>
  <c r="D1007" i="4"/>
  <c r="E1007" i="4"/>
  <c r="F1007" i="4"/>
  <c r="G1007" i="4"/>
  <c r="H1007" i="4"/>
  <c r="I1007" i="4"/>
  <c r="J1007" i="4"/>
  <c r="K1007" i="4"/>
  <c r="B1008" i="4"/>
  <c r="C1008" i="4"/>
  <c r="D1008" i="4"/>
  <c r="E1008" i="4"/>
  <c r="F1008" i="4"/>
  <c r="G1008" i="4"/>
  <c r="H1008" i="4"/>
  <c r="I1008" i="4"/>
  <c r="J1008" i="4"/>
  <c r="K1008" i="4"/>
  <c r="B1009" i="4"/>
  <c r="C1009" i="4"/>
  <c r="D1009" i="4"/>
  <c r="E1009" i="4"/>
  <c r="F1009" i="4"/>
  <c r="G1009" i="4"/>
  <c r="H1009" i="4"/>
  <c r="I1009" i="4"/>
  <c r="J1009" i="4"/>
  <c r="K1009" i="4"/>
  <c r="B1010" i="4"/>
  <c r="C1010" i="4"/>
  <c r="D1010" i="4"/>
  <c r="E1010" i="4"/>
  <c r="F1010" i="4"/>
  <c r="G1010" i="4"/>
  <c r="H1010" i="4"/>
  <c r="I1010" i="4"/>
  <c r="J1010" i="4"/>
  <c r="K1010" i="4"/>
  <c r="B1011" i="4"/>
  <c r="C1011" i="4"/>
  <c r="D1011" i="4"/>
  <c r="E1011" i="4"/>
  <c r="F1011" i="4"/>
  <c r="G1011" i="4"/>
  <c r="H1011" i="4"/>
  <c r="I1011" i="4"/>
  <c r="J1011" i="4"/>
  <c r="K1011" i="4"/>
  <c r="B1012" i="4"/>
  <c r="C1012" i="4"/>
  <c r="D1012" i="4"/>
  <c r="E1012" i="4"/>
  <c r="F1012" i="4"/>
  <c r="G1012" i="4"/>
  <c r="H1012" i="4"/>
  <c r="I1012" i="4"/>
  <c r="J1012" i="4"/>
  <c r="K1012" i="4"/>
  <c r="B1013" i="4"/>
  <c r="C1013" i="4"/>
  <c r="D1013" i="4"/>
  <c r="E1013" i="4"/>
  <c r="F1013" i="4"/>
  <c r="G1013" i="4"/>
  <c r="H1013" i="4"/>
  <c r="I1013" i="4"/>
  <c r="J1013" i="4"/>
  <c r="K1013" i="4"/>
  <c r="B1014" i="4"/>
  <c r="C1014" i="4"/>
  <c r="D1014" i="4"/>
  <c r="E1014" i="4"/>
  <c r="F1014" i="4"/>
  <c r="G1014" i="4"/>
  <c r="H1014" i="4"/>
  <c r="I1014" i="4"/>
  <c r="J1014" i="4"/>
  <c r="K1014" i="4"/>
  <c r="B1015" i="4"/>
  <c r="C1015" i="4"/>
  <c r="D1015" i="4"/>
  <c r="E1015" i="4"/>
  <c r="F1015" i="4"/>
  <c r="G1015" i="4"/>
  <c r="H1015" i="4"/>
  <c r="I1015" i="4"/>
  <c r="J1015" i="4"/>
  <c r="K1015" i="4"/>
  <c r="B1016" i="4"/>
  <c r="C1016" i="4"/>
  <c r="D1016" i="4"/>
  <c r="E1016" i="4"/>
  <c r="F1016" i="4"/>
  <c r="G1016" i="4"/>
  <c r="H1016" i="4"/>
  <c r="I1016" i="4"/>
  <c r="J1016" i="4"/>
  <c r="K1016" i="4"/>
  <c r="B1017" i="4"/>
  <c r="C1017" i="4"/>
  <c r="D1017" i="4"/>
  <c r="E1017" i="4"/>
  <c r="F1017" i="4"/>
  <c r="G1017" i="4"/>
  <c r="H1017" i="4"/>
  <c r="I1017" i="4"/>
  <c r="J1017" i="4"/>
  <c r="K1017" i="4"/>
  <c r="B1018" i="4"/>
  <c r="C1018" i="4"/>
  <c r="D1018" i="4"/>
  <c r="E1018" i="4"/>
  <c r="F1018" i="4"/>
  <c r="G1018" i="4"/>
  <c r="H1018" i="4"/>
  <c r="I1018" i="4"/>
  <c r="J1018" i="4"/>
  <c r="K1018" i="4"/>
  <c r="B1019" i="4"/>
  <c r="C1019" i="4"/>
  <c r="D1019" i="4"/>
  <c r="E1019" i="4"/>
  <c r="F1019" i="4"/>
  <c r="G1019" i="4"/>
  <c r="H1019" i="4"/>
  <c r="I1019" i="4"/>
  <c r="J1019" i="4"/>
  <c r="K1019" i="4"/>
  <c r="B1020" i="4"/>
  <c r="C1020" i="4"/>
  <c r="D1020" i="4"/>
  <c r="E1020" i="4"/>
  <c r="F1020" i="4"/>
  <c r="G1020" i="4"/>
  <c r="H1020" i="4"/>
  <c r="I1020" i="4"/>
  <c r="J1020" i="4"/>
  <c r="K1020" i="4"/>
  <c r="B1021" i="4"/>
  <c r="C1021" i="4"/>
  <c r="D1021" i="4"/>
  <c r="E1021" i="4"/>
  <c r="F1021" i="4"/>
  <c r="G1021" i="4"/>
  <c r="H1021" i="4"/>
  <c r="I1021" i="4"/>
  <c r="J1021" i="4"/>
  <c r="K1021" i="4"/>
  <c r="B1022" i="4"/>
  <c r="C1022" i="4"/>
  <c r="D1022" i="4"/>
  <c r="E1022" i="4"/>
  <c r="F1022" i="4"/>
  <c r="G1022" i="4"/>
  <c r="H1022" i="4"/>
  <c r="I1022" i="4"/>
  <c r="J1022" i="4"/>
  <c r="K1022" i="4"/>
  <c r="B1023" i="4"/>
  <c r="C1023" i="4"/>
  <c r="D1023" i="4"/>
  <c r="E1023" i="4"/>
  <c r="F1023" i="4"/>
  <c r="G1023" i="4"/>
  <c r="H1023" i="4"/>
  <c r="I1023" i="4"/>
  <c r="J1023" i="4"/>
  <c r="K1023" i="4"/>
  <c r="B1024" i="4"/>
  <c r="C1024" i="4"/>
  <c r="D1024" i="4"/>
  <c r="E1024" i="4"/>
  <c r="F1024" i="4"/>
  <c r="G1024" i="4"/>
  <c r="H1024" i="4"/>
  <c r="I1024" i="4"/>
  <c r="J1024" i="4"/>
  <c r="K1024" i="4"/>
  <c r="B1025" i="4"/>
  <c r="C1025" i="4"/>
  <c r="D1025" i="4"/>
  <c r="E1025" i="4"/>
  <c r="F1025" i="4"/>
  <c r="G1025" i="4"/>
  <c r="H1025" i="4"/>
  <c r="I1025" i="4"/>
  <c r="J1025" i="4"/>
  <c r="K1025" i="4"/>
  <c r="B1026" i="4"/>
  <c r="C1026" i="4"/>
  <c r="D1026" i="4"/>
  <c r="E1026" i="4"/>
  <c r="F1026" i="4"/>
  <c r="G1026" i="4"/>
  <c r="H1026" i="4"/>
  <c r="I1026" i="4"/>
  <c r="J1026" i="4"/>
  <c r="K1026" i="4"/>
  <c r="B1027" i="4"/>
  <c r="C1027" i="4"/>
  <c r="D1027" i="4"/>
  <c r="E1027" i="4"/>
  <c r="F1027" i="4"/>
  <c r="G1027" i="4"/>
  <c r="H1027" i="4"/>
  <c r="I1027" i="4"/>
  <c r="J1027" i="4"/>
  <c r="K1027" i="4"/>
  <c r="B1028" i="4"/>
  <c r="C1028" i="4"/>
  <c r="D1028" i="4"/>
  <c r="E1028" i="4"/>
  <c r="F1028" i="4"/>
  <c r="G1028" i="4"/>
  <c r="H1028" i="4"/>
  <c r="I1028" i="4"/>
  <c r="J1028" i="4"/>
  <c r="K1028" i="4"/>
  <c r="B1029" i="4"/>
  <c r="C1029" i="4"/>
  <c r="D1029" i="4"/>
  <c r="E1029" i="4"/>
  <c r="F1029" i="4"/>
  <c r="G1029" i="4"/>
  <c r="H1029" i="4"/>
  <c r="I1029" i="4"/>
  <c r="J1029" i="4"/>
  <c r="K1029" i="4"/>
  <c r="B1030" i="4"/>
  <c r="C1030" i="4"/>
  <c r="D1030" i="4"/>
  <c r="E1030" i="4"/>
  <c r="F1030" i="4"/>
  <c r="G1030" i="4"/>
  <c r="H1030" i="4"/>
  <c r="I1030" i="4"/>
  <c r="J1030" i="4"/>
  <c r="K1030" i="4"/>
  <c r="B1031" i="4"/>
  <c r="C1031" i="4"/>
  <c r="D1031" i="4"/>
  <c r="E1031" i="4"/>
  <c r="F1031" i="4"/>
  <c r="G1031" i="4"/>
  <c r="H1031" i="4"/>
  <c r="I1031" i="4"/>
  <c r="J1031" i="4"/>
  <c r="K1031" i="4"/>
  <c r="B1032" i="4"/>
  <c r="C1032" i="4"/>
  <c r="D1032" i="4"/>
  <c r="E1032" i="4"/>
  <c r="F1032" i="4"/>
  <c r="G1032" i="4"/>
  <c r="H1032" i="4"/>
  <c r="I1032" i="4"/>
  <c r="J1032" i="4"/>
  <c r="K1032" i="4"/>
  <c r="B1033" i="4"/>
  <c r="C1033" i="4"/>
  <c r="D1033" i="4"/>
  <c r="E1033" i="4"/>
  <c r="F1033" i="4"/>
  <c r="G1033" i="4"/>
  <c r="H1033" i="4"/>
  <c r="I1033" i="4"/>
  <c r="J1033" i="4"/>
  <c r="K1033" i="4"/>
  <c r="B1034" i="4"/>
  <c r="C1034" i="4"/>
  <c r="D1034" i="4"/>
  <c r="E1034" i="4"/>
  <c r="F1034" i="4"/>
  <c r="G1034" i="4"/>
  <c r="H1034" i="4"/>
  <c r="I1034" i="4"/>
  <c r="J1034" i="4"/>
  <c r="K1034" i="4"/>
  <c r="B1035" i="4"/>
  <c r="C1035" i="4"/>
  <c r="D1035" i="4"/>
  <c r="E1035" i="4"/>
  <c r="F1035" i="4"/>
  <c r="G1035" i="4"/>
  <c r="H1035" i="4"/>
  <c r="I1035" i="4"/>
  <c r="J1035" i="4"/>
  <c r="K1035" i="4"/>
  <c r="B1036" i="4"/>
  <c r="C1036" i="4"/>
  <c r="D1036" i="4"/>
  <c r="E1036" i="4"/>
  <c r="F1036" i="4"/>
  <c r="G1036" i="4"/>
  <c r="H1036" i="4"/>
  <c r="I1036" i="4"/>
  <c r="J1036" i="4"/>
  <c r="K1036" i="4"/>
  <c r="B1037" i="4"/>
  <c r="C1037" i="4"/>
  <c r="D1037" i="4"/>
  <c r="E1037" i="4"/>
  <c r="F1037" i="4"/>
  <c r="G1037" i="4"/>
  <c r="H1037" i="4"/>
  <c r="I1037" i="4"/>
  <c r="J1037" i="4"/>
  <c r="K1037" i="4"/>
  <c r="B1038" i="4"/>
  <c r="C1038" i="4"/>
  <c r="D1038" i="4"/>
  <c r="E1038" i="4"/>
  <c r="F1038" i="4"/>
  <c r="G1038" i="4"/>
  <c r="H1038" i="4"/>
  <c r="I1038" i="4"/>
  <c r="J1038" i="4"/>
  <c r="K1038" i="4"/>
  <c r="B1039" i="4"/>
  <c r="C1039" i="4"/>
  <c r="D1039" i="4"/>
  <c r="E1039" i="4"/>
  <c r="F1039" i="4"/>
  <c r="G1039" i="4"/>
  <c r="H1039" i="4"/>
  <c r="I1039" i="4"/>
  <c r="J1039" i="4"/>
  <c r="K1039" i="4"/>
  <c r="B1040" i="4"/>
  <c r="C1040" i="4"/>
  <c r="D1040" i="4"/>
  <c r="E1040" i="4"/>
  <c r="F1040" i="4"/>
  <c r="G1040" i="4"/>
  <c r="H1040" i="4"/>
  <c r="I1040" i="4"/>
  <c r="J1040" i="4"/>
  <c r="K1040" i="4"/>
  <c r="B1041" i="4"/>
  <c r="C1041" i="4"/>
  <c r="D1041" i="4"/>
  <c r="E1041" i="4"/>
  <c r="F1041" i="4"/>
  <c r="G1041" i="4"/>
  <c r="H1041" i="4"/>
  <c r="I1041" i="4"/>
  <c r="J1041" i="4"/>
  <c r="K1041" i="4"/>
  <c r="B1042" i="4"/>
  <c r="C1042" i="4"/>
  <c r="D1042" i="4"/>
  <c r="E1042" i="4"/>
  <c r="F1042" i="4"/>
  <c r="G1042" i="4"/>
  <c r="H1042" i="4"/>
  <c r="I1042" i="4"/>
  <c r="J1042" i="4"/>
  <c r="K1042" i="4"/>
  <c r="B1043" i="4"/>
  <c r="C1043" i="4"/>
  <c r="D1043" i="4"/>
  <c r="E1043" i="4"/>
  <c r="F1043" i="4"/>
  <c r="G1043" i="4"/>
  <c r="H1043" i="4"/>
  <c r="I1043" i="4"/>
  <c r="J1043" i="4"/>
  <c r="K1043" i="4"/>
  <c r="B1044" i="4"/>
  <c r="C1044" i="4"/>
  <c r="D1044" i="4"/>
  <c r="E1044" i="4"/>
  <c r="F1044" i="4"/>
  <c r="G1044" i="4"/>
  <c r="H1044" i="4"/>
  <c r="I1044" i="4"/>
  <c r="J1044" i="4"/>
  <c r="K1044" i="4"/>
  <c r="B1045" i="4"/>
  <c r="C1045" i="4"/>
  <c r="D1045" i="4"/>
  <c r="E1045" i="4"/>
  <c r="F1045" i="4"/>
  <c r="G1045" i="4"/>
  <c r="H1045" i="4"/>
  <c r="I1045" i="4"/>
  <c r="J1045" i="4"/>
  <c r="K1045" i="4"/>
  <c r="B1046" i="4"/>
  <c r="C1046" i="4"/>
  <c r="D1046" i="4"/>
  <c r="E1046" i="4"/>
  <c r="F1046" i="4"/>
  <c r="G1046" i="4"/>
  <c r="H1046" i="4"/>
  <c r="I1046" i="4"/>
  <c r="J1046" i="4"/>
  <c r="K1046" i="4"/>
  <c r="B1047" i="4"/>
  <c r="C1047" i="4"/>
  <c r="D1047" i="4"/>
  <c r="E1047" i="4"/>
  <c r="F1047" i="4"/>
  <c r="G1047" i="4"/>
  <c r="H1047" i="4"/>
  <c r="I1047" i="4"/>
  <c r="J1047" i="4"/>
  <c r="K1047" i="4"/>
  <c r="B1048" i="4"/>
  <c r="C1048" i="4"/>
  <c r="D1048" i="4"/>
  <c r="E1048" i="4"/>
  <c r="F1048" i="4"/>
  <c r="G1048" i="4"/>
  <c r="H1048" i="4"/>
  <c r="I1048" i="4"/>
  <c r="J1048" i="4"/>
  <c r="K1048" i="4"/>
  <c r="B1049" i="4"/>
  <c r="C1049" i="4"/>
  <c r="D1049" i="4"/>
  <c r="E1049" i="4"/>
  <c r="F1049" i="4"/>
  <c r="G1049" i="4"/>
  <c r="H1049" i="4"/>
  <c r="I1049" i="4"/>
  <c r="J1049" i="4"/>
  <c r="K1049" i="4"/>
  <c r="B1050" i="4"/>
  <c r="C1050" i="4"/>
  <c r="D1050" i="4"/>
  <c r="E1050" i="4"/>
  <c r="F1050" i="4"/>
  <c r="G1050" i="4"/>
  <c r="H1050" i="4"/>
  <c r="I1050" i="4"/>
  <c r="J1050" i="4"/>
  <c r="K1050" i="4"/>
  <c r="B1051" i="4"/>
  <c r="C1051" i="4"/>
  <c r="D1051" i="4"/>
  <c r="E1051" i="4"/>
  <c r="F1051" i="4"/>
  <c r="G1051" i="4"/>
  <c r="H1051" i="4"/>
  <c r="I1051" i="4"/>
  <c r="J1051" i="4"/>
  <c r="K1051" i="4"/>
  <c r="B1052" i="4"/>
  <c r="C1052" i="4"/>
  <c r="D1052" i="4"/>
  <c r="E1052" i="4"/>
  <c r="F1052" i="4"/>
  <c r="G1052" i="4"/>
  <c r="H1052" i="4"/>
  <c r="I1052" i="4"/>
  <c r="J1052" i="4"/>
  <c r="K1052" i="4"/>
  <c r="B1053" i="4"/>
  <c r="C1053" i="4"/>
  <c r="D1053" i="4"/>
  <c r="E1053" i="4"/>
  <c r="F1053" i="4"/>
  <c r="G1053" i="4"/>
  <c r="H1053" i="4"/>
  <c r="I1053" i="4"/>
  <c r="J1053" i="4"/>
  <c r="K1053" i="4"/>
  <c r="B1054" i="4"/>
  <c r="C1054" i="4"/>
  <c r="D1054" i="4"/>
  <c r="E1054" i="4"/>
  <c r="F1054" i="4"/>
  <c r="G1054" i="4"/>
  <c r="H1054" i="4"/>
  <c r="I1054" i="4"/>
  <c r="J1054" i="4"/>
  <c r="K1054" i="4"/>
  <c r="B1055" i="4"/>
  <c r="C1055" i="4"/>
  <c r="D1055" i="4"/>
  <c r="E1055" i="4"/>
  <c r="F1055" i="4"/>
  <c r="G1055" i="4"/>
  <c r="H1055" i="4"/>
  <c r="I1055" i="4"/>
  <c r="J1055" i="4"/>
  <c r="K1055" i="4"/>
  <c r="B1056" i="4"/>
  <c r="C1056" i="4"/>
  <c r="D1056" i="4"/>
  <c r="E1056" i="4"/>
  <c r="F1056" i="4"/>
  <c r="G1056" i="4"/>
  <c r="H1056" i="4"/>
  <c r="I1056" i="4"/>
  <c r="J1056" i="4"/>
  <c r="K1056" i="4"/>
  <c r="B1057" i="4"/>
  <c r="C1057" i="4"/>
  <c r="D1057" i="4"/>
  <c r="E1057" i="4"/>
  <c r="F1057" i="4"/>
  <c r="G1057" i="4"/>
  <c r="H1057" i="4"/>
  <c r="I1057" i="4"/>
  <c r="J1057" i="4"/>
  <c r="K1057" i="4"/>
  <c r="B1058" i="4"/>
  <c r="C1058" i="4"/>
  <c r="D1058" i="4"/>
  <c r="E1058" i="4"/>
  <c r="F1058" i="4"/>
  <c r="G1058" i="4"/>
  <c r="H1058" i="4"/>
  <c r="I1058" i="4"/>
  <c r="J1058" i="4"/>
  <c r="K1058" i="4"/>
  <c r="B1059" i="4"/>
  <c r="C1059" i="4"/>
  <c r="D1059" i="4"/>
  <c r="E1059" i="4"/>
  <c r="F1059" i="4"/>
  <c r="G1059" i="4"/>
  <c r="H1059" i="4"/>
  <c r="I1059" i="4"/>
  <c r="J1059" i="4"/>
  <c r="K1059" i="4"/>
  <c r="B1060" i="4"/>
  <c r="C1060" i="4"/>
  <c r="D1060" i="4"/>
  <c r="E1060" i="4"/>
  <c r="F1060" i="4"/>
  <c r="G1060" i="4"/>
  <c r="H1060" i="4"/>
  <c r="I1060" i="4"/>
  <c r="J1060" i="4"/>
  <c r="K1060" i="4"/>
  <c r="C1069" i="4"/>
  <c r="C1086" i="4"/>
  <c r="C1107" i="4"/>
  <c r="C1137" i="4"/>
  <c r="C13" i="3"/>
  <c r="E13" i="3"/>
  <c r="B23" i="3"/>
  <c r="C23" i="3"/>
  <c r="D23" i="3"/>
  <c r="E23" i="3"/>
  <c r="B24" i="3"/>
  <c r="C24" i="3"/>
  <c r="D24" i="3"/>
  <c r="E24" i="3"/>
  <c r="B25" i="3"/>
  <c r="C25" i="3"/>
  <c r="D25" i="3"/>
  <c r="E25" i="3"/>
  <c r="B26" i="3"/>
  <c r="C26" i="3"/>
  <c r="D26" i="3"/>
  <c r="E26" i="3"/>
  <c r="B27" i="3"/>
  <c r="C27" i="3"/>
  <c r="D27" i="3"/>
  <c r="E27" i="3"/>
  <c r="B28" i="3"/>
  <c r="C28" i="3"/>
  <c r="D28" i="3"/>
  <c r="E28" i="3"/>
  <c r="B29" i="3"/>
  <c r="C29" i="3"/>
  <c r="D29" i="3"/>
  <c r="E29" i="3"/>
  <c r="B30" i="3"/>
  <c r="C30" i="3"/>
  <c r="D30" i="3"/>
  <c r="E30" i="3"/>
  <c r="B31" i="3"/>
  <c r="C31" i="3"/>
  <c r="D31" i="3"/>
  <c r="E31" i="3"/>
  <c r="B32" i="3"/>
  <c r="C32" i="3"/>
  <c r="D32" i="3"/>
  <c r="E32" i="3"/>
  <c r="B33" i="3"/>
  <c r="C33" i="3"/>
  <c r="D33" i="3"/>
  <c r="E33" i="3"/>
  <c r="B34" i="3"/>
  <c r="C34" i="3"/>
  <c r="D34" i="3"/>
  <c r="E34" i="3"/>
  <c r="B35" i="3"/>
  <c r="C35" i="3"/>
  <c r="D35" i="3"/>
  <c r="E35" i="3"/>
  <c r="B36" i="3"/>
  <c r="C36" i="3"/>
  <c r="D36" i="3"/>
  <c r="E36" i="3"/>
  <c r="B37" i="3"/>
  <c r="C37" i="3"/>
  <c r="D37" i="3"/>
  <c r="E37" i="3"/>
  <c r="B38" i="3"/>
  <c r="C38" i="3"/>
  <c r="D38" i="3"/>
  <c r="E38" i="3"/>
  <c r="B39" i="3"/>
  <c r="C39" i="3"/>
  <c r="D39" i="3"/>
  <c r="E39" i="3"/>
  <c r="B40" i="3"/>
  <c r="C40" i="3"/>
  <c r="D40" i="3"/>
  <c r="E40" i="3"/>
  <c r="B41" i="3"/>
  <c r="C41" i="3"/>
  <c r="D41" i="3"/>
  <c r="E41" i="3"/>
  <c r="B42" i="3"/>
  <c r="C42" i="3"/>
  <c r="D42" i="3"/>
  <c r="E42" i="3"/>
  <c r="B43" i="3"/>
  <c r="C43" i="3"/>
  <c r="D43" i="3"/>
  <c r="E43" i="3"/>
  <c r="B44" i="3"/>
  <c r="C44" i="3"/>
  <c r="D44" i="3"/>
  <c r="E44" i="3"/>
  <c r="B45" i="3"/>
  <c r="C45" i="3"/>
  <c r="D45" i="3"/>
  <c r="E45" i="3"/>
  <c r="B46" i="3"/>
  <c r="C46" i="3"/>
  <c r="D46" i="3"/>
  <c r="E46" i="3"/>
  <c r="B47" i="3"/>
  <c r="C47" i="3"/>
  <c r="D47" i="3"/>
  <c r="E47" i="3"/>
  <c r="B48" i="3"/>
  <c r="C48" i="3"/>
  <c r="D48" i="3"/>
  <c r="E48" i="3"/>
  <c r="B49" i="3"/>
  <c r="C49" i="3"/>
  <c r="D49" i="3"/>
  <c r="E49" i="3"/>
  <c r="B50" i="3"/>
  <c r="C50" i="3"/>
  <c r="D50" i="3"/>
  <c r="E50" i="3"/>
  <c r="B51" i="3"/>
  <c r="C51" i="3"/>
  <c r="D51" i="3"/>
  <c r="E51" i="3"/>
  <c r="B52" i="3"/>
  <c r="C52" i="3"/>
  <c r="D52" i="3"/>
  <c r="E52" i="3"/>
  <c r="B53" i="3"/>
  <c r="C53" i="3"/>
  <c r="D53" i="3"/>
  <c r="E53" i="3"/>
  <c r="B54" i="3"/>
  <c r="C54" i="3"/>
  <c r="D54" i="3"/>
  <c r="E54" i="3"/>
  <c r="B55" i="3"/>
  <c r="C55" i="3"/>
  <c r="D55" i="3"/>
  <c r="E55" i="3"/>
  <c r="B56" i="3"/>
  <c r="C56" i="3"/>
  <c r="D56" i="3"/>
  <c r="E56" i="3"/>
  <c r="B57" i="3"/>
  <c r="C57" i="3"/>
  <c r="D57" i="3"/>
  <c r="E57" i="3"/>
  <c r="B58" i="3"/>
  <c r="C58" i="3"/>
  <c r="D58" i="3"/>
  <c r="E58" i="3"/>
  <c r="B59" i="3"/>
  <c r="C59" i="3"/>
  <c r="D59" i="3"/>
  <c r="E59" i="3"/>
  <c r="B60" i="3"/>
  <c r="C60" i="3"/>
  <c r="D60" i="3"/>
  <c r="E60" i="3"/>
  <c r="B61" i="3"/>
  <c r="C61" i="3"/>
  <c r="D61" i="3"/>
  <c r="E61" i="3"/>
  <c r="B62" i="3"/>
  <c r="C62" i="3"/>
  <c r="D62" i="3"/>
  <c r="E62" i="3"/>
  <c r="B63" i="3"/>
  <c r="C63" i="3"/>
  <c r="D63" i="3"/>
  <c r="E63" i="3"/>
  <c r="B64" i="3"/>
  <c r="C64" i="3"/>
  <c r="D64" i="3"/>
  <c r="E64" i="3"/>
  <c r="B65" i="3"/>
  <c r="C65" i="3"/>
  <c r="D65" i="3"/>
  <c r="E65" i="3"/>
  <c r="B66" i="3"/>
  <c r="C66" i="3"/>
  <c r="D66" i="3"/>
  <c r="E66" i="3"/>
  <c r="B67" i="3"/>
  <c r="C67" i="3"/>
  <c r="D67" i="3"/>
  <c r="E67" i="3"/>
  <c r="B68" i="3"/>
  <c r="C68" i="3"/>
  <c r="D68" i="3"/>
  <c r="E68" i="3"/>
  <c r="B69" i="3"/>
  <c r="C69" i="3"/>
  <c r="D69" i="3"/>
  <c r="E69" i="3"/>
  <c r="B70" i="3"/>
  <c r="C70" i="3"/>
  <c r="D70" i="3"/>
  <c r="E70" i="3"/>
  <c r="B71" i="3"/>
  <c r="C71" i="3"/>
  <c r="D71" i="3"/>
  <c r="E71" i="3"/>
  <c r="B72" i="3"/>
  <c r="C72" i="3"/>
  <c r="D72" i="3"/>
  <c r="E72" i="3"/>
  <c r="B73" i="3"/>
  <c r="C73" i="3"/>
  <c r="D73" i="3"/>
  <c r="E73" i="3"/>
  <c r="B74" i="3"/>
  <c r="C74" i="3"/>
  <c r="D74" i="3"/>
  <c r="E74" i="3"/>
  <c r="B75" i="3"/>
  <c r="C75" i="3"/>
  <c r="D75" i="3"/>
  <c r="E75" i="3"/>
  <c r="B76" i="3"/>
  <c r="C76" i="3"/>
  <c r="D76" i="3"/>
  <c r="E76" i="3"/>
  <c r="B77" i="3"/>
  <c r="C77" i="3"/>
  <c r="D77" i="3"/>
  <c r="E77" i="3"/>
  <c r="B78" i="3"/>
  <c r="C78" i="3"/>
  <c r="D78" i="3"/>
  <c r="E78" i="3"/>
  <c r="B79" i="3"/>
  <c r="C79" i="3"/>
  <c r="D79" i="3"/>
  <c r="E79" i="3"/>
  <c r="B80" i="3"/>
  <c r="C80" i="3"/>
  <c r="D80" i="3"/>
  <c r="E80" i="3"/>
  <c r="B81" i="3"/>
  <c r="C81" i="3"/>
  <c r="D81" i="3"/>
  <c r="E81" i="3"/>
  <c r="B82" i="3"/>
  <c r="C82" i="3"/>
  <c r="D82" i="3"/>
  <c r="E82" i="3"/>
  <c r="B83" i="3"/>
  <c r="C83" i="3"/>
  <c r="D83" i="3"/>
  <c r="E83" i="3"/>
  <c r="B84" i="3"/>
  <c r="C84" i="3"/>
  <c r="D84" i="3"/>
  <c r="E84" i="3"/>
  <c r="B85" i="3"/>
  <c r="C85" i="3"/>
  <c r="D85" i="3"/>
  <c r="E85" i="3"/>
  <c r="B86" i="3"/>
  <c r="C86" i="3"/>
  <c r="D86" i="3"/>
  <c r="E86" i="3"/>
  <c r="B87" i="3"/>
  <c r="C87" i="3"/>
  <c r="D87" i="3"/>
  <c r="E87" i="3"/>
  <c r="B88" i="3"/>
  <c r="C88" i="3"/>
  <c r="D88" i="3"/>
  <c r="E88" i="3"/>
  <c r="B89" i="3"/>
  <c r="C89" i="3"/>
  <c r="D89" i="3"/>
  <c r="E89" i="3"/>
  <c r="B90" i="3"/>
  <c r="C90" i="3"/>
  <c r="D90" i="3"/>
  <c r="E90" i="3"/>
  <c r="B91" i="3"/>
  <c r="C91" i="3"/>
  <c r="D91" i="3"/>
  <c r="E91" i="3"/>
  <c r="B92" i="3"/>
  <c r="C92" i="3"/>
  <c r="D92" i="3"/>
  <c r="E92" i="3"/>
  <c r="B93" i="3"/>
  <c r="C93" i="3"/>
  <c r="D93" i="3"/>
  <c r="E93" i="3"/>
  <c r="B94" i="3"/>
  <c r="C94" i="3"/>
  <c r="D94" i="3"/>
  <c r="E94" i="3"/>
  <c r="B95" i="3"/>
  <c r="C95" i="3"/>
  <c r="D95" i="3"/>
  <c r="E95" i="3"/>
  <c r="B96" i="3"/>
  <c r="C96" i="3"/>
  <c r="D96" i="3"/>
  <c r="E96" i="3"/>
  <c r="B97" i="3"/>
  <c r="C97" i="3"/>
  <c r="D97" i="3"/>
  <c r="E97" i="3"/>
  <c r="B98" i="3"/>
  <c r="C98" i="3"/>
  <c r="D98" i="3"/>
  <c r="E98" i="3"/>
  <c r="B99" i="3"/>
  <c r="C99" i="3"/>
  <c r="D99" i="3"/>
  <c r="E99" i="3"/>
  <c r="B100" i="3"/>
  <c r="C100" i="3"/>
  <c r="D100" i="3"/>
  <c r="E100" i="3"/>
  <c r="B101" i="3"/>
  <c r="C101" i="3"/>
  <c r="D101" i="3"/>
  <c r="E101" i="3"/>
  <c r="B102" i="3"/>
  <c r="C102" i="3"/>
  <c r="D102" i="3"/>
  <c r="E102" i="3"/>
  <c r="B103" i="3"/>
  <c r="C103" i="3"/>
  <c r="D103" i="3"/>
  <c r="E103" i="3"/>
  <c r="B104" i="3"/>
  <c r="C104" i="3"/>
  <c r="D104" i="3"/>
  <c r="E104" i="3"/>
  <c r="B105" i="3"/>
  <c r="C105" i="3"/>
  <c r="D105" i="3"/>
  <c r="E105" i="3"/>
  <c r="B106" i="3"/>
  <c r="C106" i="3"/>
  <c r="D106" i="3"/>
  <c r="E106" i="3"/>
  <c r="B107" i="3"/>
  <c r="C107" i="3"/>
  <c r="D107" i="3"/>
  <c r="E107" i="3"/>
  <c r="B108" i="3"/>
  <c r="C108" i="3"/>
  <c r="D108" i="3"/>
  <c r="E108" i="3"/>
  <c r="B109" i="3"/>
  <c r="C109" i="3"/>
  <c r="D109" i="3"/>
  <c r="E109" i="3"/>
  <c r="B110" i="3"/>
  <c r="C110" i="3"/>
  <c r="D110" i="3"/>
  <c r="E110" i="3"/>
  <c r="B111" i="3"/>
  <c r="C111" i="3"/>
  <c r="D111" i="3"/>
  <c r="E111" i="3"/>
  <c r="B112" i="3"/>
  <c r="C112" i="3"/>
  <c r="D112" i="3"/>
  <c r="E112" i="3"/>
  <c r="B113" i="3"/>
  <c r="C113" i="3"/>
  <c r="D113" i="3"/>
  <c r="E113" i="3"/>
  <c r="B114" i="3"/>
  <c r="C114" i="3"/>
  <c r="D114" i="3"/>
  <c r="E114" i="3"/>
  <c r="B115" i="3"/>
  <c r="C115" i="3"/>
  <c r="D115" i="3"/>
  <c r="E115" i="3"/>
  <c r="B116" i="3"/>
  <c r="C116" i="3"/>
  <c r="D116" i="3"/>
  <c r="E116" i="3"/>
  <c r="B117" i="3"/>
  <c r="C117" i="3"/>
  <c r="D117" i="3"/>
  <c r="E117" i="3"/>
  <c r="B118" i="3"/>
  <c r="C118" i="3"/>
  <c r="D118" i="3"/>
  <c r="E118" i="3"/>
  <c r="B119" i="3"/>
  <c r="C119" i="3"/>
  <c r="D119" i="3"/>
  <c r="E119" i="3"/>
  <c r="B120" i="3"/>
  <c r="C120" i="3"/>
  <c r="D120" i="3"/>
  <c r="E120" i="3"/>
  <c r="B121" i="3"/>
  <c r="C121" i="3"/>
  <c r="D121" i="3"/>
  <c r="E121" i="3"/>
  <c r="B122" i="3"/>
  <c r="C122" i="3"/>
  <c r="D122" i="3"/>
  <c r="E122" i="3"/>
  <c r="B123" i="3"/>
  <c r="C123" i="3"/>
  <c r="D123" i="3"/>
  <c r="E123" i="3"/>
  <c r="B124" i="3"/>
  <c r="C124" i="3"/>
  <c r="D124" i="3"/>
  <c r="E124" i="3"/>
  <c r="B125" i="3"/>
  <c r="C125" i="3"/>
  <c r="D125" i="3"/>
  <c r="E125" i="3"/>
  <c r="B126" i="3"/>
  <c r="C126" i="3"/>
  <c r="D126" i="3"/>
  <c r="E126" i="3"/>
  <c r="B127" i="3"/>
  <c r="C127" i="3"/>
  <c r="D127" i="3"/>
  <c r="E127" i="3"/>
  <c r="B128" i="3"/>
  <c r="C128" i="3"/>
  <c r="D128" i="3"/>
  <c r="E128" i="3"/>
  <c r="B129" i="3"/>
  <c r="C129" i="3"/>
  <c r="D129" i="3"/>
  <c r="E129" i="3"/>
  <c r="B130" i="3"/>
  <c r="C130" i="3"/>
  <c r="D130" i="3"/>
  <c r="E130" i="3"/>
  <c r="B131" i="3"/>
  <c r="C131" i="3"/>
  <c r="D131" i="3"/>
  <c r="E131" i="3"/>
  <c r="B132" i="3"/>
  <c r="C132" i="3"/>
  <c r="D132" i="3"/>
  <c r="E132" i="3"/>
  <c r="B133" i="3"/>
  <c r="C133" i="3"/>
  <c r="D133" i="3"/>
  <c r="E133" i="3"/>
  <c r="B134" i="3"/>
  <c r="C134" i="3"/>
  <c r="D134" i="3"/>
  <c r="E134" i="3"/>
  <c r="B135" i="3"/>
  <c r="C135" i="3"/>
  <c r="D135" i="3"/>
  <c r="E135" i="3"/>
  <c r="B136" i="3"/>
  <c r="C136" i="3"/>
  <c r="D136" i="3"/>
  <c r="E136" i="3"/>
  <c r="B137" i="3"/>
  <c r="C137" i="3"/>
  <c r="D137" i="3"/>
  <c r="E137" i="3"/>
  <c r="B138" i="3"/>
  <c r="C138" i="3"/>
  <c r="D138" i="3"/>
  <c r="E138" i="3"/>
  <c r="B139" i="3"/>
  <c r="C139" i="3"/>
  <c r="D139" i="3"/>
  <c r="E139" i="3"/>
  <c r="B140" i="3"/>
  <c r="C140" i="3"/>
  <c r="D140" i="3"/>
  <c r="E140" i="3"/>
  <c r="B141" i="3"/>
  <c r="C141" i="3"/>
  <c r="D141" i="3"/>
  <c r="E141" i="3"/>
  <c r="B142" i="3"/>
  <c r="C142" i="3"/>
  <c r="D142" i="3"/>
  <c r="E142" i="3"/>
  <c r="B143" i="3"/>
  <c r="C143" i="3"/>
  <c r="D143" i="3"/>
  <c r="E143" i="3"/>
  <c r="B144" i="3"/>
  <c r="C144" i="3"/>
  <c r="D144" i="3"/>
  <c r="E144" i="3"/>
  <c r="B145" i="3"/>
  <c r="C145" i="3"/>
  <c r="D145" i="3"/>
  <c r="E145" i="3"/>
  <c r="B146" i="3"/>
  <c r="C146" i="3"/>
  <c r="D146" i="3"/>
  <c r="E146" i="3"/>
  <c r="B147" i="3"/>
  <c r="C147" i="3"/>
  <c r="D147" i="3"/>
  <c r="E147" i="3"/>
  <c r="B148" i="3"/>
  <c r="C148" i="3"/>
  <c r="D148" i="3"/>
  <c r="E148" i="3"/>
  <c r="B149" i="3"/>
  <c r="C149" i="3"/>
  <c r="D149" i="3"/>
  <c r="E149" i="3"/>
  <c r="B150" i="3"/>
  <c r="C150" i="3"/>
  <c r="D150" i="3"/>
  <c r="E150" i="3"/>
  <c r="B151" i="3"/>
  <c r="C151" i="3"/>
  <c r="D151" i="3"/>
  <c r="E151" i="3"/>
  <c r="B152" i="3"/>
  <c r="C152" i="3"/>
  <c r="D152" i="3"/>
  <c r="E152" i="3"/>
  <c r="B153" i="3"/>
  <c r="C153" i="3"/>
  <c r="D153" i="3"/>
  <c r="E153" i="3"/>
  <c r="B154" i="3"/>
  <c r="C154" i="3"/>
  <c r="D154" i="3"/>
  <c r="E154" i="3"/>
  <c r="B155" i="3"/>
  <c r="C155" i="3"/>
  <c r="D155" i="3"/>
  <c r="E155" i="3"/>
  <c r="B156" i="3"/>
  <c r="C156" i="3"/>
  <c r="D156" i="3"/>
  <c r="E156" i="3"/>
  <c r="B157" i="3"/>
  <c r="C157" i="3"/>
  <c r="D157" i="3"/>
  <c r="E157" i="3"/>
  <c r="B158" i="3"/>
  <c r="C158" i="3"/>
  <c r="D158" i="3"/>
  <c r="E158" i="3"/>
  <c r="B159" i="3"/>
  <c r="C159" i="3"/>
  <c r="D159" i="3"/>
  <c r="E159" i="3"/>
  <c r="B160" i="3"/>
  <c r="C160" i="3"/>
  <c r="D160" i="3"/>
  <c r="E160" i="3"/>
  <c r="B161" i="3"/>
  <c r="C161" i="3"/>
  <c r="D161" i="3"/>
  <c r="E161" i="3"/>
  <c r="B162" i="3"/>
  <c r="C162" i="3"/>
  <c r="D162" i="3"/>
  <c r="E162" i="3"/>
  <c r="B163" i="3"/>
  <c r="C163" i="3"/>
  <c r="D163" i="3"/>
  <c r="E163" i="3"/>
  <c r="B164" i="3"/>
  <c r="C164" i="3"/>
  <c r="D164" i="3"/>
  <c r="E164" i="3"/>
  <c r="B165" i="3"/>
  <c r="C165" i="3"/>
  <c r="D165" i="3"/>
  <c r="E165" i="3"/>
  <c r="B166" i="3"/>
  <c r="C166" i="3"/>
  <c r="D166" i="3"/>
  <c r="E166" i="3"/>
  <c r="B167" i="3"/>
  <c r="C167" i="3"/>
  <c r="D167" i="3"/>
  <c r="E167" i="3"/>
  <c r="B168" i="3"/>
  <c r="C168" i="3"/>
  <c r="D168" i="3"/>
  <c r="E168" i="3"/>
  <c r="B169" i="3"/>
  <c r="C169" i="3"/>
  <c r="D169" i="3"/>
  <c r="E169" i="3"/>
  <c r="B170" i="3"/>
  <c r="C170" i="3"/>
  <c r="D170" i="3"/>
  <c r="E170" i="3"/>
  <c r="B171" i="3"/>
  <c r="C171" i="3"/>
  <c r="D171" i="3"/>
  <c r="E171" i="3"/>
  <c r="B172" i="3"/>
  <c r="C172" i="3"/>
  <c r="D172" i="3"/>
  <c r="E172" i="3"/>
  <c r="B173" i="3"/>
  <c r="C173" i="3"/>
  <c r="D173" i="3"/>
  <c r="E173" i="3"/>
  <c r="B174" i="3"/>
  <c r="C174" i="3"/>
  <c r="D174" i="3"/>
  <c r="E174" i="3"/>
  <c r="B175" i="3"/>
  <c r="C175" i="3"/>
  <c r="D175" i="3"/>
  <c r="E175" i="3"/>
  <c r="B176" i="3"/>
  <c r="C176" i="3"/>
  <c r="D176" i="3"/>
  <c r="E176" i="3"/>
  <c r="B177" i="3"/>
  <c r="C177" i="3"/>
  <c r="D177" i="3"/>
  <c r="E177" i="3"/>
  <c r="B178" i="3"/>
  <c r="C178" i="3"/>
  <c r="D178" i="3"/>
  <c r="E178" i="3"/>
  <c r="B179" i="3"/>
  <c r="C179" i="3"/>
  <c r="D179" i="3"/>
  <c r="E179" i="3"/>
  <c r="B180" i="3"/>
  <c r="C180" i="3"/>
  <c r="D180" i="3"/>
  <c r="E180" i="3"/>
  <c r="B181" i="3"/>
  <c r="C181" i="3"/>
  <c r="D181" i="3"/>
  <c r="E181" i="3"/>
  <c r="B182" i="3"/>
  <c r="C182" i="3"/>
  <c r="D182" i="3"/>
  <c r="E182" i="3"/>
  <c r="B183" i="3"/>
  <c r="C183" i="3"/>
  <c r="D183" i="3"/>
  <c r="E183" i="3"/>
  <c r="B184" i="3"/>
  <c r="C184" i="3"/>
  <c r="D184" i="3"/>
  <c r="E184" i="3"/>
  <c r="B185" i="3"/>
  <c r="C185" i="3"/>
  <c r="D185" i="3"/>
  <c r="E185" i="3"/>
  <c r="B186" i="3"/>
  <c r="C186" i="3"/>
  <c r="D186" i="3"/>
  <c r="E186" i="3"/>
  <c r="B187" i="3"/>
  <c r="C187" i="3"/>
  <c r="D187" i="3"/>
  <c r="E187" i="3"/>
  <c r="B188" i="3"/>
  <c r="C188" i="3"/>
  <c r="D188" i="3"/>
  <c r="E188" i="3"/>
  <c r="B189" i="3"/>
  <c r="C189" i="3"/>
  <c r="D189" i="3"/>
  <c r="E189" i="3"/>
  <c r="B190" i="3"/>
  <c r="C190" i="3"/>
  <c r="D190" i="3"/>
  <c r="E190" i="3"/>
  <c r="B191" i="3"/>
  <c r="C191" i="3"/>
  <c r="D191" i="3"/>
  <c r="E191" i="3"/>
  <c r="B192" i="3"/>
  <c r="C192" i="3"/>
  <c r="D192" i="3"/>
  <c r="E192" i="3"/>
  <c r="B193" i="3"/>
  <c r="C193" i="3"/>
  <c r="D193" i="3"/>
  <c r="E193" i="3"/>
  <c r="B194" i="3"/>
  <c r="C194" i="3"/>
  <c r="D194" i="3"/>
  <c r="E194" i="3"/>
  <c r="B195" i="3"/>
  <c r="C195" i="3"/>
  <c r="D195" i="3"/>
  <c r="E195" i="3"/>
  <c r="B196" i="3"/>
  <c r="C196" i="3"/>
  <c r="D196" i="3"/>
  <c r="E196" i="3"/>
  <c r="B197" i="3"/>
  <c r="C197" i="3"/>
  <c r="D197" i="3"/>
  <c r="E197" i="3"/>
  <c r="B198" i="3"/>
  <c r="C198" i="3"/>
  <c r="D198" i="3"/>
  <c r="E198" i="3"/>
  <c r="B199" i="3"/>
  <c r="C199" i="3"/>
  <c r="D199" i="3"/>
  <c r="E199" i="3"/>
  <c r="B200" i="3"/>
  <c r="C200" i="3"/>
  <c r="D200" i="3"/>
  <c r="E200" i="3"/>
  <c r="B201" i="3"/>
  <c r="C201" i="3"/>
  <c r="D201" i="3"/>
  <c r="E201" i="3"/>
  <c r="B202" i="3"/>
  <c r="C202" i="3"/>
  <c r="D202" i="3"/>
  <c r="E202" i="3"/>
  <c r="B203" i="3"/>
  <c r="C203" i="3"/>
  <c r="D203" i="3"/>
  <c r="E203" i="3"/>
  <c r="B204" i="3"/>
  <c r="C204" i="3"/>
  <c r="D204" i="3"/>
  <c r="E204" i="3"/>
  <c r="B205" i="3"/>
  <c r="C205" i="3"/>
  <c r="D205" i="3"/>
  <c r="E205" i="3"/>
  <c r="B206" i="3"/>
  <c r="C206" i="3"/>
  <c r="D206" i="3"/>
  <c r="E206" i="3"/>
  <c r="B207" i="3"/>
  <c r="C207" i="3"/>
  <c r="D207" i="3"/>
  <c r="E207" i="3"/>
  <c r="B208" i="3"/>
  <c r="C208" i="3"/>
  <c r="D208" i="3"/>
  <c r="E208" i="3"/>
  <c r="B209" i="3"/>
  <c r="C209" i="3"/>
  <c r="D209" i="3"/>
  <c r="E209" i="3"/>
  <c r="B210" i="3"/>
  <c r="C210" i="3"/>
  <c r="D210" i="3"/>
  <c r="E210" i="3"/>
  <c r="B211" i="3"/>
  <c r="C211" i="3"/>
  <c r="D211" i="3"/>
  <c r="E211" i="3"/>
  <c r="B212" i="3"/>
  <c r="C212" i="3"/>
  <c r="D212" i="3"/>
  <c r="E212" i="3"/>
  <c r="B213" i="3"/>
  <c r="C213" i="3"/>
  <c r="D213" i="3"/>
  <c r="E213" i="3"/>
  <c r="B214" i="3"/>
  <c r="C214" i="3"/>
  <c r="D214" i="3"/>
  <c r="E214" i="3"/>
  <c r="B215" i="3"/>
  <c r="C215" i="3"/>
  <c r="D215" i="3"/>
  <c r="E215" i="3"/>
  <c r="B216" i="3"/>
  <c r="C216" i="3"/>
  <c r="D216" i="3"/>
  <c r="E216" i="3"/>
  <c r="B217" i="3"/>
  <c r="C217" i="3"/>
  <c r="D217" i="3"/>
  <c r="E217" i="3"/>
  <c r="B218" i="3"/>
  <c r="C218" i="3"/>
  <c r="D218" i="3"/>
  <c r="E218" i="3"/>
  <c r="B219" i="3"/>
  <c r="C219" i="3"/>
  <c r="D219" i="3"/>
  <c r="E219" i="3"/>
  <c r="B220" i="3"/>
  <c r="C220" i="3"/>
  <c r="D220" i="3"/>
  <c r="E220" i="3"/>
  <c r="B221" i="3"/>
  <c r="C221" i="3"/>
  <c r="D221" i="3"/>
  <c r="E221" i="3"/>
  <c r="B222" i="3"/>
  <c r="C222" i="3"/>
  <c r="D222" i="3"/>
  <c r="E222" i="3"/>
  <c r="B223" i="3"/>
  <c r="C223" i="3"/>
  <c r="D223" i="3"/>
  <c r="E223" i="3"/>
  <c r="B224" i="3"/>
  <c r="C224" i="3"/>
  <c r="D224" i="3"/>
  <c r="E224" i="3"/>
  <c r="B225" i="3"/>
  <c r="C225" i="3"/>
  <c r="D225" i="3"/>
  <c r="E225" i="3"/>
  <c r="B226" i="3"/>
  <c r="C226" i="3"/>
  <c r="D226" i="3"/>
  <c r="E226" i="3"/>
  <c r="B227" i="3"/>
  <c r="C227" i="3"/>
  <c r="D227" i="3"/>
  <c r="E227" i="3"/>
  <c r="B228" i="3"/>
  <c r="C228" i="3"/>
  <c r="D228" i="3"/>
  <c r="E228" i="3"/>
  <c r="B229" i="3"/>
  <c r="C229" i="3"/>
  <c r="D229" i="3"/>
  <c r="E229" i="3"/>
  <c r="B230" i="3"/>
  <c r="C230" i="3"/>
  <c r="D230" i="3"/>
  <c r="E230" i="3"/>
  <c r="B231" i="3"/>
  <c r="C231" i="3"/>
  <c r="D231" i="3"/>
  <c r="E231" i="3"/>
  <c r="B232" i="3"/>
  <c r="C232" i="3"/>
  <c r="D232" i="3"/>
  <c r="E232" i="3"/>
  <c r="B233" i="3"/>
  <c r="C233" i="3"/>
  <c r="D233" i="3"/>
  <c r="E233" i="3"/>
  <c r="B234" i="3"/>
  <c r="C234" i="3"/>
  <c r="D234" i="3"/>
  <c r="E234" i="3"/>
  <c r="B235" i="3"/>
  <c r="C235" i="3"/>
  <c r="D235" i="3"/>
  <c r="E235" i="3"/>
  <c r="B236" i="3"/>
  <c r="C236" i="3"/>
  <c r="D236" i="3"/>
  <c r="E236" i="3"/>
  <c r="B237" i="3"/>
  <c r="C237" i="3"/>
  <c r="D237" i="3"/>
  <c r="E237" i="3"/>
  <c r="B238" i="3"/>
  <c r="C238" i="3"/>
  <c r="D238" i="3"/>
  <c r="E238" i="3"/>
  <c r="B239" i="3"/>
  <c r="C239" i="3"/>
  <c r="D239" i="3"/>
  <c r="E239" i="3"/>
  <c r="B240" i="3"/>
  <c r="C240" i="3"/>
  <c r="D240" i="3"/>
  <c r="E240" i="3"/>
  <c r="B241" i="3"/>
  <c r="C241" i="3"/>
  <c r="D241" i="3"/>
  <c r="E241" i="3"/>
  <c r="B242" i="3"/>
  <c r="C242" i="3"/>
  <c r="D242" i="3"/>
  <c r="E242" i="3"/>
  <c r="B243" i="3"/>
  <c r="C243" i="3"/>
  <c r="D243" i="3"/>
  <c r="E243" i="3"/>
  <c r="B244" i="3"/>
  <c r="C244" i="3"/>
  <c r="D244" i="3"/>
  <c r="E244" i="3"/>
  <c r="B245" i="3"/>
  <c r="C245" i="3"/>
  <c r="D245" i="3"/>
  <c r="E245" i="3"/>
  <c r="B246" i="3"/>
  <c r="C246" i="3"/>
  <c r="D246" i="3"/>
  <c r="E246" i="3"/>
  <c r="B247" i="3"/>
  <c r="C247" i="3"/>
  <c r="D247" i="3"/>
  <c r="E247" i="3"/>
  <c r="B248" i="3"/>
  <c r="C248" i="3"/>
  <c r="D248" i="3"/>
  <c r="E248" i="3"/>
  <c r="B249" i="3"/>
  <c r="C249" i="3"/>
  <c r="D249" i="3"/>
  <c r="E249" i="3"/>
  <c r="B250" i="3"/>
  <c r="C250" i="3"/>
  <c r="D250" i="3"/>
  <c r="E250" i="3"/>
  <c r="B251" i="3"/>
  <c r="C251" i="3"/>
  <c r="D251" i="3"/>
  <c r="E251" i="3"/>
  <c r="B252" i="3"/>
  <c r="C252" i="3"/>
  <c r="D252" i="3"/>
  <c r="E252" i="3"/>
  <c r="B253" i="3"/>
  <c r="C253" i="3"/>
  <c r="D253" i="3"/>
  <c r="E253" i="3"/>
  <c r="B254" i="3"/>
  <c r="C254" i="3"/>
  <c r="D254" i="3"/>
  <c r="E254" i="3"/>
  <c r="B255" i="3"/>
  <c r="C255" i="3"/>
  <c r="D255" i="3"/>
  <c r="E255" i="3"/>
  <c r="B256" i="3"/>
  <c r="C256" i="3"/>
  <c r="D256" i="3"/>
  <c r="E256" i="3"/>
  <c r="B257" i="3"/>
  <c r="C257" i="3"/>
  <c r="D257" i="3"/>
  <c r="E257" i="3"/>
  <c r="B258" i="3"/>
  <c r="C258" i="3"/>
  <c r="D258" i="3"/>
  <c r="E258" i="3"/>
  <c r="B259" i="3"/>
  <c r="C259" i="3"/>
  <c r="D259" i="3"/>
  <c r="E259" i="3"/>
  <c r="B260" i="3"/>
  <c r="C260" i="3"/>
  <c r="D260" i="3"/>
  <c r="E260" i="3"/>
  <c r="B261" i="3"/>
  <c r="C261" i="3"/>
  <c r="D261" i="3"/>
  <c r="E261" i="3"/>
  <c r="B262" i="3"/>
  <c r="C262" i="3"/>
  <c r="D262" i="3"/>
  <c r="E262" i="3"/>
  <c r="B263" i="3"/>
  <c r="C263" i="3"/>
  <c r="D263" i="3"/>
  <c r="E263" i="3"/>
  <c r="B264" i="3"/>
  <c r="C264" i="3"/>
  <c r="D264" i="3"/>
  <c r="E264" i="3"/>
  <c r="B265" i="3"/>
  <c r="C265" i="3"/>
  <c r="D265" i="3"/>
  <c r="E265" i="3"/>
  <c r="B266" i="3"/>
  <c r="C266" i="3"/>
  <c r="D266" i="3"/>
  <c r="E266" i="3"/>
  <c r="B267" i="3"/>
  <c r="C267" i="3"/>
  <c r="D267" i="3"/>
  <c r="E267" i="3"/>
  <c r="B268" i="3"/>
  <c r="C268" i="3"/>
  <c r="D268" i="3"/>
  <c r="E268" i="3"/>
  <c r="B269" i="3"/>
  <c r="C269" i="3"/>
  <c r="D269" i="3"/>
  <c r="E269" i="3"/>
  <c r="B270" i="3"/>
  <c r="C270" i="3"/>
  <c r="D270" i="3"/>
  <c r="E270" i="3"/>
  <c r="B271" i="3"/>
  <c r="C271" i="3"/>
  <c r="D271" i="3"/>
  <c r="E271" i="3"/>
  <c r="B272" i="3"/>
  <c r="C272" i="3"/>
  <c r="D272" i="3"/>
  <c r="E272" i="3"/>
  <c r="B273" i="3"/>
  <c r="C273" i="3"/>
  <c r="D273" i="3"/>
  <c r="E273" i="3"/>
  <c r="B274" i="3"/>
  <c r="C274" i="3"/>
  <c r="D274" i="3"/>
  <c r="E274" i="3"/>
  <c r="B275" i="3"/>
  <c r="C275" i="3"/>
  <c r="D275" i="3"/>
  <c r="E275" i="3"/>
  <c r="B276" i="3"/>
  <c r="C276" i="3"/>
  <c r="D276" i="3"/>
  <c r="E276" i="3"/>
  <c r="B277" i="3"/>
  <c r="C277" i="3"/>
  <c r="D277" i="3"/>
  <c r="E277" i="3"/>
  <c r="B278" i="3"/>
  <c r="C278" i="3"/>
  <c r="D278" i="3"/>
  <c r="E278" i="3"/>
  <c r="B279" i="3"/>
  <c r="C279" i="3"/>
  <c r="D279" i="3"/>
  <c r="E279" i="3"/>
  <c r="B280" i="3"/>
  <c r="C280" i="3"/>
  <c r="D280" i="3"/>
  <c r="E280" i="3"/>
  <c r="B281" i="3"/>
  <c r="C281" i="3"/>
  <c r="D281" i="3"/>
  <c r="E281" i="3"/>
  <c r="B282" i="3"/>
  <c r="C282" i="3"/>
  <c r="D282" i="3"/>
  <c r="E282" i="3"/>
  <c r="B283" i="3"/>
  <c r="C283" i="3"/>
  <c r="D283" i="3"/>
  <c r="E283" i="3"/>
  <c r="B284" i="3"/>
  <c r="C284" i="3"/>
  <c r="D284" i="3"/>
  <c r="E284" i="3"/>
  <c r="B285" i="3"/>
  <c r="C285" i="3"/>
  <c r="D285" i="3"/>
  <c r="E285" i="3"/>
  <c r="B286" i="3"/>
  <c r="C286" i="3"/>
  <c r="D286" i="3"/>
  <c r="E286" i="3"/>
  <c r="B287" i="3"/>
  <c r="C287" i="3"/>
  <c r="D287" i="3"/>
  <c r="E287" i="3"/>
  <c r="B288" i="3"/>
  <c r="C288" i="3"/>
  <c r="D288" i="3"/>
  <c r="E288" i="3"/>
  <c r="B289" i="3"/>
  <c r="C289" i="3"/>
  <c r="D289" i="3"/>
  <c r="E289" i="3"/>
  <c r="B290" i="3"/>
  <c r="C290" i="3"/>
  <c r="D290" i="3"/>
  <c r="E290" i="3"/>
  <c r="B291" i="3"/>
  <c r="C291" i="3"/>
  <c r="D291" i="3"/>
  <c r="E291" i="3"/>
  <c r="B292" i="3"/>
  <c r="C292" i="3"/>
  <c r="D292" i="3"/>
  <c r="E292" i="3"/>
  <c r="B293" i="3"/>
  <c r="C293" i="3"/>
  <c r="D293" i="3"/>
  <c r="E293" i="3"/>
  <c r="B294" i="3"/>
  <c r="C294" i="3"/>
  <c r="D294" i="3"/>
  <c r="E294" i="3"/>
  <c r="B295" i="3"/>
  <c r="C295" i="3"/>
  <c r="D295" i="3"/>
  <c r="E295" i="3"/>
  <c r="B296" i="3"/>
  <c r="C296" i="3"/>
  <c r="D296" i="3"/>
  <c r="E296" i="3"/>
  <c r="B297" i="3"/>
  <c r="C297" i="3"/>
  <c r="D297" i="3"/>
  <c r="E297" i="3"/>
  <c r="B298" i="3"/>
  <c r="C298" i="3"/>
  <c r="D298" i="3"/>
  <c r="E298" i="3"/>
  <c r="B299" i="3"/>
  <c r="C299" i="3"/>
  <c r="D299" i="3"/>
  <c r="E299" i="3"/>
  <c r="B300" i="3"/>
  <c r="C300" i="3"/>
  <c r="D300" i="3"/>
  <c r="E300" i="3"/>
  <c r="B301" i="3"/>
  <c r="C301" i="3"/>
  <c r="D301" i="3"/>
  <c r="E301" i="3"/>
  <c r="B302" i="3"/>
  <c r="C302" i="3"/>
  <c r="D302" i="3"/>
  <c r="E302" i="3"/>
  <c r="B303" i="3"/>
  <c r="C303" i="3"/>
  <c r="D303" i="3"/>
  <c r="E303" i="3"/>
  <c r="B304" i="3"/>
  <c r="C304" i="3"/>
  <c r="D304" i="3"/>
  <c r="E304" i="3"/>
  <c r="B305" i="3"/>
  <c r="C305" i="3"/>
  <c r="D305" i="3"/>
  <c r="E305" i="3"/>
  <c r="B306" i="3"/>
  <c r="C306" i="3"/>
  <c r="D306" i="3"/>
  <c r="E306" i="3"/>
  <c r="B307" i="3"/>
  <c r="C307" i="3"/>
  <c r="D307" i="3"/>
  <c r="E307" i="3"/>
  <c r="B308" i="3"/>
  <c r="C308" i="3"/>
  <c r="D308" i="3"/>
  <c r="E308" i="3"/>
  <c r="B309" i="3"/>
  <c r="C309" i="3"/>
  <c r="D309" i="3"/>
  <c r="E309" i="3"/>
  <c r="B310" i="3"/>
  <c r="C310" i="3"/>
  <c r="D310" i="3"/>
  <c r="E310" i="3"/>
  <c r="B311" i="3"/>
  <c r="C311" i="3"/>
  <c r="D311" i="3"/>
  <c r="E311" i="3"/>
  <c r="B312" i="3"/>
  <c r="C312" i="3"/>
  <c r="D312" i="3"/>
  <c r="E312" i="3"/>
  <c r="B313" i="3"/>
  <c r="C313" i="3"/>
  <c r="D313" i="3"/>
  <c r="E313" i="3"/>
  <c r="B314" i="3"/>
  <c r="C314" i="3"/>
  <c r="D314" i="3"/>
  <c r="E314" i="3"/>
  <c r="B315" i="3"/>
  <c r="C315" i="3"/>
  <c r="D315" i="3"/>
  <c r="E315" i="3"/>
  <c r="B316" i="3"/>
  <c r="C316" i="3"/>
  <c r="D316" i="3"/>
  <c r="E316" i="3"/>
  <c r="B317" i="3"/>
  <c r="C317" i="3"/>
  <c r="D317" i="3"/>
  <c r="E317" i="3"/>
  <c r="B318" i="3"/>
  <c r="C318" i="3"/>
  <c r="D318" i="3"/>
  <c r="E318" i="3"/>
  <c r="B319" i="3"/>
  <c r="C319" i="3"/>
  <c r="D319" i="3"/>
  <c r="E319" i="3"/>
  <c r="B320" i="3"/>
  <c r="C320" i="3"/>
  <c r="D320" i="3"/>
  <c r="E320" i="3"/>
  <c r="B321" i="3"/>
  <c r="C321" i="3"/>
  <c r="D321" i="3"/>
  <c r="E321" i="3"/>
  <c r="B322" i="3"/>
  <c r="C322" i="3"/>
  <c r="D322" i="3"/>
  <c r="E322" i="3"/>
  <c r="B323" i="3"/>
  <c r="C323" i="3"/>
  <c r="D323" i="3"/>
  <c r="E323" i="3"/>
  <c r="B324" i="3"/>
  <c r="C324" i="3"/>
  <c r="D324" i="3"/>
  <c r="E324" i="3"/>
  <c r="B325" i="3"/>
  <c r="C325" i="3"/>
  <c r="D325" i="3"/>
  <c r="E325" i="3"/>
  <c r="B326" i="3"/>
  <c r="C326" i="3"/>
  <c r="D326" i="3"/>
  <c r="E326" i="3"/>
  <c r="B327" i="3"/>
  <c r="C327" i="3"/>
  <c r="D327" i="3"/>
  <c r="E327" i="3"/>
  <c r="B328" i="3"/>
  <c r="C328" i="3"/>
  <c r="D328" i="3"/>
  <c r="E328" i="3"/>
  <c r="B329" i="3"/>
  <c r="C329" i="3"/>
  <c r="D329" i="3"/>
  <c r="E329" i="3"/>
  <c r="B330" i="3"/>
  <c r="C330" i="3"/>
  <c r="D330" i="3"/>
  <c r="E330" i="3"/>
  <c r="B331" i="3"/>
  <c r="C331" i="3"/>
  <c r="D331" i="3"/>
  <c r="E331" i="3"/>
  <c r="B332" i="3"/>
  <c r="C332" i="3"/>
  <c r="D332" i="3"/>
  <c r="E332" i="3"/>
  <c r="B333" i="3"/>
  <c r="C333" i="3"/>
  <c r="D333" i="3"/>
  <c r="E333" i="3"/>
  <c r="B334" i="3"/>
  <c r="C334" i="3"/>
  <c r="D334" i="3"/>
  <c r="E334" i="3"/>
  <c r="B335" i="3"/>
  <c r="C335" i="3"/>
  <c r="D335" i="3"/>
  <c r="E335" i="3"/>
  <c r="B336" i="3"/>
  <c r="C336" i="3"/>
  <c r="D336" i="3"/>
  <c r="E336" i="3"/>
  <c r="B337" i="3"/>
  <c r="C337" i="3"/>
  <c r="D337" i="3"/>
  <c r="E337" i="3"/>
  <c r="B338" i="3"/>
  <c r="C338" i="3"/>
  <c r="D338" i="3"/>
  <c r="E338" i="3"/>
  <c r="B339" i="3"/>
  <c r="C339" i="3"/>
  <c r="D339" i="3"/>
  <c r="E339" i="3"/>
  <c r="B340" i="3"/>
  <c r="C340" i="3"/>
  <c r="D340" i="3"/>
  <c r="E340" i="3"/>
  <c r="B341" i="3"/>
  <c r="C341" i="3"/>
  <c r="D341" i="3"/>
  <c r="E341" i="3"/>
  <c r="B342" i="3"/>
  <c r="C342" i="3"/>
  <c r="D342" i="3"/>
  <c r="E342" i="3"/>
  <c r="B343" i="3"/>
  <c r="C343" i="3"/>
  <c r="D343" i="3"/>
  <c r="E343" i="3"/>
  <c r="B344" i="3"/>
  <c r="C344" i="3"/>
  <c r="D344" i="3"/>
  <c r="E344" i="3"/>
  <c r="B345" i="3"/>
  <c r="C345" i="3"/>
  <c r="D345" i="3"/>
  <c r="E345" i="3"/>
  <c r="B346" i="3"/>
  <c r="C346" i="3"/>
  <c r="D346" i="3"/>
  <c r="E346" i="3"/>
  <c r="B347" i="3"/>
  <c r="C347" i="3"/>
  <c r="D347" i="3"/>
  <c r="E347" i="3"/>
  <c r="B348" i="3"/>
  <c r="C348" i="3"/>
  <c r="D348" i="3"/>
  <c r="E348" i="3"/>
  <c r="B349" i="3"/>
  <c r="C349" i="3"/>
  <c r="D349" i="3"/>
  <c r="E349" i="3"/>
  <c r="B350" i="3"/>
  <c r="C350" i="3"/>
  <c r="D350" i="3"/>
  <c r="E350" i="3"/>
  <c r="B351" i="3"/>
  <c r="C351" i="3"/>
  <c r="D351" i="3"/>
  <c r="E351" i="3"/>
  <c r="B352" i="3"/>
  <c r="C352" i="3"/>
  <c r="D352" i="3"/>
  <c r="E352" i="3"/>
  <c r="B353" i="3"/>
  <c r="C353" i="3"/>
  <c r="D353" i="3"/>
  <c r="E353" i="3"/>
  <c r="B354" i="3"/>
  <c r="C354" i="3"/>
  <c r="D354" i="3"/>
  <c r="E354" i="3"/>
  <c r="B355" i="3"/>
  <c r="C355" i="3"/>
  <c r="D355" i="3"/>
  <c r="E355" i="3"/>
  <c r="B356" i="3"/>
  <c r="C356" i="3"/>
  <c r="D356" i="3"/>
  <c r="E356" i="3"/>
  <c r="B357" i="3"/>
  <c r="C357" i="3"/>
  <c r="D357" i="3"/>
  <c r="E357" i="3"/>
  <c r="B358" i="3"/>
  <c r="C358" i="3"/>
  <c r="D358" i="3"/>
  <c r="E358" i="3"/>
  <c r="B359" i="3"/>
  <c r="C359" i="3"/>
  <c r="D359" i="3"/>
  <c r="E359" i="3"/>
  <c r="B360" i="3"/>
  <c r="C360" i="3"/>
  <c r="D360" i="3"/>
  <c r="E360" i="3"/>
  <c r="B361" i="3"/>
  <c r="C361" i="3"/>
  <c r="D361" i="3"/>
  <c r="E361" i="3"/>
  <c r="B362" i="3"/>
  <c r="C362" i="3"/>
  <c r="D362" i="3"/>
  <c r="E362" i="3"/>
  <c r="B363" i="3"/>
  <c r="C363" i="3"/>
  <c r="D363" i="3"/>
  <c r="E363" i="3"/>
  <c r="B364" i="3"/>
  <c r="C364" i="3"/>
  <c r="D364" i="3"/>
  <c r="E364" i="3"/>
  <c r="B365" i="3"/>
  <c r="C365" i="3"/>
  <c r="D365" i="3"/>
  <c r="E365" i="3"/>
  <c r="B366" i="3"/>
  <c r="C366" i="3"/>
  <c r="D366" i="3"/>
  <c r="E366" i="3"/>
  <c r="B367" i="3"/>
  <c r="C367" i="3"/>
  <c r="D367" i="3"/>
  <c r="E367" i="3"/>
  <c r="B368" i="3"/>
  <c r="C368" i="3"/>
  <c r="D368" i="3"/>
  <c r="E368" i="3"/>
  <c r="B369" i="3"/>
  <c r="C369" i="3"/>
  <c r="D369" i="3"/>
  <c r="E369" i="3"/>
  <c r="B370" i="3"/>
  <c r="C370" i="3"/>
  <c r="D370" i="3"/>
  <c r="E370" i="3"/>
  <c r="B371" i="3"/>
  <c r="C371" i="3"/>
  <c r="D371" i="3"/>
  <c r="E371" i="3"/>
  <c r="B372" i="3"/>
  <c r="C372" i="3"/>
  <c r="D372" i="3"/>
  <c r="E372" i="3"/>
  <c r="B373" i="3"/>
  <c r="C373" i="3"/>
  <c r="D373" i="3"/>
  <c r="E373" i="3"/>
  <c r="B374" i="3"/>
  <c r="C374" i="3"/>
  <c r="D374" i="3"/>
  <c r="E374" i="3"/>
  <c r="B375" i="3"/>
  <c r="C375" i="3"/>
  <c r="D375" i="3"/>
  <c r="E375" i="3"/>
  <c r="B376" i="3"/>
  <c r="C376" i="3"/>
  <c r="D376" i="3"/>
  <c r="E376" i="3"/>
  <c r="B377" i="3"/>
  <c r="C377" i="3"/>
  <c r="D377" i="3"/>
  <c r="E377" i="3"/>
  <c r="B378" i="3"/>
  <c r="C378" i="3"/>
  <c r="D378" i="3"/>
  <c r="E378" i="3"/>
  <c r="B379" i="3"/>
  <c r="C379" i="3"/>
  <c r="D379" i="3"/>
  <c r="E379" i="3"/>
  <c r="B380" i="3"/>
  <c r="C380" i="3"/>
  <c r="D380" i="3"/>
  <c r="E380" i="3"/>
  <c r="B381" i="3"/>
  <c r="C381" i="3"/>
  <c r="D381" i="3"/>
  <c r="E381" i="3"/>
  <c r="B382" i="3"/>
  <c r="C382" i="3"/>
  <c r="D382" i="3"/>
  <c r="E382" i="3"/>
  <c r="B383" i="3"/>
  <c r="C383" i="3"/>
  <c r="D383" i="3"/>
  <c r="E383" i="3"/>
  <c r="B384" i="3"/>
  <c r="C384" i="3"/>
  <c r="D384" i="3"/>
  <c r="E384" i="3"/>
  <c r="B385" i="3"/>
  <c r="C385" i="3"/>
  <c r="D385" i="3"/>
  <c r="E385" i="3"/>
  <c r="B386" i="3"/>
  <c r="C386" i="3"/>
  <c r="D386" i="3"/>
  <c r="E386" i="3"/>
  <c r="B387" i="3"/>
  <c r="C387" i="3"/>
  <c r="D387" i="3"/>
  <c r="E387" i="3"/>
  <c r="B388" i="3"/>
  <c r="C388" i="3"/>
  <c r="D388" i="3"/>
  <c r="E388" i="3"/>
  <c r="B389" i="3"/>
  <c r="C389" i="3"/>
  <c r="D389" i="3"/>
  <c r="E389" i="3"/>
  <c r="B390" i="3"/>
  <c r="C390" i="3"/>
  <c r="D390" i="3"/>
  <c r="E390" i="3"/>
  <c r="B391" i="3"/>
  <c r="C391" i="3"/>
  <c r="D391" i="3"/>
  <c r="E391" i="3"/>
  <c r="B392" i="3"/>
  <c r="C392" i="3"/>
  <c r="D392" i="3"/>
  <c r="E392" i="3"/>
  <c r="B393" i="3"/>
  <c r="C393" i="3"/>
  <c r="D393" i="3"/>
  <c r="E393" i="3"/>
  <c r="B394" i="3"/>
  <c r="C394" i="3"/>
  <c r="D394" i="3"/>
  <c r="E394" i="3"/>
  <c r="B395" i="3"/>
  <c r="C395" i="3"/>
  <c r="D395" i="3"/>
  <c r="E395" i="3"/>
  <c r="B396" i="3"/>
  <c r="C396" i="3"/>
  <c r="D396" i="3"/>
  <c r="E396" i="3"/>
  <c r="B397" i="3"/>
  <c r="C397" i="3"/>
  <c r="D397" i="3"/>
  <c r="E397" i="3"/>
  <c r="B398" i="3"/>
  <c r="C398" i="3"/>
  <c r="D398" i="3"/>
  <c r="E398" i="3"/>
  <c r="B399" i="3"/>
  <c r="C399" i="3"/>
  <c r="D399" i="3"/>
  <c r="E399" i="3"/>
  <c r="B400" i="3"/>
  <c r="C400" i="3"/>
  <c r="D400" i="3"/>
  <c r="E400" i="3"/>
  <c r="B401" i="3"/>
  <c r="C401" i="3"/>
  <c r="D401" i="3"/>
  <c r="E401" i="3"/>
  <c r="B402" i="3"/>
  <c r="C402" i="3"/>
  <c r="D402" i="3"/>
  <c r="E402" i="3"/>
  <c r="B403" i="3"/>
  <c r="C403" i="3"/>
  <c r="D403" i="3"/>
  <c r="E403" i="3"/>
  <c r="B404" i="3"/>
  <c r="C404" i="3"/>
  <c r="D404" i="3"/>
  <c r="E404" i="3"/>
  <c r="B405" i="3"/>
  <c r="C405" i="3"/>
  <c r="D405" i="3"/>
  <c r="E405" i="3"/>
  <c r="B406" i="3"/>
  <c r="C406" i="3"/>
  <c r="D406" i="3"/>
  <c r="E406" i="3"/>
  <c r="B407" i="3"/>
  <c r="C407" i="3"/>
  <c r="D407" i="3"/>
  <c r="E407" i="3"/>
  <c r="B408" i="3"/>
  <c r="C408" i="3"/>
  <c r="D408" i="3"/>
  <c r="E408" i="3"/>
  <c r="B409" i="3"/>
  <c r="C409" i="3"/>
  <c r="D409" i="3"/>
  <c r="E409" i="3"/>
  <c r="B410" i="3"/>
  <c r="C410" i="3"/>
  <c r="D410" i="3"/>
  <c r="E410" i="3"/>
  <c r="B411" i="3"/>
  <c r="C411" i="3"/>
  <c r="D411" i="3"/>
  <c r="E411" i="3"/>
  <c r="B412" i="3"/>
  <c r="C412" i="3"/>
  <c r="D412" i="3"/>
  <c r="E412" i="3"/>
  <c r="B413" i="3"/>
  <c r="C413" i="3"/>
  <c r="D413" i="3"/>
  <c r="E413" i="3"/>
  <c r="B414" i="3"/>
  <c r="C414" i="3"/>
  <c r="D414" i="3"/>
  <c r="E414" i="3"/>
  <c r="B415" i="3"/>
  <c r="C415" i="3"/>
  <c r="D415" i="3"/>
  <c r="E415" i="3"/>
  <c r="B416" i="3"/>
  <c r="C416" i="3"/>
  <c r="D416" i="3"/>
  <c r="E416" i="3"/>
  <c r="B417" i="3"/>
  <c r="C417" i="3"/>
  <c r="D417" i="3"/>
  <c r="E417" i="3"/>
  <c r="B418" i="3"/>
  <c r="C418" i="3"/>
  <c r="D418" i="3"/>
  <c r="E418" i="3"/>
  <c r="B419" i="3"/>
  <c r="C419" i="3"/>
  <c r="D419" i="3"/>
  <c r="E419" i="3"/>
  <c r="B420" i="3"/>
  <c r="C420" i="3"/>
  <c r="D420" i="3"/>
  <c r="E420" i="3"/>
  <c r="B421" i="3"/>
  <c r="C421" i="3"/>
  <c r="D421" i="3"/>
  <c r="E421" i="3"/>
  <c r="B422" i="3"/>
  <c r="C422" i="3"/>
  <c r="D422" i="3"/>
  <c r="E422" i="3"/>
  <c r="B423" i="3"/>
  <c r="C423" i="3"/>
  <c r="D423" i="3"/>
  <c r="E423" i="3"/>
  <c r="B424" i="3"/>
  <c r="C424" i="3"/>
  <c r="D424" i="3"/>
  <c r="E424" i="3"/>
  <c r="B425" i="3"/>
  <c r="C425" i="3"/>
  <c r="D425" i="3"/>
  <c r="E425" i="3"/>
  <c r="B426" i="3"/>
  <c r="C426" i="3"/>
  <c r="D426" i="3"/>
  <c r="E426" i="3"/>
  <c r="B427" i="3"/>
  <c r="C427" i="3"/>
  <c r="D427" i="3"/>
  <c r="E427" i="3"/>
  <c r="B428" i="3"/>
  <c r="C428" i="3"/>
  <c r="D428" i="3"/>
  <c r="E428" i="3"/>
  <c r="B429" i="3"/>
  <c r="C429" i="3"/>
  <c r="D429" i="3"/>
  <c r="E429" i="3"/>
  <c r="B430" i="3"/>
  <c r="C430" i="3"/>
  <c r="D430" i="3"/>
  <c r="E430" i="3"/>
  <c r="B431" i="3"/>
  <c r="C431" i="3"/>
  <c r="D431" i="3"/>
  <c r="E431" i="3"/>
  <c r="B432" i="3"/>
  <c r="C432" i="3"/>
  <c r="D432" i="3"/>
  <c r="E432" i="3"/>
  <c r="B433" i="3"/>
  <c r="C433" i="3"/>
  <c r="D433" i="3"/>
  <c r="E433" i="3"/>
  <c r="B434" i="3"/>
  <c r="C434" i="3"/>
  <c r="D434" i="3"/>
  <c r="E434" i="3"/>
  <c r="B435" i="3"/>
  <c r="C435" i="3"/>
  <c r="D435" i="3"/>
  <c r="E435" i="3"/>
  <c r="B436" i="3"/>
  <c r="C436" i="3"/>
  <c r="D436" i="3"/>
  <c r="E436" i="3"/>
  <c r="B437" i="3"/>
  <c r="C437" i="3"/>
  <c r="D437" i="3"/>
  <c r="E437" i="3"/>
  <c r="B438" i="3"/>
  <c r="C438" i="3"/>
  <c r="D438" i="3"/>
  <c r="E438" i="3"/>
  <c r="B439" i="3"/>
  <c r="C439" i="3"/>
  <c r="D439" i="3"/>
  <c r="E439" i="3"/>
  <c r="B440" i="3"/>
  <c r="C440" i="3"/>
  <c r="D440" i="3"/>
  <c r="E440" i="3"/>
  <c r="B441" i="3"/>
  <c r="C441" i="3"/>
  <c r="D441" i="3"/>
  <c r="E441" i="3"/>
  <c r="B442" i="3"/>
  <c r="C442" i="3"/>
  <c r="D442" i="3"/>
  <c r="E442" i="3"/>
  <c r="B443" i="3"/>
  <c r="C443" i="3"/>
  <c r="D443" i="3"/>
  <c r="E443" i="3"/>
  <c r="B444" i="3"/>
  <c r="C444" i="3"/>
  <c r="D444" i="3"/>
  <c r="E444" i="3"/>
  <c r="B445" i="3"/>
  <c r="C445" i="3"/>
  <c r="D445" i="3"/>
  <c r="E445" i="3"/>
  <c r="B446" i="3"/>
  <c r="C446" i="3"/>
  <c r="D446" i="3"/>
  <c r="E446" i="3"/>
  <c r="B447" i="3"/>
  <c r="C447" i="3"/>
  <c r="D447" i="3"/>
  <c r="E447" i="3"/>
  <c r="B448" i="3"/>
  <c r="C448" i="3"/>
  <c r="D448" i="3"/>
  <c r="E448" i="3"/>
  <c r="B449" i="3"/>
  <c r="C449" i="3"/>
  <c r="D449" i="3"/>
  <c r="E449" i="3"/>
  <c r="B450" i="3"/>
  <c r="C450" i="3"/>
  <c r="D450" i="3"/>
  <c r="E450" i="3"/>
  <c r="B451" i="3"/>
  <c r="C451" i="3"/>
  <c r="D451" i="3"/>
  <c r="E451" i="3"/>
  <c r="B452" i="3"/>
  <c r="C452" i="3"/>
  <c r="D452" i="3"/>
  <c r="E452" i="3"/>
  <c r="B453" i="3"/>
  <c r="C453" i="3"/>
  <c r="D453" i="3"/>
  <c r="E453" i="3"/>
  <c r="B454" i="3"/>
  <c r="C454" i="3"/>
  <c r="D454" i="3"/>
  <c r="E454" i="3"/>
  <c r="B455" i="3"/>
  <c r="C455" i="3"/>
  <c r="D455" i="3"/>
  <c r="E455" i="3"/>
  <c r="B456" i="3"/>
  <c r="C456" i="3"/>
  <c r="D456" i="3"/>
  <c r="E456" i="3"/>
  <c r="B457" i="3"/>
  <c r="C457" i="3"/>
  <c r="D457" i="3"/>
  <c r="E457" i="3"/>
  <c r="B458" i="3"/>
  <c r="C458" i="3"/>
  <c r="D458" i="3"/>
  <c r="E458" i="3"/>
  <c r="B459" i="3"/>
  <c r="C459" i="3"/>
  <c r="D459" i="3"/>
  <c r="E459" i="3"/>
  <c r="B460" i="3"/>
  <c r="C460" i="3"/>
  <c r="D460" i="3"/>
  <c r="E460" i="3"/>
  <c r="B461" i="3"/>
  <c r="C461" i="3"/>
  <c r="D461" i="3"/>
  <c r="E461" i="3"/>
  <c r="B462" i="3"/>
  <c r="C462" i="3"/>
  <c r="D462" i="3"/>
  <c r="E462" i="3"/>
  <c r="B463" i="3"/>
  <c r="C463" i="3"/>
  <c r="D463" i="3"/>
  <c r="E463" i="3"/>
  <c r="B464" i="3"/>
  <c r="C464" i="3"/>
  <c r="D464" i="3"/>
  <c r="E464" i="3"/>
  <c r="B465" i="3"/>
  <c r="C465" i="3"/>
  <c r="D465" i="3"/>
  <c r="E465" i="3"/>
  <c r="B466" i="3"/>
  <c r="C466" i="3"/>
  <c r="D466" i="3"/>
  <c r="E466" i="3"/>
  <c r="B467" i="3"/>
  <c r="C467" i="3"/>
  <c r="D467" i="3"/>
  <c r="E467" i="3"/>
  <c r="B468" i="3"/>
  <c r="C468" i="3"/>
  <c r="D468" i="3"/>
  <c r="E468" i="3"/>
  <c r="B469" i="3"/>
  <c r="C469" i="3"/>
  <c r="D469" i="3"/>
  <c r="E469" i="3"/>
  <c r="B470" i="3"/>
  <c r="C470" i="3"/>
  <c r="D470" i="3"/>
  <c r="E470" i="3"/>
  <c r="B471" i="3"/>
  <c r="C471" i="3"/>
  <c r="D471" i="3"/>
  <c r="E471" i="3"/>
  <c r="B472" i="3"/>
  <c r="C472" i="3"/>
  <c r="D472" i="3"/>
  <c r="E472" i="3"/>
  <c r="B473" i="3"/>
  <c r="C473" i="3"/>
  <c r="D473" i="3"/>
  <c r="E473" i="3"/>
  <c r="B474" i="3"/>
  <c r="C474" i="3"/>
  <c r="D474" i="3"/>
  <c r="E474" i="3"/>
  <c r="B475" i="3"/>
  <c r="C475" i="3"/>
  <c r="D475" i="3"/>
  <c r="E475" i="3"/>
  <c r="B476" i="3"/>
  <c r="C476" i="3"/>
  <c r="D476" i="3"/>
  <c r="E476" i="3"/>
  <c r="B477" i="3"/>
  <c r="C477" i="3"/>
  <c r="D477" i="3"/>
  <c r="E477" i="3"/>
  <c r="B478" i="3"/>
  <c r="C478" i="3"/>
  <c r="D478" i="3"/>
  <c r="E478" i="3"/>
  <c r="B479" i="3"/>
  <c r="C479" i="3"/>
  <c r="D479" i="3"/>
  <c r="E479" i="3"/>
  <c r="B480" i="3"/>
  <c r="C480" i="3"/>
  <c r="D480" i="3"/>
  <c r="E480" i="3"/>
  <c r="B481" i="3"/>
  <c r="C481" i="3"/>
  <c r="D481" i="3"/>
  <c r="E481" i="3"/>
  <c r="B482" i="3"/>
  <c r="C482" i="3"/>
  <c r="D482" i="3"/>
  <c r="E482" i="3"/>
  <c r="B483" i="3"/>
  <c r="C483" i="3"/>
  <c r="D483" i="3"/>
  <c r="E483" i="3"/>
  <c r="B484" i="3"/>
  <c r="C484" i="3"/>
  <c r="D484" i="3"/>
  <c r="E484" i="3"/>
  <c r="B485" i="3"/>
  <c r="C485" i="3"/>
  <c r="D485" i="3"/>
  <c r="E485" i="3"/>
  <c r="B486" i="3"/>
  <c r="C486" i="3"/>
  <c r="D486" i="3"/>
  <c r="E486" i="3"/>
  <c r="B487" i="3"/>
  <c r="C487" i="3"/>
  <c r="D487" i="3"/>
  <c r="E487" i="3"/>
  <c r="B488" i="3"/>
  <c r="C488" i="3"/>
  <c r="D488" i="3"/>
  <c r="E488" i="3"/>
  <c r="B489" i="3"/>
  <c r="C489" i="3"/>
  <c r="D489" i="3"/>
  <c r="E489" i="3"/>
  <c r="B490" i="3"/>
  <c r="C490" i="3"/>
  <c r="D490" i="3"/>
  <c r="E490" i="3"/>
  <c r="B491" i="3"/>
  <c r="C491" i="3"/>
  <c r="D491" i="3"/>
  <c r="E491" i="3"/>
  <c r="B492" i="3"/>
  <c r="C492" i="3"/>
  <c r="D492" i="3"/>
  <c r="E492" i="3"/>
  <c r="B493" i="3"/>
  <c r="C493" i="3"/>
  <c r="D493" i="3"/>
  <c r="E493" i="3"/>
  <c r="B494" i="3"/>
  <c r="C494" i="3"/>
  <c r="D494" i="3"/>
  <c r="E494" i="3"/>
  <c r="B495" i="3"/>
  <c r="C495" i="3"/>
  <c r="D495" i="3"/>
  <c r="E495" i="3"/>
  <c r="B496" i="3"/>
  <c r="C496" i="3"/>
  <c r="D496" i="3"/>
  <c r="E496" i="3"/>
  <c r="B497" i="3"/>
  <c r="C497" i="3"/>
  <c r="D497" i="3"/>
  <c r="E497" i="3"/>
  <c r="B498" i="3"/>
  <c r="C498" i="3"/>
  <c r="D498" i="3"/>
  <c r="E498" i="3"/>
  <c r="B499" i="3"/>
  <c r="C499" i="3"/>
  <c r="D499" i="3"/>
  <c r="E499" i="3"/>
  <c r="B500" i="3"/>
  <c r="C500" i="3"/>
  <c r="D500" i="3"/>
  <c r="E500" i="3"/>
  <c r="B501" i="3"/>
  <c r="C501" i="3"/>
  <c r="D501" i="3"/>
  <c r="E501" i="3"/>
  <c r="B502" i="3"/>
  <c r="C502" i="3"/>
  <c r="D502" i="3"/>
  <c r="E502" i="3"/>
  <c r="B503" i="3"/>
  <c r="C503" i="3"/>
  <c r="D503" i="3"/>
  <c r="E503" i="3"/>
  <c r="B504" i="3"/>
  <c r="C504" i="3"/>
  <c r="D504" i="3"/>
  <c r="E504" i="3"/>
  <c r="B505" i="3"/>
  <c r="C505" i="3"/>
  <c r="D505" i="3"/>
  <c r="E505" i="3"/>
  <c r="B506" i="3"/>
  <c r="C506" i="3"/>
  <c r="D506" i="3"/>
  <c r="E506" i="3"/>
  <c r="B507" i="3"/>
  <c r="C507" i="3"/>
  <c r="D507" i="3"/>
  <c r="E507" i="3"/>
  <c r="B508" i="3"/>
  <c r="C508" i="3"/>
  <c r="D508" i="3"/>
  <c r="E508" i="3"/>
  <c r="B509" i="3"/>
  <c r="C509" i="3"/>
  <c r="D509" i="3"/>
  <c r="E509" i="3"/>
  <c r="B510" i="3"/>
  <c r="C510" i="3"/>
  <c r="D510" i="3"/>
  <c r="E510" i="3"/>
  <c r="B511" i="3"/>
  <c r="C511" i="3"/>
  <c r="D511" i="3"/>
  <c r="E511" i="3"/>
  <c r="B512" i="3"/>
  <c r="C512" i="3"/>
  <c r="D512" i="3"/>
  <c r="E512" i="3"/>
  <c r="B513" i="3"/>
  <c r="C513" i="3"/>
  <c r="D513" i="3"/>
  <c r="E513" i="3"/>
  <c r="B514" i="3"/>
  <c r="C514" i="3"/>
  <c r="D514" i="3"/>
  <c r="E514" i="3"/>
  <c r="B515" i="3"/>
  <c r="C515" i="3"/>
  <c r="D515" i="3"/>
  <c r="E515" i="3"/>
  <c r="B516" i="3"/>
  <c r="C516" i="3"/>
  <c r="D516" i="3"/>
  <c r="E516" i="3"/>
  <c r="B517" i="3"/>
  <c r="C517" i="3"/>
  <c r="D517" i="3"/>
  <c r="E517" i="3"/>
  <c r="B518" i="3"/>
  <c r="C518" i="3"/>
  <c r="D518" i="3"/>
  <c r="E518" i="3"/>
  <c r="B519" i="3"/>
  <c r="C519" i="3"/>
  <c r="D519" i="3"/>
  <c r="E519" i="3"/>
  <c r="B520" i="3"/>
  <c r="C520" i="3"/>
  <c r="D520" i="3"/>
  <c r="E520" i="3"/>
  <c r="B521" i="3"/>
  <c r="C521" i="3"/>
  <c r="D521" i="3"/>
  <c r="E521" i="3"/>
  <c r="B522" i="3"/>
  <c r="C522" i="3"/>
  <c r="D522" i="3"/>
  <c r="E522" i="3"/>
  <c r="B523" i="3"/>
  <c r="C523" i="3"/>
  <c r="D523" i="3"/>
  <c r="E523" i="3"/>
  <c r="B524" i="3"/>
  <c r="C524" i="3"/>
  <c r="D524" i="3"/>
  <c r="E524" i="3"/>
  <c r="B525" i="3"/>
  <c r="C525" i="3"/>
  <c r="D525" i="3"/>
  <c r="E525" i="3"/>
  <c r="B526" i="3"/>
  <c r="C526" i="3"/>
  <c r="D526" i="3"/>
  <c r="E526" i="3"/>
  <c r="B527" i="3"/>
  <c r="C527" i="3"/>
  <c r="D527" i="3"/>
  <c r="E527" i="3"/>
  <c r="B528" i="3"/>
  <c r="C528" i="3"/>
  <c r="D528" i="3"/>
  <c r="E528" i="3"/>
  <c r="B529" i="3"/>
  <c r="C529" i="3"/>
  <c r="D529" i="3"/>
  <c r="E529" i="3"/>
  <c r="B530" i="3"/>
  <c r="C530" i="3"/>
  <c r="D530" i="3"/>
  <c r="E530" i="3"/>
  <c r="B531" i="3"/>
  <c r="C531" i="3"/>
  <c r="D531" i="3"/>
  <c r="E531" i="3"/>
  <c r="B532" i="3"/>
  <c r="C532" i="3"/>
  <c r="D532" i="3"/>
  <c r="E532" i="3"/>
  <c r="B533" i="3"/>
  <c r="C533" i="3"/>
  <c r="D533" i="3"/>
  <c r="E533" i="3"/>
  <c r="B534" i="3"/>
  <c r="C534" i="3"/>
  <c r="D534" i="3"/>
  <c r="E534" i="3"/>
  <c r="B535" i="3"/>
  <c r="C535" i="3"/>
  <c r="D535" i="3"/>
  <c r="E535" i="3"/>
  <c r="B536" i="3"/>
  <c r="C536" i="3"/>
  <c r="D536" i="3"/>
  <c r="E536" i="3"/>
  <c r="B537" i="3"/>
  <c r="C537" i="3"/>
  <c r="D537" i="3"/>
  <c r="E537" i="3"/>
  <c r="B538" i="3"/>
  <c r="C538" i="3"/>
  <c r="D538" i="3"/>
  <c r="E538" i="3"/>
  <c r="B539" i="3"/>
  <c r="C539" i="3"/>
  <c r="D539" i="3"/>
  <c r="E539" i="3"/>
  <c r="B540" i="3"/>
  <c r="C540" i="3"/>
  <c r="D540" i="3"/>
  <c r="E540" i="3"/>
  <c r="B541" i="3"/>
  <c r="C541" i="3"/>
  <c r="D541" i="3"/>
  <c r="E541" i="3"/>
  <c r="B542" i="3"/>
  <c r="C542" i="3"/>
  <c r="D542" i="3"/>
  <c r="E542" i="3"/>
  <c r="B543" i="3"/>
  <c r="C543" i="3"/>
  <c r="D543" i="3"/>
  <c r="E543" i="3"/>
  <c r="B544" i="3"/>
  <c r="C544" i="3"/>
  <c r="D544" i="3"/>
  <c r="E544" i="3"/>
  <c r="B545" i="3"/>
  <c r="C545" i="3"/>
  <c r="D545" i="3"/>
  <c r="E545" i="3"/>
  <c r="B546" i="3"/>
  <c r="C546" i="3"/>
  <c r="D546" i="3"/>
  <c r="E546" i="3"/>
  <c r="B547" i="3"/>
  <c r="C547" i="3"/>
  <c r="D547" i="3"/>
  <c r="E547" i="3"/>
  <c r="B548" i="3"/>
  <c r="C548" i="3"/>
  <c r="D548" i="3"/>
  <c r="E548" i="3"/>
  <c r="B549" i="3"/>
  <c r="C549" i="3"/>
  <c r="D549" i="3"/>
  <c r="E549" i="3"/>
  <c r="B550" i="3"/>
  <c r="C550" i="3"/>
  <c r="D550" i="3"/>
  <c r="E550" i="3"/>
  <c r="B551" i="3"/>
  <c r="C551" i="3"/>
  <c r="D551" i="3"/>
  <c r="E551" i="3"/>
  <c r="B552" i="3"/>
  <c r="C552" i="3"/>
  <c r="D552" i="3"/>
  <c r="E552" i="3"/>
  <c r="B553" i="3"/>
  <c r="C553" i="3"/>
  <c r="D553" i="3"/>
  <c r="E553" i="3"/>
  <c r="B554" i="3"/>
  <c r="C554" i="3"/>
  <c r="D554" i="3"/>
  <c r="E554" i="3"/>
  <c r="B555" i="3"/>
  <c r="C555" i="3"/>
  <c r="D555" i="3"/>
  <c r="E555" i="3"/>
  <c r="B556" i="3"/>
  <c r="C556" i="3"/>
  <c r="D556" i="3"/>
  <c r="E556" i="3"/>
  <c r="B557" i="3"/>
  <c r="C557" i="3"/>
  <c r="D557" i="3"/>
  <c r="E557" i="3"/>
  <c r="B558" i="3"/>
  <c r="C558" i="3"/>
  <c r="D558" i="3"/>
  <c r="E558" i="3"/>
  <c r="B559" i="3"/>
  <c r="C559" i="3"/>
  <c r="D559" i="3"/>
  <c r="E559" i="3"/>
  <c r="B560" i="3"/>
  <c r="C560" i="3"/>
  <c r="D560" i="3"/>
  <c r="E560" i="3"/>
  <c r="B561" i="3"/>
  <c r="C561" i="3"/>
  <c r="D561" i="3"/>
  <c r="E561" i="3"/>
  <c r="B562" i="3"/>
  <c r="C562" i="3"/>
  <c r="D562" i="3"/>
  <c r="E562" i="3"/>
  <c r="B563" i="3"/>
  <c r="C563" i="3"/>
  <c r="D563" i="3"/>
  <c r="E563" i="3"/>
  <c r="B564" i="3"/>
  <c r="C564" i="3"/>
  <c r="D564" i="3"/>
  <c r="E564" i="3"/>
  <c r="B565" i="3"/>
  <c r="C565" i="3"/>
  <c r="D565" i="3"/>
  <c r="E565" i="3"/>
  <c r="B566" i="3"/>
  <c r="C566" i="3"/>
  <c r="D566" i="3"/>
  <c r="E566" i="3"/>
  <c r="B567" i="3"/>
  <c r="C567" i="3"/>
  <c r="D567" i="3"/>
  <c r="E567" i="3"/>
  <c r="B568" i="3"/>
  <c r="C568" i="3"/>
  <c r="D568" i="3"/>
  <c r="E568" i="3"/>
  <c r="B569" i="3"/>
  <c r="C569" i="3"/>
  <c r="D569" i="3"/>
  <c r="E569" i="3"/>
  <c r="B570" i="3"/>
  <c r="C570" i="3"/>
  <c r="D570" i="3"/>
  <c r="E570" i="3"/>
  <c r="B571" i="3"/>
  <c r="C571" i="3"/>
  <c r="D571" i="3"/>
  <c r="E571" i="3"/>
  <c r="B572" i="3"/>
  <c r="C572" i="3"/>
  <c r="D572" i="3"/>
  <c r="E572" i="3"/>
  <c r="B573" i="3"/>
  <c r="C573" i="3"/>
  <c r="D573" i="3"/>
  <c r="E573" i="3"/>
  <c r="B574" i="3"/>
  <c r="C574" i="3"/>
  <c r="D574" i="3"/>
  <c r="E574" i="3"/>
  <c r="B575" i="3"/>
  <c r="C575" i="3"/>
  <c r="D575" i="3"/>
  <c r="E575" i="3"/>
  <c r="B576" i="3"/>
  <c r="C576" i="3"/>
  <c r="D576" i="3"/>
  <c r="E576" i="3"/>
  <c r="B577" i="3"/>
  <c r="C577" i="3"/>
  <c r="D577" i="3"/>
  <c r="E577" i="3"/>
  <c r="B578" i="3"/>
  <c r="C578" i="3"/>
  <c r="D578" i="3"/>
  <c r="E578" i="3"/>
  <c r="B579" i="3"/>
  <c r="C579" i="3"/>
  <c r="D579" i="3"/>
  <c r="E579" i="3"/>
  <c r="B580" i="3"/>
  <c r="C580" i="3"/>
  <c r="D580" i="3"/>
  <c r="E580" i="3"/>
  <c r="B581" i="3"/>
  <c r="C581" i="3"/>
  <c r="D581" i="3"/>
  <c r="E581" i="3"/>
  <c r="B582" i="3"/>
  <c r="C582" i="3"/>
  <c r="D582" i="3"/>
  <c r="E582" i="3"/>
  <c r="B583" i="3"/>
  <c r="C583" i="3"/>
  <c r="D583" i="3"/>
  <c r="E583" i="3"/>
  <c r="B584" i="3"/>
  <c r="C584" i="3"/>
  <c r="D584" i="3"/>
  <c r="E584" i="3"/>
  <c r="B585" i="3"/>
  <c r="C585" i="3"/>
  <c r="D585" i="3"/>
  <c r="E585" i="3"/>
  <c r="B586" i="3"/>
  <c r="C586" i="3"/>
  <c r="D586" i="3"/>
  <c r="E586" i="3"/>
  <c r="B587" i="3"/>
  <c r="C587" i="3"/>
  <c r="D587" i="3"/>
  <c r="E587" i="3"/>
  <c r="B588" i="3"/>
  <c r="C588" i="3"/>
  <c r="D588" i="3"/>
  <c r="E588" i="3"/>
  <c r="B589" i="3"/>
  <c r="C589" i="3"/>
  <c r="D589" i="3"/>
  <c r="E589" i="3"/>
  <c r="B590" i="3"/>
  <c r="C590" i="3"/>
  <c r="D590" i="3"/>
  <c r="E590" i="3"/>
  <c r="B591" i="3"/>
  <c r="C591" i="3"/>
  <c r="D591" i="3"/>
  <c r="E591" i="3"/>
  <c r="B592" i="3"/>
  <c r="C592" i="3"/>
  <c r="D592" i="3"/>
  <c r="E592" i="3"/>
  <c r="B593" i="3"/>
  <c r="C593" i="3"/>
  <c r="D593" i="3"/>
  <c r="E593" i="3"/>
  <c r="B594" i="3"/>
  <c r="C594" i="3"/>
  <c r="D594" i="3"/>
  <c r="E594" i="3"/>
  <c r="B595" i="3"/>
  <c r="C595" i="3"/>
  <c r="D595" i="3"/>
  <c r="E595" i="3"/>
  <c r="B596" i="3"/>
  <c r="C596" i="3"/>
  <c r="D596" i="3"/>
  <c r="E596" i="3"/>
  <c r="B597" i="3"/>
  <c r="C597" i="3"/>
  <c r="D597" i="3"/>
  <c r="E597" i="3"/>
  <c r="B598" i="3"/>
  <c r="C598" i="3"/>
  <c r="D598" i="3"/>
  <c r="E598" i="3"/>
  <c r="B599" i="3"/>
  <c r="C599" i="3"/>
  <c r="D599" i="3"/>
  <c r="E599" i="3"/>
  <c r="B600" i="3"/>
  <c r="C600" i="3"/>
  <c r="D600" i="3"/>
  <c r="E600" i="3"/>
  <c r="B601" i="3"/>
  <c r="C601" i="3"/>
  <c r="D601" i="3"/>
  <c r="E601" i="3"/>
  <c r="B602" i="3"/>
  <c r="C602" i="3"/>
  <c r="D602" i="3"/>
  <c r="E602" i="3"/>
  <c r="B603" i="3"/>
  <c r="C603" i="3"/>
  <c r="D603" i="3"/>
  <c r="E603" i="3"/>
  <c r="B604" i="3"/>
  <c r="C604" i="3"/>
  <c r="D604" i="3"/>
  <c r="E604" i="3"/>
  <c r="B605" i="3"/>
  <c r="C605" i="3"/>
  <c r="D605" i="3"/>
  <c r="E605" i="3"/>
  <c r="B606" i="3"/>
  <c r="C606" i="3"/>
  <c r="D606" i="3"/>
  <c r="E606" i="3"/>
  <c r="B607" i="3"/>
  <c r="C607" i="3"/>
  <c r="D607" i="3"/>
  <c r="E607" i="3"/>
  <c r="B608" i="3"/>
  <c r="C608" i="3"/>
  <c r="D608" i="3"/>
  <c r="E608" i="3"/>
  <c r="B609" i="3"/>
  <c r="C609" i="3"/>
  <c r="D609" i="3"/>
  <c r="E609" i="3"/>
  <c r="B610" i="3"/>
  <c r="C610" i="3"/>
  <c r="D610" i="3"/>
  <c r="E610" i="3"/>
  <c r="B611" i="3"/>
  <c r="C611" i="3"/>
  <c r="D611" i="3"/>
  <c r="E611" i="3"/>
  <c r="B612" i="3"/>
  <c r="C612" i="3"/>
  <c r="D612" i="3"/>
  <c r="E612" i="3"/>
  <c r="B613" i="3"/>
  <c r="C613" i="3"/>
  <c r="D613" i="3"/>
  <c r="E613" i="3"/>
  <c r="B614" i="3"/>
  <c r="C614" i="3"/>
  <c r="D614" i="3"/>
  <c r="E614" i="3"/>
  <c r="B615" i="3"/>
  <c r="C615" i="3"/>
  <c r="D615" i="3"/>
  <c r="E615" i="3"/>
  <c r="B616" i="3"/>
  <c r="C616" i="3"/>
  <c r="D616" i="3"/>
  <c r="E616" i="3"/>
  <c r="B617" i="3"/>
  <c r="C617" i="3"/>
  <c r="D617" i="3"/>
  <c r="E617" i="3"/>
  <c r="B618" i="3"/>
  <c r="C618" i="3"/>
  <c r="D618" i="3"/>
  <c r="E618" i="3"/>
  <c r="B619" i="3"/>
  <c r="C619" i="3"/>
  <c r="D619" i="3"/>
  <c r="E619" i="3"/>
  <c r="B620" i="3"/>
  <c r="C620" i="3"/>
  <c r="D620" i="3"/>
  <c r="E620" i="3"/>
  <c r="B621" i="3"/>
  <c r="C621" i="3"/>
  <c r="D621" i="3"/>
  <c r="E621" i="3"/>
  <c r="B622" i="3"/>
  <c r="C622" i="3"/>
  <c r="D622" i="3"/>
  <c r="E622" i="3"/>
  <c r="B623" i="3"/>
  <c r="C623" i="3"/>
  <c r="D623" i="3"/>
  <c r="E623" i="3"/>
  <c r="B624" i="3"/>
  <c r="C624" i="3"/>
  <c r="D624" i="3"/>
  <c r="E624" i="3"/>
  <c r="B625" i="3"/>
  <c r="C625" i="3"/>
  <c r="D625" i="3"/>
  <c r="E625" i="3"/>
  <c r="B626" i="3"/>
  <c r="C626" i="3"/>
  <c r="D626" i="3"/>
  <c r="E626" i="3"/>
  <c r="B627" i="3"/>
  <c r="C627" i="3"/>
  <c r="D627" i="3"/>
  <c r="E627" i="3"/>
  <c r="B628" i="3"/>
  <c r="C628" i="3"/>
  <c r="D628" i="3"/>
  <c r="E628" i="3"/>
  <c r="B629" i="3"/>
  <c r="C629" i="3"/>
  <c r="D629" i="3"/>
  <c r="E629" i="3"/>
  <c r="B630" i="3"/>
  <c r="C630" i="3"/>
  <c r="D630" i="3"/>
  <c r="E630" i="3"/>
  <c r="B631" i="3"/>
  <c r="C631" i="3"/>
  <c r="D631" i="3"/>
  <c r="E631" i="3"/>
  <c r="B632" i="3"/>
  <c r="C632" i="3"/>
  <c r="D632" i="3"/>
  <c r="E632" i="3"/>
  <c r="B633" i="3"/>
  <c r="C633" i="3"/>
  <c r="D633" i="3"/>
  <c r="E633" i="3"/>
  <c r="B634" i="3"/>
  <c r="C634" i="3"/>
  <c r="D634" i="3"/>
  <c r="E634" i="3"/>
  <c r="B635" i="3"/>
  <c r="C635" i="3"/>
  <c r="D635" i="3"/>
  <c r="E635" i="3"/>
  <c r="B636" i="3"/>
  <c r="C636" i="3"/>
  <c r="D636" i="3"/>
  <c r="E636" i="3"/>
  <c r="B637" i="3"/>
  <c r="C637" i="3"/>
  <c r="D637" i="3"/>
  <c r="E637" i="3"/>
  <c r="B638" i="3"/>
  <c r="C638" i="3"/>
  <c r="D638" i="3"/>
  <c r="E638" i="3"/>
  <c r="B639" i="3"/>
  <c r="C639" i="3"/>
  <c r="D639" i="3"/>
  <c r="E639" i="3"/>
  <c r="B640" i="3"/>
  <c r="C640" i="3"/>
  <c r="D640" i="3"/>
  <c r="E640" i="3"/>
  <c r="B641" i="3"/>
  <c r="C641" i="3"/>
  <c r="D641" i="3"/>
  <c r="E641" i="3"/>
  <c r="B642" i="3"/>
  <c r="C642" i="3"/>
  <c r="D642" i="3"/>
  <c r="E642" i="3"/>
  <c r="B643" i="3"/>
  <c r="C643" i="3"/>
  <c r="D643" i="3"/>
  <c r="E643" i="3"/>
  <c r="B644" i="3"/>
  <c r="C644" i="3"/>
  <c r="D644" i="3"/>
  <c r="E644" i="3"/>
  <c r="B645" i="3"/>
  <c r="C645" i="3"/>
  <c r="D645" i="3"/>
  <c r="E645" i="3"/>
  <c r="B646" i="3"/>
  <c r="C646" i="3"/>
  <c r="D646" i="3"/>
  <c r="E646" i="3"/>
  <c r="B647" i="3"/>
  <c r="C647" i="3"/>
  <c r="D647" i="3"/>
  <c r="E647" i="3"/>
  <c r="B648" i="3"/>
  <c r="C648" i="3"/>
  <c r="D648" i="3"/>
  <c r="E648" i="3"/>
  <c r="B649" i="3"/>
  <c r="C649" i="3"/>
  <c r="D649" i="3"/>
  <c r="E649" i="3"/>
  <c r="B650" i="3"/>
  <c r="C650" i="3"/>
  <c r="D650" i="3"/>
  <c r="E650" i="3"/>
  <c r="B651" i="3"/>
  <c r="C651" i="3"/>
  <c r="D651" i="3"/>
  <c r="E651" i="3"/>
  <c r="B652" i="3"/>
  <c r="C652" i="3"/>
  <c r="D652" i="3"/>
  <c r="E652" i="3"/>
  <c r="B653" i="3"/>
  <c r="C653" i="3"/>
  <c r="D653" i="3"/>
  <c r="E653" i="3"/>
  <c r="B654" i="3"/>
  <c r="C654" i="3"/>
  <c r="D654" i="3"/>
  <c r="E654" i="3"/>
  <c r="B655" i="3"/>
  <c r="C655" i="3"/>
  <c r="D655" i="3"/>
  <c r="E655" i="3"/>
  <c r="B656" i="3"/>
  <c r="C656" i="3"/>
  <c r="D656" i="3"/>
  <c r="E656" i="3"/>
  <c r="B657" i="3"/>
  <c r="C657" i="3"/>
  <c r="D657" i="3"/>
  <c r="E657" i="3"/>
  <c r="B658" i="3"/>
  <c r="C658" i="3"/>
  <c r="D658" i="3"/>
  <c r="E658" i="3"/>
  <c r="B659" i="3"/>
  <c r="C659" i="3"/>
  <c r="D659" i="3"/>
  <c r="E659" i="3"/>
  <c r="B660" i="3"/>
  <c r="C660" i="3"/>
  <c r="D660" i="3"/>
  <c r="E660" i="3"/>
  <c r="B661" i="3"/>
  <c r="C661" i="3"/>
  <c r="D661" i="3"/>
  <c r="E661" i="3"/>
  <c r="B662" i="3"/>
  <c r="C662" i="3"/>
  <c r="D662" i="3"/>
  <c r="E662" i="3"/>
  <c r="B663" i="3"/>
  <c r="C663" i="3"/>
  <c r="D663" i="3"/>
  <c r="E663" i="3"/>
  <c r="B664" i="3"/>
  <c r="C664" i="3"/>
  <c r="D664" i="3"/>
  <c r="E664" i="3"/>
  <c r="B665" i="3"/>
  <c r="C665" i="3"/>
  <c r="D665" i="3"/>
  <c r="E665" i="3"/>
  <c r="B666" i="3"/>
  <c r="C666" i="3"/>
  <c r="D666" i="3"/>
  <c r="E666" i="3"/>
  <c r="B667" i="3"/>
  <c r="C667" i="3"/>
  <c r="D667" i="3"/>
  <c r="E667" i="3"/>
  <c r="B668" i="3"/>
  <c r="C668" i="3"/>
  <c r="D668" i="3"/>
  <c r="E668" i="3"/>
  <c r="B669" i="3"/>
  <c r="C669" i="3"/>
  <c r="D669" i="3"/>
  <c r="E669" i="3"/>
  <c r="B670" i="3"/>
  <c r="C670" i="3"/>
  <c r="D670" i="3"/>
  <c r="E670" i="3"/>
  <c r="B671" i="3"/>
  <c r="C671" i="3"/>
  <c r="D671" i="3"/>
  <c r="E671" i="3"/>
  <c r="B672" i="3"/>
  <c r="C672" i="3"/>
  <c r="D672" i="3"/>
  <c r="E672" i="3"/>
  <c r="B673" i="3"/>
  <c r="C673" i="3"/>
  <c r="D673" i="3"/>
  <c r="E673" i="3"/>
  <c r="B674" i="3"/>
  <c r="C674" i="3"/>
  <c r="D674" i="3"/>
  <c r="E674" i="3"/>
  <c r="B675" i="3"/>
  <c r="C675" i="3"/>
  <c r="D675" i="3"/>
  <c r="E675" i="3"/>
  <c r="B676" i="3"/>
  <c r="C676" i="3"/>
  <c r="D676" i="3"/>
  <c r="E676" i="3"/>
  <c r="B677" i="3"/>
  <c r="C677" i="3"/>
  <c r="D677" i="3"/>
  <c r="E677" i="3"/>
  <c r="B678" i="3"/>
  <c r="C678" i="3"/>
  <c r="D678" i="3"/>
  <c r="E678" i="3"/>
  <c r="B679" i="3"/>
  <c r="C679" i="3"/>
  <c r="D679" i="3"/>
  <c r="E679" i="3"/>
  <c r="B680" i="3"/>
  <c r="C680" i="3"/>
  <c r="D680" i="3"/>
  <c r="E680" i="3"/>
  <c r="B681" i="3"/>
  <c r="C681" i="3"/>
  <c r="D681" i="3"/>
  <c r="E681" i="3"/>
  <c r="B682" i="3"/>
  <c r="C682" i="3"/>
  <c r="D682" i="3"/>
  <c r="E682" i="3"/>
  <c r="B683" i="3"/>
  <c r="C683" i="3"/>
  <c r="D683" i="3"/>
  <c r="E683" i="3"/>
  <c r="B684" i="3"/>
  <c r="C684" i="3"/>
  <c r="D684" i="3"/>
  <c r="E684" i="3"/>
  <c r="B685" i="3"/>
  <c r="C685" i="3"/>
  <c r="D685" i="3"/>
  <c r="E685" i="3"/>
  <c r="B686" i="3"/>
  <c r="C686" i="3"/>
  <c r="D686" i="3"/>
  <c r="E686" i="3"/>
  <c r="B687" i="3"/>
  <c r="C687" i="3"/>
  <c r="D687" i="3"/>
  <c r="E687" i="3"/>
  <c r="B688" i="3"/>
  <c r="C688" i="3"/>
  <c r="D688" i="3"/>
  <c r="E688" i="3"/>
  <c r="B689" i="3"/>
  <c r="C689" i="3"/>
  <c r="D689" i="3"/>
  <c r="E689" i="3"/>
  <c r="B690" i="3"/>
  <c r="C690" i="3"/>
  <c r="D690" i="3"/>
  <c r="E690" i="3"/>
  <c r="B691" i="3"/>
  <c r="C691" i="3"/>
  <c r="D691" i="3"/>
  <c r="E691" i="3"/>
  <c r="B692" i="3"/>
  <c r="C692" i="3"/>
  <c r="D692" i="3"/>
  <c r="E692" i="3"/>
  <c r="B693" i="3"/>
  <c r="C693" i="3"/>
  <c r="D693" i="3"/>
  <c r="E693" i="3"/>
  <c r="B694" i="3"/>
  <c r="C694" i="3"/>
  <c r="D694" i="3"/>
  <c r="E694" i="3"/>
  <c r="B695" i="3"/>
  <c r="C695" i="3"/>
  <c r="D695" i="3"/>
  <c r="E695" i="3"/>
  <c r="B696" i="3"/>
  <c r="C696" i="3"/>
  <c r="D696" i="3"/>
  <c r="E696" i="3"/>
  <c r="B697" i="3"/>
  <c r="C697" i="3"/>
  <c r="D697" i="3"/>
  <c r="E697" i="3"/>
  <c r="B698" i="3"/>
  <c r="C698" i="3"/>
  <c r="D698" i="3"/>
  <c r="E698" i="3"/>
  <c r="B699" i="3"/>
  <c r="C699" i="3"/>
  <c r="D699" i="3"/>
  <c r="E699" i="3"/>
  <c r="B700" i="3"/>
  <c r="C700" i="3"/>
  <c r="D700" i="3"/>
  <c r="E700" i="3"/>
  <c r="B701" i="3"/>
  <c r="C701" i="3"/>
  <c r="D701" i="3"/>
  <c r="E701" i="3"/>
  <c r="B702" i="3"/>
  <c r="C702" i="3"/>
  <c r="D702" i="3"/>
  <c r="E702" i="3"/>
  <c r="B703" i="3"/>
  <c r="C703" i="3"/>
  <c r="D703" i="3"/>
  <c r="E703" i="3"/>
  <c r="B704" i="3"/>
  <c r="C704" i="3"/>
  <c r="D704" i="3"/>
  <c r="E704" i="3"/>
  <c r="B705" i="3"/>
  <c r="C705" i="3"/>
  <c r="D705" i="3"/>
  <c r="E705" i="3"/>
  <c r="B706" i="3"/>
  <c r="C706" i="3"/>
  <c r="D706" i="3"/>
  <c r="E706" i="3"/>
  <c r="B707" i="3"/>
  <c r="C707" i="3"/>
  <c r="D707" i="3"/>
  <c r="E707" i="3"/>
  <c r="B708" i="3"/>
  <c r="C708" i="3"/>
  <c r="D708" i="3"/>
  <c r="E708" i="3"/>
  <c r="B709" i="3"/>
  <c r="C709" i="3"/>
  <c r="D709" i="3"/>
  <c r="E709" i="3"/>
  <c r="B710" i="3"/>
  <c r="C710" i="3"/>
  <c r="D710" i="3"/>
  <c r="E710" i="3"/>
  <c r="B711" i="3"/>
  <c r="C711" i="3"/>
  <c r="D711" i="3"/>
  <c r="E711" i="3"/>
  <c r="B712" i="3"/>
  <c r="C712" i="3"/>
  <c r="D712" i="3"/>
  <c r="E712" i="3"/>
  <c r="B713" i="3"/>
  <c r="C713" i="3"/>
  <c r="D713" i="3"/>
  <c r="E713" i="3"/>
  <c r="B714" i="3"/>
  <c r="C714" i="3"/>
  <c r="D714" i="3"/>
  <c r="E714" i="3"/>
  <c r="B715" i="3"/>
  <c r="C715" i="3"/>
  <c r="D715" i="3"/>
  <c r="E715" i="3"/>
  <c r="B716" i="3"/>
  <c r="C716" i="3"/>
  <c r="D716" i="3"/>
  <c r="E716" i="3"/>
  <c r="B717" i="3"/>
  <c r="C717" i="3"/>
  <c r="D717" i="3"/>
  <c r="E717" i="3"/>
  <c r="B718" i="3"/>
  <c r="C718" i="3"/>
  <c r="D718" i="3"/>
  <c r="E718" i="3"/>
  <c r="B719" i="3"/>
  <c r="C719" i="3"/>
  <c r="D719" i="3"/>
  <c r="E719" i="3"/>
  <c r="B720" i="3"/>
  <c r="C720" i="3"/>
  <c r="D720" i="3"/>
  <c r="E720" i="3"/>
  <c r="B721" i="3"/>
  <c r="C721" i="3"/>
  <c r="D721" i="3"/>
  <c r="E721" i="3"/>
  <c r="B722" i="3"/>
  <c r="C722" i="3"/>
  <c r="D722" i="3"/>
  <c r="E722" i="3"/>
  <c r="B723" i="3"/>
  <c r="C723" i="3"/>
  <c r="D723" i="3"/>
  <c r="E723" i="3"/>
  <c r="B724" i="3"/>
  <c r="C724" i="3"/>
  <c r="D724" i="3"/>
  <c r="E724" i="3"/>
  <c r="B725" i="3"/>
  <c r="C725" i="3"/>
  <c r="D725" i="3"/>
  <c r="E725" i="3"/>
  <c r="B726" i="3"/>
  <c r="C726" i="3"/>
  <c r="D726" i="3"/>
  <c r="E726" i="3"/>
  <c r="B727" i="3"/>
  <c r="C727" i="3"/>
  <c r="D727" i="3"/>
  <c r="E727" i="3"/>
  <c r="B728" i="3"/>
  <c r="C728" i="3"/>
  <c r="D728" i="3"/>
  <c r="E728" i="3"/>
  <c r="B729" i="3"/>
  <c r="C729" i="3"/>
  <c r="D729" i="3"/>
  <c r="E729" i="3"/>
  <c r="B730" i="3"/>
  <c r="C730" i="3"/>
  <c r="D730" i="3"/>
  <c r="E730" i="3"/>
  <c r="B731" i="3"/>
  <c r="C731" i="3"/>
  <c r="D731" i="3"/>
  <c r="E731" i="3"/>
  <c r="B732" i="3"/>
  <c r="C732" i="3"/>
  <c r="D732" i="3"/>
  <c r="E732" i="3"/>
  <c r="B733" i="3"/>
  <c r="C733" i="3"/>
  <c r="D733" i="3"/>
  <c r="E733" i="3"/>
  <c r="B734" i="3"/>
  <c r="C734" i="3"/>
  <c r="D734" i="3"/>
  <c r="E734" i="3"/>
  <c r="B735" i="3"/>
  <c r="C735" i="3"/>
  <c r="D735" i="3"/>
  <c r="E735" i="3"/>
  <c r="B736" i="3"/>
  <c r="C736" i="3"/>
  <c r="D736" i="3"/>
  <c r="E736" i="3"/>
  <c r="B737" i="3"/>
  <c r="C737" i="3"/>
  <c r="D737" i="3"/>
  <c r="E737" i="3"/>
  <c r="B738" i="3"/>
  <c r="C738" i="3"/>
  <c r="D738" i="3"/>
  <c r="E738" i="3"/>
  <c r="B739" i="3"/>
  <c r="C739" i="3"/>
  <c r="D739" i="3"/>
  <c r="E739" i="3"/>
  <c r="B740" i="3"/>
  <c r="C740" i="3"/>
  <c r="D740" i="3"/>
  <c r="E740" i="3"/>
  <c r="B741" i="3"/>
  <c r="C741" i="3"/>
  <c r="D741" i="3"/>
  <c r="E741" i="3"/>
  <c r="B742" i="3"/>
  <c r="C742" i="3"/>
  <c r="D742" i="3"/>
  <c r="E742" i="3"/>
  <c r="B743" i="3"/>
  <c r="C743" i="3"/>
  <c r="D743" i="3"/>
  <c r="E743" i="3"/>
  <c r="B744" i="3"/>
  <c r="C744" i="3"/>
  <c r="D744" i="3"/>
  <c r="E744" i="3"/>
  <c r="B745" i="3"/>
  <c r="C745" i="3"/>
  <c r="D745" i="3"/>
  <c r="E745" i="3"/>
  <c r="B746" i="3"/>
  <c r="C746" i="3"/>
  <c r="D746" i="3"/>
  <c r="E746" i="3"/>
  <c r="B747" i="3"/>
  <c r="C747" i="3"/>
  <c r="D747" i="3"/>
  <c r="E747" i="3"/>
  <c r="B748" i="3"/>
  <c r="C748" i="3"/>
  <c r="D748" i="3"/>
  <c r="E748" i="3"/>
  <c r="B749" i="3"/>
  <c r="C749" i="3"/>
  <c r="D749" i="3"/>
  <c r="E749" i="3"/>
  <c r="B750" i="3"/>
  <c r="C750" i="3"/>
  <c r="D750" i="3"/>
  <c r="E750" i="3"/>
  <c r="B751" i="3"/>
  <c r="C751" i="3"/>
  <c r="D751" i="3"/>
  <c r="E751" i="3"/>
  <c r="B752" i="3"/>
  <c r="C752" i="3"/>
  <c r="D752" i="3"/>
  <c r="E752" i="3"/>
  <c r="B753" i="3"/>
  <c r="C753" i="3"/>
  <c r="D753" i="3"/>
  <c r="E753" i="3"/>
  <c r="B754" i="3"/>
  <c r="C754" i="3"/>
  <c r="D754" i="3"/>
  <c r="E754" i="3"/>
  <c r="B755" i="3"/>
  <c r="C755" i="3"/>
  <c r="D755" i="3"/>
  <c r="E755" i="3"/>
  <c r="B756" i="3"/>
  <c r="C756" i="3"/>
  <c r="D756" i="3"/>
  <c r="E756" i="3"/>
  <c r="B757" i="3"/>
  <c r="C757" i="3"/>
  <c r="D757" i="3"/>
  <c r="E757" i="3"/>
  <c r="B758" i="3"/>
  <c r="C758" i="3"/>
  <c r="D758" i="3"/>
  <c r="E758" i="3"/>
  <c r="B759" i="3"/>
  <c r="C759" i="3"/>
  <c r="D759" i="3"/>
  <c r="E759" i="3"/>
  <c r="B760" i="3"/>
  <c r="C760" i="3"/>
  <c r="D760" i="3"/>
  <c r="E760" i="3"/>
  <c r="B761" i="3"/>
  <c r="C761" i="3"/>
  <c r="D761" i="3"/>
  <c r="E761" i="3"/>
  <c r="B762" i="3"/>
  <c r="C762" i="3"/>
  <c r="D762" i="3"/>
  <c r="E762" i="3"/>
  <c r="B763" i="3"/>
  <c r="C763" i="3"/>
  <c r="D763" i="3"/>
  <c r="E763" i="3"/>
  <c r="B764" i="3"/>
  <c r="C764" i="3"/>
  <c r="D764" i="3"/>
  <c r="E764" i="3"/>
  <c r="B765" i="3"/>
  <c r="C765" i="3"/>
  <c r="D765" i="3"/>
  <c r="E765" i="3"/>
  <c r="B766" i="3"/>
  <c r="C766" i="3"/>
  <c r="D766" i="3"/>
  <c r="E766" i="3"/>
  <c r="B767" i="3"/>
  <c r="C767" i="3"/>
  <c r="D767" i="3"/>
  <c r="E767" i="3"/>
  <c r="B768" i="3"/>
  <c r="C768" i="3"/>
  <c r="D768" i="3"/>
  <c r="E768" i="3"/>
  <c r="B769" i="3"/>
  <c r="C769" i="3"/>
  <c r="D769" i="3"/>
  <c r="E769" i="3"/>
  <c r="B770" i="3"/>
  <c r="C770" i="3"/>
  <c r="D770" i="3"/>
  <c r="E770" i="3"/>
  <c r="B771" i="3"/>
  <c r="C771" i="3"/>
  <c r="D771" i="3"/>
  <c r="E771" i="3"/>
  <c r="B772" i="3"/>
  <c r="C772" i="3"/>
  <c r="D772" i="3"/>
  <c r="E772" i="3"/>
  <c r="B773" i="3"/>
  <c r="C773" i="3"/>
  <c r="D773" i="3"/>
  <c r="E773" i="3"/>
  <c r="B774" i="3"/>
  <c r="C774" i="3"/>
  <c r="D774" i="3"/>
  <c r="E774" i="3"/>
  <c r="B775" i="3"/>
  <c r="C775" i="3"/>
  <c r="D775" i="3"/>
  <c r="E775" i="3"/>
  <c r="B776" i="3"/>
  <c r="C776" i="3"/>
  <c r="D776" i="3"/>
  <c r="E776" i="3"/>
  <c r="B777" i="3"/>
  <c r="C777" i="3"/>
  <c r="D777" i="3"/>
  <c r="E777" i="3"/>
  <c r="B778" i="3"/>
  <c r="C778" i="3"/>
  <c r="D778" i="3"/>
  <c r="E778" i="3"/>
  <c r="B779" i="3"/>
  <c r="C779" i="3"/>
  <c r="D779" i="3"/>
  <c r="E779" i="3"/>
  <c r="B780" i="3"/>
  <c r="C780" i="3"/>
  <c r="D780" i="3"/>
  <c r="E780" i="3"/>
  <c r="B781" i="3"/>
  <c r="C781" i="3"/>
  <c r="D781" i="3"/>
  <c r="E781" i="3"/>
  <c r="B782" i="3"/>
  <c r="C782" i="3"/>
  <c r="D782" i="3"/>
  <c r="E782" i="3"/>
  <c r="B783" i="3"/>
  <c r="C783" i="3"/>
  <c r="D783" i="3"/>
  <c r="E783" i="3"/>
  <c r="B784" i="3"/>
  <c r="C784" i="3"/>
  <c r="D784" i="3"/>
  <c r="E784" i="3"/>
  <c r="B785" i="3"/>
  <c r="C785" i="3"/>
  <c r="D785" i="3"/>
  <c r="E785" i="3"/>
  <c r="B786" i="3"/>
  <c r="C786" i="3"/>
  <c r="D786" i="3"/>
  <c r="E786" i="3"/>
  <c r="B787" i="3"/>
  <c r="C787" i="3"/>
  <c r="D787" i="3"/>
  <c r="E787" i="3"/>
  <c r="B788" i="3"/>
  <c r="C788" i="3"/>
  <c r="D788" i="3"/>
  <c r="E788" i="3"/>
  <c r="B789" i="3"/>
  <c r="C789" i="3"/>
  <c r="D789" i="3"/>
  <c r="E789" i="3"/>
  <c r="B790" i="3"/>
  <c r="C790" i="3"/>
  <c r="D790" i="3"/>
  <c r="E790" i="3"/>
  <c r="B791" i="3"/>
  <c r="C791" i="3"/>
  <c r="D791" i="3"/>
  <c r="E791" i="3"/>
  <c r="B792" i="3"/>
  <c r="C792" i="3"/>
  <c r="D792" i="3"/>
  <c r="E792" i="3"/>
  <c r="B793" i="3"/>
  <c r="C793" i="3"/>
  <c r="D793" i="3"/>
  <c r="E793" i="3"/>
  <c r="B794" i="3"/>
  <c r="C794" i="3"/>
  <c r="D794" i="3"/>
  <c r="E794" i="3"/>
  <c r="B795" i="3"/>
  <c r="C795" i="3"/>
  <c r="D795" i="3"/>
  <c r="E795" i="3"/>
  <c r="B796" i="3"/>
  <c r="C796" i="3"/>
  <c r="D796" i="3"/>
  <c r="E796" i="3"/>
  <c r="B797" i="3"/>
  <c r="C797" i="3"/>
  <c r="D797" i="3"/>
  <c r="E797" i="3"/>
  <c r="B798" i="3"/>
  <c r="C798" i="3"/>
  <c r="D798" i="3"/>
  <c r="E798" i="3"/>
  <c r="B799" i="3"/>
  <c r="C799" i="3"/>
  <c r="D799" i="3"/>
  <c r="E799" i="3"/>
  <c r="B800" i="3"/>
  <c r="C800" i="3"/>
  <c r="D800" i="3"/>
  <c r="E800" i="3"/>
  <c r="B801" i="3"/>
  <c r="C801" i="3"/>
  <c r="D801" i="3"/>
  <c r="E801" i="3"/>
  <c r="B802" i="3"/>
  <c r="C802" i="3"/>
  <c r="D802" i="3"/>
  <c r="E802" i="3"/>
  <c r="B803" i="3"/>
  <c r="C803" i="3"/>
  <c r="D803" i="3"/>
  <c r="E803" i="3"/>
  <c r="B804" i="3"/>
  <c r="C804" i="3"/>
  <c r="D804" i="3"/>
  <c r="E804" i="3"/>
  <c r="B805" i="3"/>
  <c r="C805" i="3"/>
  <c r="D805" i="3"/>
  <c r="E805" i="3"/>
  <c r="B806" i="3"/>
  <c r="C806" i="3"/>
  <c r="D806" i="3"/>
  <c r="E806" i="3"/>
  <c r="B807" i="3"/>
  <c r="C807" i="3"/>
  <c r="D807" i="3"/>
  <c r="E807" i="3"/>
  <c r="B808" i="3"/>
  <c r="C808" i="3"/>
  <c r="D808" i="3"/>
  <c r="E808" i="3"/>
  <c r="B809" i="3"/>
  <c r="C809" i="3"/>
  <c r="D809" i="3"/>
  <c r="E809" i="3"/>
  <c r="B810" i="3"/>
  <c r="C810" i="3"/>
  <c r="D810" i="3"/>
  <c r="E810" i="3"/>
  <c r="B811" i="3"/>
  <c r="C811" i="3"/>
  <c r="D811" i="3"/>
  <c r="E811" i="3"/>
  <c r="B812" i="3"/>
  <c r="C812" i="3"/>
  <c r="D812" i="3"/>
  <c r="E812" i="3"/>
  <c r="B813" i="3"/>
  <c r="C813" i="3"/>
  <c r="D813" i="3"/>
  <c r="E813" i="3"/>
  <c r="B814" i="3"/>
  <c r="C814" i="3"/>
  <c r="D814" i="3"/>
  <c r="E814" i="3"/>
  <c r="B815" i="3"/>
  <c r="C815" i="3"/>
  <c r="D815" i="3"/>
  <c r="E815" i="3"/>
  <c r="B816" i="3"/>
  <c r="C816" i="3"/>
  <c r="D816" i="3"/>
  <c r="E816" i="3"/>
  <c r="B817" i="3"/>
  <c r="C817" i="3"/>
  <c r="D817" i="3"/>
  <c r="E817" i="3"/>
  <c r="B818" i="3"/>
  <c r="C818" i="3"/>
  <c r="D818" i="3"/>
  <c r="E818" i="3"/>
  <c r="B819" i="3"/>
  <c r="C819" i="3"/>
  <c r="D819" i="3"/>
  <c r="E819" i="3"/>
  <c r="B820" i="3"/>
  <c r="C820" i="3"/>
  <c r="D820" i="3"/>
  <c r="E820" i="3"/>
  <c r="B821" i="3"/>
  <c r="C821" i="3"/>
  <c r="D821" i="3"/>
  <c r="E821" i="3"/>
  <c r="B822" i="3"/>
  <c r="C822" i="3"/>
  <c r="D822" i="3"/>
  <c r="E822" i="3"/>
  <c r="B823" i="3"/>
  <c r="C823" i="3"/>
  <c r="D823" i="3"/>
  <c r="E823" i="3"/>
  <c r="B824" i="3"/>
  <c r="C824" i="3"/>
  <c r="D824" i="3"/>
  <c r="E824" i="3"/>
  <c r="B825" i="3"/>
  <c r="C825" i="3"/>
  <c r="D825" i="3"/>
  <c r="E825" i="3"/>
  <c r="B826" i="3"/>
  <c r="C826" i="3"/>
  <c r="D826" i="3"/>
  <c r="E826" i="3"/>
  <c r="B827" i="3"/>
  <c r="C827" i="3"/>
  <c r="D827" i="3"/>
  <c r="E827" i="3"/>
  <c r="B828" i="3"/>
  <c r="C828" i="3"/>
  <c r="D828" i="3"/>
  <c r="E828" i="3"/>
  <c r="B829" i="3"/>
  <c r="C829" i="3"/>
  <c r="D829" i="3"/>
  <c r="E829" i="3"/>
  <c r="B830" i="3"/>
  <c r="C830" i="3"/>
  <c r="D830" i="3"/>
  <c r="E830" i="3"/>
  <c r="B831" i="3"/>
  <c r="C831" i="3"/>
  <c r="D831" i="3"/>
  <c r="E831" i="3"/>
  <c r="B832" i="3"/>
  <c r="C832" i="3"/>
  <c r="D832" i="3"/>
  <c r="E832" i="3"/>
  <c r="B833" i="3"/>
  <c r="C833" i="3"/>
  <c r="D833" i="3"/>
  <c r="E833" i="3"/>
  <c r="B834" i="3"/>
  <c r="C834" i="3"/>
  <c r="D834" i="3"/>
  <c r="E834" i="3"/>
  <c r="B835" i="3"/>
  <c r="C835" i="3"/>
  <c r="D835" i="3"/>
  <c r="E835" i="3"/>
  <c r="B836" i="3"/>
  <c r="C836" i="3"/>
  <c r="D836" i="3"/>
  <c r="E836" i="3"/>
  <c r="B837" i="3"/>
  <c r="C837" i="3"/>
  <c r="D837" i="3"/>
  <c r="E837" i="3"/>
  <c r="B838" i="3"/>
  <c r="C838" i="3"/>
  <c r="D838" i="3"/>
  <c r="E838" i="3"/>
  <c r="B839" i="3"/>
  <c r="C839" i="3"/>
  <c r="D839" i="3"/>
  <c r="E839" i="3"/>
  <c r="B840" i="3"/>
  <c r="C840" i="3"/>
  <c r="D840" i="3"/>
  <c r="E840" i="3"/>
  <c r="B841" i="3"/>
  <c r="C841" i="3"/>
  <c r="D841" i="3"/>
  <c r="E841" i="3"/>
  <c r="B842" i="3"/>
  <c r="C842" i="3"/>
  <c r="D842" i="3"/>
  <c r="E842" i="3"/>
  <c r="B843" i="3"/>
  <c r="C843" i="3"/>
  <c r="D843" i="3"/>
  <c r="E843" i="3"/>
  <c r="B844" i="3"/>
  <c r="C844" i="3"/>
  <c r="D844" i="3"/>
  <c r="E844" i="3"/>
  <c r="B845" i="3"/>
  <c r="C845" i="3"/>
  <c r="D845" i="3"/>
  <c r="E845" i="3"/>
  <c r="B846" i="3"/>
  <c r="C846" i="3"/>
  <c r="D846" i="3"/>
  <c r="E846" i="3"/>
  <c r="B847" i="3"/>
  <c r="C847" i="3"/>
  <c r="D847" i="3"/>
  <c r="E847" i="3"/>
  <c r="B848" i="3"/>
  <c r="C848" i="3"/>
  <c r="D848" i="3"/>
  <c r="E848" i="3"/>
  <c r="B849" i="3"/>
  <c r="C849" i="3"/>
  <c r="D849" i="3"/>
  <c r="E849" i="3"/>
  <c r="B850" i="3"/>
  <c r="C850" i="3"/>
  <c r="D850" i="3"/>
  <c r="E850" i="3"/>
  <c r="B851" i="3"/>
  <c r="C851" i="3"/>
  <c r="D851" i="3"/>
  <c r="E851" i="3"/>
  <c r="B852" i="3"/>
  <c r="C852" i="3"/>
  <c r="D852" i="3"/>
  <c r="E852" i="3"/>
  <c r="B853" i="3"/>
  <c r="C853" i="3"/>
  <c r="D853" i="3"/>
  <c r="E853" i="3"/>
  <c r="B854" i="3"/>
  <c r="C854" i="3"/>
  <c r="D854" i="3"/>
  <c r="E854" i="3"/>
  <c r="B855" i="3"/>
  <c r="C855" i="3"/>
  <c r="D855" i="3"/>
  <c r="E855" i="3"/>
  <c r="B856" i="3"/>
  <c r="C856" i="3"/>
  <c r="D856" i="3"/>
  <c r="E856" i="3"/>
  <c r="B857" i="3"/>
  <c r="C857" i="3"/>
  <c r="D857" i="3"/>
  <c r="E857" i="3"/>
  <c r="B858" i="3"/>
  <c r="C858" i="3"/>
  <c r="D858" i="3"/>
  <c r="E858" i="3"/>
  <c r="B859" i="3"/>
  <c r="C859" i="3"/>
  <c r="D859" i="3"/>
  <c r="E859" i="3"/>
  <c r="B860" i="3"/>
  <c r="C860" i="3"/>
  <c r="D860" i="3"/>
  <c r="E860" i="3"/>
  <c r="B861" i="3"/>
  <c r="C861" i="3"/>
  <c r="D861" i="3"/>
  <c r="E861" i="3"/>
  <c r="B862" i="3"/>
  <c r="C862" i="3"/>
  <c r="D862" i="3"/>
  <c r="E862" i="3"/>
  <c r="B863" i="3"/>
  <c r="C863" i="3"/>
  <c r="D863" i="3"/>
  <c r="E863" i="3"/>
  <c r="B864" i="3"/>
  <c r="C864" i="3"/>
  <c r="D864" i="3"/>
  <c r="E864" i="3"/>
  <c r="B865" i="3"/>
  <c r="C865" i="3"/>
  <c r="D865" i="3"/>
  <c r="E865" i="3"/>
  <c r="B866" i="3"/>
  <c r="C866" i="3"/>
  <c r="D866" i="3"/>
  <c r="E866" i="3"/>
  <c r="B867" i="3"/>
  <c r="C867" i="3"/>
  <c r="D867" i="3"/>
  <c r="E867" i="3"/>
  <c r="B868" i="3"/>
  <c r="C868" i="3"/>
  <c r="D868" i="3"/>
  <c r="E868" i="3"/>
  <c r="B869" i="3"/>
  <c r="C869" i="3"/>
  <c r="D869" i="3"/>
  <c r="E869" i="3"/>
  <c r="B870" i="3"/>
  <c r="C870" i="3"/>
  <c r="D870" i="3"/>
  <c r="E870" i="3"/>
  <c r="B871" i="3"/>
  <c r="C871" i="3"/>
  <c r="D871" i="3"/>
  <c r="E871" i="3"/>
  <c r="B872" i="3"/>
  <c r="C872" i="3"/>
  <c r="D872" i="3"/>
  <c r="E872" i="3"/>
  <c r="B873" i="3"/>
  <c r="C873" i="3"/>
  <c r="D873" i="3"/>
  <c r="E873" i="3"/>
  <c r="B874" i="3"/>
  <c r="C874" i="3"/>
  <c r="D874" i="3"/>
  <c r="E874" i="3"/>
  <c r="B875" i="3"/>
  <c r="C875" i="3"/>
  <c r="D875" i="3"/>
  <c r="E875" i="3"/>
  <c r="B876" i="3"/>
  <c r="C876" i="3"/>
  <c r="D876" i="3"/>
  <c r="E876" i="3"/>
  <c r="B877" i="3"/>
  <c r="C877" i="3"/>
  <c r="D877" i="3"/>
  <c r="E877" i="3"/>
  <c r="B878" i="3"/>
  <c r="C878" i="3"/>
  <c r="D878" i="3"/>
  <c r="E878" i="3"/>
  <c r="B879" i="3"/>
  <c r="C879" i="3"/>
  <c r="D879" i="3"/>
  <c r="E879" i="3"/>
  <c r="B880" i="3"/>
  <c r="C880" i="3"/>
  <c r="D880" i="3"/>
  <c r="E880" i="3"/>
  <c r="B881" i="3"/>
  <c r="C881" i="3"/>
  <c r="D881" i="3"/>
  <c r="E881" i="3"/>
  <c r="B882" i="3"/>
  <c r="C882" i="3"/>
  <c r="D882" i="3"/>
  <c r="E882" i="3"/>
  <c r="B883" i="3"/>
  <c r="C883" i="3"/>
  <c r="D883" i="3"/>
  <c r="E883" i="3"/>
  <c r="B884" i="3"/>
  <c r="C884" i="3"/>
  <c r="D884" i="3"/>
  <c r="E884" i="3"/>
  <c r="B885" i="3"/>
  <c r="C885" i="3"/>
  <c r="D885" i="3"/>
  <c r="E885" i="3"/>
  <c r="B886" i="3"/>
  <c r="C886" i="3"/>
  <c r="D886" i="3"/>
  <c r="E886" i="3"/>
  <c r="B887" i="3"/>
  <c r="C887" i="3"/>
  <c r="D887" i="3"/>
  <c r="E887" i="3"/>
  <c r="B888" i="3"/>
  <c r="C888" i="3"/>
  <c r="D888" i="3"/>
  <c r="E888" i="3"/>
  <c r="B889" i="3"/>
  <c r="C889" i="3"/>
  <c r="D889" i="3"/>
  <c r="E889" i="3"/>
  <c r="B890" i="3"/>
  <c r="C890" i="3"/>
  <c r="D890" i="3"/>
  <c r="E890" i="3"/>
  <c r="B891" i="3"/>
  <c r="C891" i="3"/>
  <c r="D891" i="3"/>
  <c r="E891" i="3"/>
  <c r="B892" i="3"/>
  <c r="C892" i="3"/>
  <c r="D892" i="3"/>
  <c r="E892" i="3"/>
  <c r="B893" i="3"/>
  <c r="C893" i="3"/>
  <c r="D893" i="3"/>
  <c r="E893" i="3"/>
  <c r="B894" i="3"/>
  <c r="C894" i="3"/>
  <c r="D894" i="3"/>
  <c r="E894" i="3"/>
  <c r="B895" i="3"/>
  <c r="C895" i="3"/>
  <c r="D895" i="3"/>
  <c r="E895" i="3"/>
  <c r="B896" i="3"/>
  <c r="C896" i="3"/>
  <c r="D896" i="3"/>
  <c r="E896" i="3"/>
  <c r="B897" i="3"/>
  <c r="C897" i="3"/>
  <c r="D897" i="3"/>
  <c r="E897" i="3"/>
  <c r="B898" i="3"/>
  <c r="C898" i="3"/>
  <c r="D898" i="3"/>
  <c r="E898" i="3"/>
  <c r="B899" i="3"/>
  <c r="C899" i="3"/>
  <c r="D899" i="3"/>
  <c r="E899" i="3"/>
  <c r="B900" i="3"/>
  <c r="C900" i="3"/>
  <c r="D900" i="3"/>
  <c r="E900" i="3"/>
  <c r="B901" i="3"/>
  <c r="C901" i="3"/>
  <c r="D901" i="3"/>
  <c r="E901" i="3"/>
  <c r="B902" i="3"/>
  <c r="C902" i="3"/>
  <c r="D902" i="3"/>
  <c r="E902" i="3"/>
  <c r="B903" i="3"/>
  <c r="C903" i="3"/>
  <c r="D903" i="3"/>
  <c r="E903" i="3"/>
  <c r="B904" i="3"/>
  <c r="C904" i="3"/>
  <c r="D904" i="3"/>
  <c r="E904" i="3"/>
  <c r="B905" i="3"/>
  <c r="C905" i="3"/>
  <c r="D905" i="3"/>
  <c r="E905" i="3"/>
  <c r="B906" i="3"/>
  <c r="C906" i="3"/>
  <c r="D906" i="3"/>
  <c r="E906" i="3"/>
  <c r="B907" i="3"/>
  <c r="C907" i="3"/>
  <c r="D907" i="3"/>
  <c r="E907" i="3"/>
  <c r="B908" i="3"/>
  <c r="C908" i="3"/>
  <c r="D908" i="3"/>
  <c r="E908" i="3"/>
  <c r="B909" i="3"/>
  <c r="C909" i="3"/>
  <c r="D909" i="3"/>
  <c r="E909" i="3"/>
  <c r="B910" i="3"/>
  <c r="C910" i="3"/>
  <c r="D910" i="3"/>
  <c r="E910" i="3"/>
  <c r="B911" i="3"/>
  <c r="C911" i="3"/>
  <c r="D911" i="3"/>
  <c r="E911" i="3"/>
  <c r="B912" i="3"/>
  <c r="C912" i="3"/>
  <c r="D912" i="3"/>
  <c r="E912" i="3"/>
  <c r="B913" i="3"/>
  <c r="C913" i="3"/>
  <c r="D913" i="3"/>
  <c r="E913" i="3"/>
  <c r="B914" i="3"/>
  <c r="C914" i="3"/>
  <c r="D914" i="3"/>
  <c r="E914" i="3"/>
  <c r="B915" i="3"/>
  <c r="C915" i="3"/>
  <c r="D915" i="3"/>
  <c r="E915" i="3"/>
  <c r="B916" i="3"/>
  <c r="C916" i="3"/>
  <c r="D916" i="3"/>
  <c r="E916" i="3"/>
  <c r="B917" i="3"/>
  <c r="C917" i="3"/>
  <c r="D917" i="3"/>
  <c r="E917" i="3"/>
  <c r="B918" i="3"/>
  <c r="C918" i="3"/>
  <c r="D918" i="3"/>
  <c r="E918" i="3"/>
  <c r="B919" i="3"/>
  <c r="C919" i="3"/>
  <c r="D919" i="3"/>
  <c r="E919" i="3"/>
  <c r="B920" i="3"/>
  <c r="C920" i="3"/>
  <c r="D920" i="3"/>
  <c r="E920" i="3"/>
  <c r="B921" i="3"/>
  <c r="C921" i="3"/>
  <c r="D921" i="3"/>
  <c r="E921" i="3"/>
  <c r="B922" i="3"/>
  <c r="C922" i="3"/>
  <c r="D922" i="3"/>
  <c r="E922" i="3"/>
  <c r="B923" i="3"/>
  <c r="C923" i="3"/>
  <c r="D923" i="3"/>
  <c r="E923" i="3"/>
  <c r="B924" i="3"/>
  <c r="C924" i="3"/>
  <c r="D924" i="3"/>
  <c r="E924" i="3"/>
  <c r="B925" i="3"/>
  <c r="C925" i="3"/>
  <c r="D925" i="3"/>
  <c r="E925" i="3"/>
  <c r="B926" i="3"/>
  <c r="C926" i="3"/>
  <c r="D926" i="3"/>
  <c r="E926" i="3"/>
  <c r="B927" i="3"/>
  <c r="C927" i="3"/>
  <c r="D927" i="3"/>
  <c r="E927" i="3"/>
  <c r="B928" i="3"/>
  <c r="C928" i="3"/>
  <c r="D928" i="3"/>
  <c r="E928" i="3"/>
  <c r="B929" i="3"/>
  <c r="C929" i="3"/>
  <c r="D929" i="3"/>
  <c r="E929" i="3"/>
  <c r="B930" i="3"/>
  <c r="C930" i="3"/>
  <c r="D930" i="3"/>
  <c r="E930" i="3"/>
  <c r="B931" i="3"/>
  <c r="C931" i="3"/>
  <c r="D931" i="3"/>
  <c r="E931" i="3"/>
  <c r="B932" i="3"/>
  <c r="C932" i="3"/>
  <c r="D932" i="3"/>
  <c r="E932" i="3"/>
  <c r="B933" i="3"/>
  <c r="C933" i="3"/>
  <c r="D933" i="3"/>
  <c r="E933" i="3"/>
  <c r="B934" i="3"/>
  <c r="C934" i="3"/>
  <c r="D934" i="3"/>
  <c r="E934" i="3"/>
  <c r="B935" i="3"/>
  <c r="C935" i="3"/>
  <c r="D935" i="3"/>
  <c r="E935" i="3"/>
  <c r="B936" i="3"/>
  <c r="C936" i="3"/>
  <c r="D936" i="3"/>
  <c r="E936" i="3"/>
  <c r="B937" i="3"/>
  <c r="C937" i="3"/>
  <c r="D937" i="3"/>
  <c r="E937" i="3"/>
  <c r="B938" i="3"/>
  <c r="C938" i="3"/>
  <c r="D938" i="3"/>
  <c r="E938" i="3"/>
  <c r="B939" i="3"/>
  <c r="C939" i="3"/>
  <c r="D939" i="3"/>
  <c r="E939" i="3"/>
  <c r="B940" i="3"/>
  <c r="C940" i="3"/>
  <c r="D940" i="3"/>
  <c r="E940" i="3"/>
  <c r="B941" i="3"/>
  <c r="C941" i="3"/>
  <c r="D941" i="3"/>
  <c r="E941" i="3"/>
  <c r="B942" i="3"/>
  <c r="C942" i="3"/>
  <c r="D942" i="3"/>
  <c r="E942" i="3"/>
  <c r="B943" i="3"/>
  <c r="C943" i="3"/>
  <c r="D943" i="3"/>
  <c r="E943" i="3"/>
  <c r="B944" i="3"/>
  <c r="C944" i="3"/>
  <c r="D944" i="3"/>
  <c r="E944" i="3"/>
  <c r="B945" i="3"/>
  <c r="C945" i="3"/>
  <c r="D945" i="3"/>
  <c r="E945" i="3"/>
  <c r="B946" i="3"/>
  <c r="C946" i="3"/>
  <c r="D946" i="3"/>
  <c r="E946" i="3"/>
  <c r="B947" i="3"/>
  <c r="C947" i="3"/>
  <c r="D947" i="3"/>
  <c r="E947" i="3"/>
  <c r="B948" i="3"/>
  <c r="C948" i="3"/>
  <c r="D948" i="3"/>
  <c r="E948" i="3"/>
  <c r="B949" i="3"/>
  <c r="C949" i="3"/>
  <c r="D949" i="3"/>
  <c r="E949" i="3"/>
  <c r="B950" i="3"/>
  <c r="C950" i="3"/>
  <c r="D950" i="3"/>
  <c r="E950" i="3"/>
  <c r="B951" i="3"/>
  <c r="C951" i="3"/>
  <c r="D951" i="3"/>
  <c r="E951" i="3"/>
  <c r="B952" i="3"/>
  <c r="C952" i="3"/>
  <c r="D952" i="3"/>
  <c r="E952" i="3"/>
  <c r="B953" i="3"/>
  <c r="C953" i="3"/>
  <c r="D953" i="3"/>
  <c r="E953" i="3"/>
  <c r="B954" i="3"/>
  <c r="C954" i="3"/>
  <c r="D954" i="3"/>
  <c r="E954" i="3"/>
  <c r="B955" i="3"/>
  <c r="C955" i="3"/>
  <c r="D955" i="3"/>
  <c r="E955" i="3"/>
  <c r="B956" i="3"/>
  <c r="C956" i="3"/>
  <c r="D956" i="3"/>
  <c r="E956" i="3"/>
  <c r="B957" i="3"/>
  <c r="C957" i="3"/>
  <c r="D957" i="3"/>
  <c r="E957" i="3"/>
  <c r="B958" i="3"/>
  <c r="C958" i="3"/>
  <c r="D958" i="3"/>
  <c r="E958" i="3"/>
  <c r="B959" i="3"/>
  <c r="C959" i="3"/>
  <c r="D959" i="3"/>
  <c r="E959" i="3"/>
  <c r="B960" i="3"/>
  <c r="C960" i="3"/>
  <c r="D960" i="3"/>
  <c r="E960" i="3"/>
  <c r="B961" i="3"/>
  <c r="C961" i="3"/>
  <c r="D961" i="3"/>
  <c r="E961" i="3"/>
  <c r="B962" i="3"/>
  <c r="C962" i="3"/>
  <c r="D962" i="3"/>
  <c r="E962" i="3"/>
  <c r="B963" i="3"/>
  <c r="C963" i="3"/>
  <c r="D963" i="3"/>
  <c r="E963" i="3"/>
  <c r="B964" i="3"/>
  <c r="C964" i="3"/>
  <c r="D964" i="3"/>
  <c r="E964" i="3"/>
  <c r="B965" i="3"/>
  <c r="C965" i="3"/>
  <c r="D965" i="3"/>
  <c r="E965" i="3"/>
  <c r="B966" i="3"/>
  <c r="C966" i="3"/>
  <c r="D966" i="3"/>
  <c r="E966" i="3"/>
  <c r="B967" i="3"/>
  <c r="C967" i="3"/>
  <c r="D967" i="3"/>
  <c r="E967" i="3"/>
  <c r="B968" i="3"/>
  <c r="C968" i="3"/>
  <c r="D968" i="3"/>
  <c r="E968" i="3"/>
  <c r="B969" i="3"/>
  <c r="C969" i="3"/>
  <c r="D969" i="3"/>
  <c r="E969" i="3"/>
  <c r="B970" i="3"/>
  <c r="C970" i="3"/>
  <c r="D970" i="3"/>
  <c r="E970" i="3"/>
  <c r="B971" i="3"/>
  <c r="C971" i="3"/>
  <c r="D971" i="3"/>
  <c r="E971" i="3"/>
  <c r="B972" i="3"/>
  <c r="C972" i="3"/>
  <c r="D972" i="3"/>
  <c r="E972" i="3"/>
  <c r="B973" i="3"/>
  <c r="C973" i="3"/>
  <c r="D973" i="3"/>
  <c r="E973" i="3"/>
  <c r="B974" i="3"/>
  <c r="C974" i="3"/>
  <c r="D974" i="3"/>
  <c r="E974" i="3"/>
  <c r="B975" i="3"/>
  <c r="C975" i="3"/>
  <c r="D975" i="3"/>
  <c r="E975" i="3"/>
  <c r="B976" i="3"/>
  <c r="C976" i="3"/>
  <c r="D976" i="3"/>
  <c r="E976" i="3"/>
  <c r="B977" i="3"/>
  <c r="C977" i="3"/>
  <c r="D977" i="3"/>
  <c r="E977" i="3"/>
  <c r="B978" i="3"/>
  <c r="C978" i="3"/>
  <c r="D978" i="3"/>
  <c r="E978" i="3"/>
  <c r="B979" i="3"/>
  <c r="C979" i="3"/>
  <c r="D979" i="3"/>
  <c r="E979" i="3"/>
  <c r="B980" i="3"/>
  <c r="C980" i="3"/>
  <c r="D980" i="3"/>
  <c r="E980" i="3"/>
  <c r="B981" i="3"/>
  <c r="C981" i="3"/>
  <c r="D981" i="3"/>
  <c r="E981" i="3"/>
  <c r="B982" i="3"/>
  <c r="C982" i="3"/>
  <c r="D982" i="3"/>
  <c r="E982" i="3"/>
  <c r="B983" i="3"/>
  <c r="C983" i="3"/>
  <c r="D983" i="3"/>
  <c r="E983" i="3"/>
  <c r="B984" i="3"/>
  <c r="C984" i="3"/>
  <c r="D984" i="3"/>
  <c r="E984" i="3"/>
  <c r="B985" i="3"/>
  <c r="C985" i="3"/>
  <c r="D985" i="3"/>
  <c r="E985" i="3"/>
  <c r="B986" i="3"/>
  <c r="C986" i="3"/>
  <c r="D986" i="3"/>
  <c r="E986" i="3"/>
  <c r="B987" i="3"/>
  <c r="C987" i="3"/>
  <c r="D987" i="3"/>
  <c r="E987" i="3"/>
  <c r="B988" i="3"/>
  <c r="C988" i="3"/>
  <c r="D988" i="3"/>
  <c r="E988" i="3"/>
  <c r="B989" i="3"/>
  <c r="C989" i="3"/>
  <c r="D989" i="3"/>
  <c r="E989" i="3"/>
  <c r="B990" i="3"/>
  <c r="C990" i="3"/>
  <c r="D990" i="3"/>
  <c r="E990" i="3"/>
  <c r="B991" i="3"/>
  <c r="C991" i="3"/>
  <c r="D991" i="3"/>
  <c r="E991" i="3"/>
  <c r="B992" i="3"/>
  <c r="C992" i="3"/>
  <c r="D992" i="3"/>
  <c r="E992" i="3"/>
  <c r="B993" i="3"/>
  <c r="C993" i="3"/>
  <c r="D993" i="3"/>
  <c r="E993" i="3"/>
  <c r="B994" i="3"/>
  <c r="C994" i="3"/>
  <c r="D994" i="3"/>
  <c r="E994" i="3"/>
  <c r="B995" i="3"/>
  <c r="C995" i="3"/>
  <c r="D995" i="3"/>
  <c r="E995" i="3"/>
  <c r="B996" i="3"/>
  <c r="C996" i="3"/>
  <c r="D996" i="3"/>
  <c r="E996" i="3"/>
  <c r="B997" i="3"/>
  <c r="C997" i="3"/>
  <c r="D997" i="3"/>
  <c r="E997" i="3"/>
  <c r="B998" i="3"/>
  <c r="C998" i="3"/>
  <c r="D998" i="3"/>
  <c r="E998" i="3"/>
  <c r="B999" i="3"/>
  <c r="C999" i="3"/>
  <c r="D999" i="3"/>
  <c r="E999" i="3"/>
  <c r="B1000" i="3"/>
  <c r="C1000" i="3"/>
  <c r="D1000" i="3"/>
  <c r="E1000" i="3"/>
  <c r="B1001" i="3"/>
  <c r="C1001" i="3"/>
  <c r="D1001" i="3"/>
  <c r="E1001" i="3"/>
  <c r="B1002" i="3"/>
  <c r="C1002" i="3"/>
  <c r="D1002" i="3"/>
  <c r="E1002" i="3"/>
  <c r="B1003" i="3"/>
  <c r="C1003" i="3"/>
  <c r="D1003" i="3"/>
  <c r="E1003" i="3"/>
  <c r="B1004" i="3"/>
  <c r="C1004" i="3"/>
  <c r="D1004" i="3"/>
  <c r="E1004" i="3"/>
  <c r="B1005" i="3"/>
  <c r="C1005" i="3"/>
  <c r="D1005" i="3"/>
  <c r="E1005" i="3"/>
  <c r="B1006" i="3"/>
  <c r="C1006" i="3"/>
  <c r="D1006" i="3"/>
  <c r="E1006" i="3"/>
  <c r="B1007" i="3"/>
  <c r="C1007" i="3"/>
  <c r="D1007" i="3"/>
  <c r="E1007" i="3"/>
  <c r="B1008" i="3"/>
  <c r="C1008" i="3"/>
  <c r="D1008" i="3"/>
  <c r="E1008" i="3"/>
  <c r="B1009" i="3"/>
  <c r="C1009" i="3"/>
  <c r="D1009" i="3"/>
  <c r="E1009" i="3"/>
  <c r="B1010" i="3"/>
  <c r="C1010" i="3"/>
  <c r="D1010" i="3"/>
  <c r="E1010" i="3"/>
  <c r="B1011" i="3"/>
  <c r="C1011" i="3"/>
  <c r="D1011" i="3"/>
  <c r="E1011" i="3"/>
  <c r="B1012" i="3"/>
  <c r="C1012" i="3"/>
  <c r="D1012" i="3"/>
  <c r="E1012" i="3"/>
  <c r="B1013" i="3"/>
  <c r="C1013" i="3"/>
  <c r="D1013" i="3"/>
  <c r="E1013" i="3"/>
  <c r="B1014" i="3"/>
  <c r="C1014" i="3"/>
  <c r="D1014" i="3"/>
  <c r="E1014" i="3"/>
  <c r="B1015" i="3"/>
  <c r="C1015" i="3"/>
  <c r="D1015" i="3"/>
  <c r="E1015" i="3"/>
  <c r="B1016" i="3"/>
  <c r="C1016" i="3"/>
  <c r="D1016" i="3"/>
  <c r="E1016" i="3"/>
  <c r="B1017" i="3"/>
  <c r="C1017" i="3"/>
  <c r="D1017" i="3"/>
  <c r="E1017" i="3"/>
  <c r="B1018" i="3"/>
  <c r="C1018" i="3"/>
  <c r="D1018" i="3"/>
  <c r="E1018" i="3"/>
  <c r="B1019" i="3"/>
  <c r="C1019" i="3"/>
  <c r="D1019" i="3"/>
  <c r="E1019" i="3"/>
  <c r="B1020" i="3"/>
  <c r="C1020" i="3"/>
  <c r="D1020" i="3"/>
  <c r="E1020" i="3"/>
  <c r="B1021" i="3"/>
  <c r="C1021" i="3"/>
  <c r="D1021" i="3"/>
  <c r="E1021" i="3"/>
  <c r="B1022" i="3"/>
  <c r="C1022" i="3"/>
  <c r="D1022" i="3"/>
  <c r="E1022" i="3"/>
  <c r="B1023" i="3"/>
  <c r="C1023" i="3"/>
  <c r="D1023" i="3"/>
  <c r="E1023" i="3"/>
  <c r="B1024" i="3"/>
  <c r="C1024" i="3"/>
  <c r="D1024" i="3"/>
  <c r="E1024" i="3"/>
  <c r="B1025" i="3"/>
  <c r="C1025" i="3"/>
  <c r="D1025" i="3"/>
  <c r="E1025" i="3"/>
  <c r="B1026" i="3"/>
  <c r="C1026" i="3"/>
  <c r="D1026" i="3"/>
  <c r="E1026" i="3"/>
  <c r="B1027" i="3"/>
  <c r="C1027" i="3"/>
  <c r="D1027" i="3"/>
  <c r="E1027" i="3"/>
  <c r="B1028" i="3"/>
  <c r="C1028" i="3"/>
  <c r="D1028" i="3"/>
  <c r="E1028" i="3"/>
  <c r="B1029" i="3"/>
  <c r="C1029" i="3"/>
  <c r="D1029" i="3"/>
  <c r="E1029" i="3"/>
  <c r="B1030" i="3"/>
  <c r="C1030" i="3"/>
  <c r="D1030" i="3"/>
  <c r="E1030" i="3"/>
  <c r="B1031" i="3"/>
  <c r="C1031" i="3"/>
  <c r="D1031" i="3"/>
  <c r="E1031" i="3"/>
  <c r="B1032" i="3"/>
  <c r="C1032" i="3"/>
  <c r="D1032" i="3"/>
  <c r="E1032" i="3"/>
  <c r="B1033" i="3"/>
  <c r="C1033" i="3"/>
  <c r="D1033" i="3"/>
  <c r="E1033" i="3"/>
  <c r="B1034" i="3"/>
  <c r="C1034" i="3"/>
  <c r="D1034" i="3"/>
  <c r="E1034" i="3"/>
  <c r="B1035" i="3"/>
  <c r="C1035" i="3"/>
  <c r="D1035" i="3"/>
  <c r="E1035" i="3"/>
  <c r="B1036" i="3"/>
  <c r="C1036" i="3"/>
  <c r="D1036" i="3"/>
  <c r="E1036" i="3"/>
  <c r="B1037" i="3"/>
  <c r="C1037" i="3"/>
  <c r="D1037" i="3"/>
  <c r="E1037" i="3"/>
  <c r="B1038" i="3"/>
  <c r="C1038" i="3"/>
  <c r="D1038" i="3"/>
  <c r="E1038" i="3"/>
  <c r="B1039" i="3"/>
  <c r="C1039" i="3"/>
  <c r="D1039" i="3"/>
  <c r="E1039" i="3"/>
  <c r="B1040" i="3"/>
  <c r="C1040" i="3"/>
  <c r="D1040" i="3"/>
  <c r="E1040" i="3"/>
  <c r="B1041" i="3"/>
  <c r="C1041" i="3"/>
  <c r="D1041" i="3"/>
  <c r="E1041" i="3"/>
  <c r="B1042" i="3"/>
  <c r="C1042" i="3"/>
  <c r="D1042" i="3"/>
  <c r="E1042" i="3"/>
  <c r="B1043" i="3"/>
  <c r="C1043" i="3"/>
  <c r="D1043" i="3"/>
  <c r="E1043" i="3"/>
  <c r="B1044" i="3"/>
  <c r="C1044" i="3"/>
  <c r="D1044" i="3"/>
  <c r="E1044" i="3"/>
  <c r="B1045" i="3"/>
  <c r="C1045" i="3"/>
  <c r="D1045" i="3"/>
  <c r="E1045" i="3"/>
  <c r="B1046" i="3"/>
  <c r="C1046" i="3"/>
  <c r="D1046" i="3"/>
  <c r="E1046" i="3"/>
  <c r="B1047" i="3"/>
  <c r="C1047" i="3"/>
  <c r="D1047" i="3"/>
  <c r="E1047" i="3"/>
  <c r="B1048" i="3"/>
  <c r="C1048" i="3"/>
  <c r="D1048" i="3"/>
  <c r="E1048" i="3"/>
  <c r="B1049" i="3"/>
  <c r="C1049" i="3"/>
  <c r="D1049" i="3"/>
  <c r="E1049" i="3"/>
  <c r="B1050" i="3"/>
  <c r="C1050" i="3"/>
  <c r="D1050" i="3"/>
  <c r="E1050" i="3"/>
  <c r="B1051" i="3"/>
  <c r="C1051" i="3"/>
  <c r="D1051" i="3"/>
  <c r="E1051" i="3"/>
  <c r="B1052" i="3"/>
  <c r="C1052" i="3"/>
  <c r="D1052" i="3"/>
  <c r="E1052" i="3"/>
  <c r="B1053" i="3"/>
  <c r="C1053" i="3"/>
  <c r="D1053" i="3"/>
  <c r="E1053" i="3"/>
  <c r="B1054" i="3"/>
  <c r="C1054" i="3"/>
  <c r="D1054" i="3"/>
  <c r="E1054" i="3"/>
  <c r="B1055" i="3"/>
  <c r="C1055" i="3"/>
  <c r="D1055" i="3"/>
  <c r="E1055" i="3"/>
  <c r="B1056" i="3"/>
  <c r="C1056" i="3"/>
  <c r="D1056" i="3"/>
  <c r="E1056" i="3"/>
  <c r="B1057" i="3"/>
  <c r="C1057" i="3"/>
  <c r="D1057" i="3"/>
  <c r="E1057" i="3"/>
  <c r="B1058" i="3"/>
  <c r="C1058" i="3"/>
  <c r="D1058" i="3"/>
  <c r="E1058" i="3"/>
  <c r="B1059" i="3"/>
  <c r="C1059" i="3"/>
  <c r="D1059" i="3"/>
  <c r="E1059" i="3"/>
  <c r="B1060" i="3"/>
  <c r="C1060" i="3"/>
  <c r="D1060" i="3"/>
  <c r="E1060" i="3"/>
  <c r="B1062" i="3"/>
  <c r="C1062" i="3"/>
  <c r="E1062" i="3"/>
  <c r="B1063" i="3"/>
  <c r="C1063" i="3"/>
  <c r="D1063" i="3"/>
  <c r="E1063" i="3"/>
  <c r="B1064" i="3"/>
  <c r="C1064" i="3"/>
  <c r="E1064" i="3"/>
  <c r="B1065" i="3"/>
  <c r="C1065" i="3"/>
  <c r="E1065" i="3"/>
  <c r="B1066" i="3"/>
  <c r="C1066" i="3"/>
  <c r="E1066" i="3"/>
  <c r="B1067" i="3"/>
  <c r="C1067" i="3"/>
  <c r="D1067" i="3"/>
  <c r="E1067" i="3"/>
  <c r="B1068" i="3"/>
  <c r="C1068" i="3"/>
  <c r="E1068" i="3"/>
  <c r="B1069" i="3"/>
  <c r="C1069" i="3"/>
  <c r="D1069" i="3"/>
  <c r="E1069" i="3"/>
  <c r="B1070" i="3"/>
  <c r="C1070" i="3"/>
  <c r="E1070" i="3"/>
  <c r="B1071" i="3"/>
  <c r="C1071" i="3"/>
  <c r="D1071" i="3"/>
  <c r="E1071" i="3"/>
  <c r="B1072" i="3"/>
  <c r="C1072" i="3"/>
  <c r="E1072" i="3"/>
  <c r="B1073" i="3"/>
  <c r="C1073" i="3"/>
  <c r="D1073" i="3"/>
  <c r="E1073" i="3"/>
  <c r="B1074" i="3"/>
  <c r="C1074" i="3"/>
  <c r="E1074" i="3"/>
  <c r="B1075" i="3"/>
  <c r="C1075" i="3"/>
  <c r="E1075" i="3"/>
  <c r="B1076" i="3"/>
  <c r="C1076" i="3"/>
  <c r="E1076" i="3"/>
  <c r="B1077" i="3"/>
  <c r="C1077" i="3"/>
  <c r="D1077" i="3"/>
  <c r="E1077" i="3"/>
  <c r="B1078" i="3"/>
  <c r="C1078" i="3"/>
  <c r="E1078" i="3"/>
  <c r="B1079" i="3"/>
  <c r="C1079" i="3"/>
  <c r="D1079" i="3"/>
  <c r="E1079" i="3"/>
  <c r="B1080" i="3"/>
  <c r="C1080" i="3"/>
  <c r="E1080" i="3"/>
  <c r="B1081" i="3"/>
  <c r="C1081" i="3"/>
  <c r="E1081" i="3"/>
  <c r="B1082" i="3"/>
  <c r="C1082" i="3"/>
  <c r="E1082" i="3"/>
  <c r="B1083" i="3"/>
  <c r="C1083" i="3"/>
  <c r="D1083" i="3"/>
  <c r="E1083" i="3"/>
  <c r="B1084" i="3"/>
  <c r="C1084" i="3"/>
  <c r="E1084" i="3"/>
  <c r="B1085" i="3"/>
  <c r="C1085" i="3"/>
  <c r="D1085" i="3"/>
  <c r="E1085" i="3"/>
  <c r="A1086" i="3"/>
  <c r="B1086" i="3"/>
  <c r="C1086" i="3"/>
  <c r="E1086" i="3"/>
  <c r="A1087" i="3"/>
  <c r="A1088" i="3" s="1"/>
  <c r="A1089" i="3" s="1"/>
  <c r="A1090" i="3" s="1"/>
  <c r="A1091" i="3" s="1"/>
  <c r="B1087" i="3"/>
  <c r="C1087" i="3"/>
  <c r="E1087" i="3"/>
  <c r="B1088" i="3"/>
  <c r="C1088" i="3"/>
  <c r="D1088" i="3"/>
  <c r="E1088" i="3"/>
  <c r="B1089" i="3"/>
  <c r="C1089" i="3"/>
  <c r="D1089" i="3"/>
  <c r="E1089" i="3"/>
  <c r="B1090" i="3"/>
  <c r="C1090" i="3"/>
  <c r="E1090" i="3"/>
  <c r="B1091" i="3"/>
  <c r="C1091" i="3"/>
  <c r="E1091" i="3"/>
  <c r="A1092" i="3"/>
  <c r="A1093" i="3" s="1"/>
  <c r="A1094" i="3" s="1"/>
  <c r="A1095" i="3" s="1"/>
  <c r="A1096" i="3" s="1"/>
  <c r="A1097" i="3" s="1"/>
  <c r="A1098" i="3" s="1"/>
  <c r="A1099" i="3" s="1"/>
  <c r="A1100" i="3" s="1"/>
  <c r="B1092" i="3"/>
  <c r="C1092" i="3"/>
  <c r="E1092" i="3"/>
  <c r="B1093" i="3"/>
  <c r="C1093" i="3"/>
  <c r="E1093" i="3"/>
  <c r="B1094" i="3"/>
  <c r="C1094" i="3"/>
  <c r="E1094" i="3"/>
  <c r="B1095" i="3"/>
  <c r="C1095" i="3"/>
  <c r="E1095" i="3"/>
  <c r="B1096" i="3"/>
  <c r="C1096" i="3"/>
  <c r="D1096" i="3"/>
  <c r="E1096" i="3"/>
  <c r="B1097" i="3"/>
  <c r="C1097" i="3"/>
  <c r="E1097" i="3"/>
  <c r="B1098" i="3"/>
  <c r="C1098" i="3"/>
  <c r="E1098" i="3"/>
  <c r="B1099" i="3"/>
  <c r="C1099" i="3"/>
  <c r="E1099" i="3"/>
  <c r="B1100" i="3"/>
  <c r="C1100" i="3"/>
  <c r="E1100" i="3"/>
  <c r="A1101" i="3"/>
  <c r="A1102" i="3" s="1"/>
  <c r="A1103" i="3" s="1"/>
  <c r="A1104" i="3" s="1"/>
  <c r="A1105" i="3" s="1"/>
  <c r="A1106" i="3" s="1"/>
  <c r="A1107" i="3" s="1"/>
  <c r="A1108" i="3" s="1"/>
  <c r="A1109" i="3" s="1"/>
  <c r="A1110" i="3" s="1"/>
  <c r="B1101" i="3"/>
  <c r="C1101" i="3"/>
  <c r="E1101" i="3"/>
  <c r="B1102" i="3"/>
  <c r="C1102" i="3"/>
  <c r="E1102" i="3"/>
  <c r="B1103" i="3"/>
  <c r="C1103" i="3"/>
  <c r="E1103" i="3"/>
  <c r="B1104" i="3"/>
  <c r="C1104" i="3"/>
  <c r="D1104" i="3"/>
  <c r="E1104" i="3"/>
  <c r="B1105" i="3"/>
  <c r="C1105" i="3"/>
  <c r="E1105" i="3"/>
  <c r="B1106" i="3"/>
  <c r="C1106" i="3"/>
  <c r="E1106" i="3"/>
  <c r="B1107" i="3"/>
  <c r="C1107" i="3"/>
  <c r="E1107" i="3"/>
  <c r="B1108" i="3"/>
  <c r="C1108" i="3"/>
  <c r="E1108" i="3"/>
  <c r="B1109" i="3"/>
  <c r="C1109" i="3"/>
  <c r="E1109" i="3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1049" i="2"/>
  <c r="B1050" i="2"/>
  <c r="B1051" i="2"/>
  <c r="B1052" i="2"/>
  <c r="B1053" i="2"/>
  <c r="B1054" i="2"/>
  <c r="B1055" i="2"/>
  <c r="B1056" i="2"/>
  <c r="B1057" i="2"/>
  <c r="B1058" i="2"/>
  <c r="B1059" i="2"/>
  <c r="B1060" i="2"/>
  <c r="B1062" i="2"/>
  <c r="C1062" i="2"/>
  <c r="D1062" i="2"/>
  <c r="E1062" i="2"/>
  <c r="F1062" i="2"/>
  <c r="G1062" i="2"/>
  <c r="I1062" i="2"/>
  <c r="J1062" i="2"/>
  <c r="B1063" i="2"/>
  <c r="C1063" i="2"/>
  <c r="D1063" i="2"/>
  <c r="E1063" i="2"/>
  <c r="F1063" i="2"/>
  <c r="G1063" i="2"/>
  <c r="I1063" i="2"/>
  <c r="J1063" i="2"/>
  <c r="B1064" i="2"/>
  <c r="C1064" i="2"/>
  <c r="D1064" i="2"/>
  <c r="E1064" i="2"/>
  <c r="F1064" i="2"/>
  <c r="G1064" i="2"/>
  <c r="I1064" i="2"/>
  <c r="J1064" i="2"/>
  <c r="B1065" i="2"/>
  <c r="C1065" i="2"/>
  <c r="D1065" i="2"/>
  <c r="E1065" i="2"/>
  <c r="F1065" i="2"/>
  <c r="G1065" i="2"/>
  <c r="H1065" i="2"/>
  <c r="I1065" i="2"/>
  <c r="J1065" i="2"/>
  <c r="B1066" i="2"/>
  <c r="C1066" i="2"/>
  <c r="D1066" i="2"/>
  <c r="E1066" i="2"/>
  <c r="F1066" i="2"/>
  <c r="G1066" i="2"/>
  <c r="H1066" i="2"/>
  <c r="I1066" i="2"/>
  <c r="J1066" i="2"/>
  <c r="B1067" i="2"/>
  <c r="C1067" i="2"/>
  <c r="D1067" i="2"/>
  <c r="E1067" i="2"/>
  <c r="F1067" i="2"/>
  <c r="G1067" i="2"/>
  <c r="H1067" i="2"/>
  <c r="I1067" i="2"/>
  <c r="J1067" i="2"/>
  <c r="B1068" i="2"/>
  <c r="C1068" i="2"/>
  <c r="D1068" i="2"/>
  <c r="E1068" i="2"/>
  <c r="F1068" i="2"/>
  <c r="G1068" i="2"/>
  <c r="H1068" i="2"/>
  <c r="I1068" i="2"/>
  <c r="J1068" i="2"/>
  <c r="B1069" i="2"/>
  <c r="C1069" i="2"/>
  <c r="D1069" i="2"/>
  <c r="E1069" i="2"/>
  <c r="F1069" i="2"/>
  <c r="G1069" i="2"/>
  <c r="H1069" i="2"/>
  <c r="I1069" i="2"/>
  <c r="J1069" i="2"/>
  <c r="B1070" i="2"/>
  <c r="C1070" i="2"/>
  <c r="D1070" i="2"/>
  <c r="E1070" i="2"/>
  <c r="F1070" i="2"/>
  <c r="G1070" i="2"/>
  <c r="H1070" i="2"/>
  <c r="I1070" i="2"/>
  <c r="J1070" i="2"/>
  <c r="B1071" i="2"/>
  <c r="C1071" i="2"/>
  <c r="D1071" i="2"/>
  <c r="E1071" i="2"/>
  <c r="F1071" i="2"/>
  <c r="G1071" i="2"/>
  <c r="H1071" i="2"/>
  <c r="I1071" i="2"/>
  <c r="J1071" i="2"/>
  <c r="B1072" i="2"/>
  <c r="C1072" i="2"/>
  <c r="D1072" i="2"/>
  <c r="E1072" i="2"/>
  <c r="F1072" i="2"/>
  <c r="G1072" i="2"/>
  <c r="H1072" i="2"/>
  <c r="I1072" i="2"/>
  <c r="J1072" i="2"/>
  <c r="B1073" i="2"/>
  <c r="C1073" i="2"/>
  <c r="D1073" i="2"/>
  <c r="E1073" i="2"/>
  <c r="F1073" i="2"/>
  <c r="G1073" i="2"/>
  <c r="H1073" i="2"/>
  <c r="I1073" i="2"/>
  <c r="J1073" i="2"/>
  <c r="B1074" i="2"/>
  <c r="C1074" i="2"/>
  <c r="D1074" i="2"/>
  <c r="E1074" i="2"/>
  <c r="F1074" i="2"/>
  <c r="G1074" i="2"/>
  <c r="H1074" i="2"/>
  <c r="I1074" i="2"/>
  <c r="J1074" i="2"/>
  <c r="B1075" i="2"/>
  <c r="C1075" i="2"/>
  <c r="D1075" i="2"/>
  <c r="E1075" i="2"/>
  <c r="F1075" i="2"/>
  <c r="G1075" i="2"/>
  <c r="H1075" i="2"/>
  <c r="I1075" i="2"/>
  <c r="J1075" i="2"/>
  <c r="B1076" i="2"/>
  <c r="C1076" i="2"/>
  <c r="D1076" i="2"/>
  <c r="E1076" i="2"/>
  <c r="F1076" i="2"/>
  <c r="G1076" i="2"/>
  <c r="H1076" i="2"/>
  <c r="I1076" i="2"/>
  <c r="J1076" i="2"/>
  <c r="B1077" i="2"/>
  <c r="C1077" i="2"/>
  <c r="D1077" i="2"/>
  <c r="E1077" i="2"/>
  <c r="F1077" i="2"/>
  <c r="G1077" i="2"/>
  <c r="H1077" i="2"/>
  <c r="I1077" i="2"/>
  <c r="J1077" i="2"/>
  <c r="B1078" i="2"/>
  <c r="C1078" i="2"/>
  <c r="D1078" i="2"/>
  <c r="E1078" i="2"/>
  <c r="F1078" i="2"/>
  <c r="G1078" i="2"/>
  <c r="H1078" i="2"/>
  <c r="I1078" i="2"/>
  <c r="J1078" i="2"/>
  <c r="B1079" i="2"/>
  <c r="C1079" i="2"/>
  <c r="D1079" i="2"/>
  <c r="E1079" i="2"/>
  <c r="F1079" i="2"/>
  <c r="G1079" i="2"/>
  <c r="H1079" i="2"/>
  <c r="I1079" i="2"/>
  <c r="J1079" i="2"/>
  <c r="B1080" i="2"/>
  <c r="C1080" i="2"/>
  <c r="D1080" i="2"/>
  <c r="E1080" i="2"/>
  <c r="F1080" i="2"/>
  <c r="G1080" i="2"/>
  <c r="H1080" i="2"/>
  <c r="I1080" i="2"/>
  <c r="J1080" i="2"/>
  <c r="B1081" i="2"/>
  <c r="C1081" i="2"/>
  <c r="D1081" i="2"/>
  <c r="E1081" i="2"/>
  <c r="F1081" i="2"/>
  <c r="G1081" i="2"/>
  <c r="H1081" i="2"/>
  <c r="I1081" i="2"/>
  <c r="J1081" i="2"/>
  <c r="B1082" i="2"/>
  <c r="C1082" i="2"/>
  <c r="D1082" i="2"/>
  <c r="E1082" i="2"/>
  <c r="F1082" i="2"/>
  <c r="G1082" i="2"/>
  <c r="H1082" i="2"/>
  <c r="I1082" i="2"/>
  <c r="J1082" i="2"/>
  <c r="B1083" i="2"/>
  <c r="C1083" i="2"/>
  <c r="D1083" i="2"/>
  <c r="E1083" i="2"/>
  <c r="F1083" i="2"/>
  <c r="G1083" i="2"/>
  <c r="H1083" i="2"/>
  <c r="I1083" i="2"/>
  <c r="J1083" i="2"/>
  <c r="B1084" i="2"/>
  <c r="C1084" i="2"/>
  <c r="D1084" i="2"/>
  <c r="E1084" i="2"/>
  <c r="F1084" i="2"/>
  <c r="G1084" i="2"/>
  <c r="H1084" i="2"/>
  <c r="I1084" i="2"/>
  <c r="J1084" i="2"/>
  <c r="B1085" i="2"/>
  <c r="C1085" i="2"/>
  <c r="D1085" i="2"/>
  <c r="E1085" i="2"/>
  <c r="F1085" i="2"/>
  <c r="G1085" i="2"/>
  <c r="H1085" i="2"/>
  <c r="I1085" i="2"/>
  <c r="J1085" i="2"/>
  <c r="A1086" i="2"/>
  <c r="B1086" i="2"/>
  <c r="C1086" i="2"/>
  <c r="D1086" i="2"/>
  <c r="E1086" i="2"/>
  <c r="F1086" i="2"/>
  <c r="G1086" i="2"/>
  <c r="H1086" i="2"/>
  <c r="I1086" i="2"/>
  <c r="J1086" i="2"/>
  <c r="A1087" i="2"/>
  <c r="C1087" i="2"/>
  <c r="D1087" i="2"/>
  <c r="E1087" i="2"/>
  <c r="F1087" i="2"/>
  <c r="G1087" i="2"/>
  <c r="H1087" i="2"/>
  <c r="I1087" i="2"/>
  <c r="J1087" i="2"/>
  <c r="C1088" i="2"/>
  <c r="D1088" i="2"/>
  <c r="E1088" i="2"/>
  <c r="F1088" i="2"/>
  <c r="G1088" i="2"/>
  <c r="H1088" i="2"/>
  <c r="I1088" i="2"/>
  <c r="J1088" i="2"/>
  <c r="C1089" i="2"/>
  <c r="D1089" i="2"/>
  <c r="E1089" i="2"/>
  <c r="F1089" i="2"/>
  <c r="G1089" i="2"/>
  <c r="H1089" i="2"/>
  <c r="I1089" i="2"/>
  <c r="J1089" i="2"/>
  <c r="C1090" i="2"/>
  <c r="D1090" i="2"/>
  <c r="E1090" i="2"/>
  <c r="F1090" i="2"/>
  <c r="G1090" i="2"/>
  <c r="H1090" i="2"/>
  <c r="I1090" i="2"/>
  <c r="J1090" i="2"/>
  <c r="C1091" i="2"/>
  <c r="D1091" i="2"/>
  <c r="E1091" i="2"/>
  <c r="F1091" i="2"/>
  <c r="G1091" i="2"/>
  <c r="H1091" i="2"/>
  <c r="I1091" i="2"/>
  <c r="J1091" i="2"/>
  <c r="C1092" i="2"/>
  <c r="D1092" i="2"/>
  <c r="E1092" i="2"/>
  <c r="F1092" i="2"/>
  <c r="G1092" i="2"/>
  <c r="H1092" i="2"/>
  <c r="I1092" i="2"/>
  <c r="J1092" i="2"/>
  <c r="C1093" i="2"/>
  <c r="D1093" i="2"/>
  <c r="E1093" i="2"/>
  <c r="F1093" i="2"/>
  <c r="G1093" i="2"/>
  <c r="H1093" i="2"/>
  <c r="I1093" i="2"/>
  <c r="J1093" i="2"/>
  <c r="C1094" i="2"/>
  <c r="D1094" i="2"/>
  <c r="E1094" i="2"/>
  <c r="F1094" i="2"/>
  <c r="G1094" i="2"/>
  <c r="H1094" i="2"/>
  <c r="I1094" i="2"/>
  <c r="J1094" i="2"/>
  <c r="C1095" i="2"/>
  <c r="D1095" i="2"/>
  <c r="E1095" i="2"/>
  <c r="F1095" i="2"/>
  <c r="G1095" i="2"/>
  <c r="H1095" i="2"/>
  <c r="I1095" i="2"/>
  <c r="J1095" i="2"/>
  <c r="C1096" i="2"/>
  <c r="D1096" i="2"/>
  <c r="E1096" i="2"/>
  <c r="F1096" i="2"/>
  <c r="G1096" i="2"/>
  <c r="H1096" i="2"/>
  <c r="I1096" i="2"/>
  <c r="J1096" i="2"/>
  <c r="C1097" i="2"/>
  <c r="D1097" i="2"/>
  <c r="E1097" i="2"/>
  <c r="F1097" i="2"/>
  <c r="G1097" i="2"/>
  <c r="H1097" i="2"/>
  <c r="I1097" i="2"/>
  <c r="J1097" i="2"/>
  <c r="C1098" i="2"/>
  <c r="D1098" i="2"/>
  <c r="E1098" i="2"/>
  <c r="F1098" i="2"/>
  <c r="G1098" i="2"/>
  <c r="H1098" i="2"/>
  <c r="I1098" i="2"/>
  <c r="J1098" i="2"/>
  <c r="C1099" i="2"/>
  <c r="D1099" i="2"/>
  <c r="E1099" i="2"/>
  <c r="F1099" i="2"/>
  <c r="G1099" i="2"/>
  <c r="H1099" i="2"/>
  <c r="I1099" i="2"/>
  <c r="J1099" i="2"/>
  <c r="C1100" i="2"/>
  <c r="D1100" i="2"/>
  <c r="E1100" i="2"/>
  <c r="F1100" i="2"/>
  <c r="G1100" i="2"/>
  <c r="H1100" i="2"/>
  <c r="I1100" i="2"/>
  <c r="J1100" i="2"/>
  <c r="C1101" i="2"/>
  <c r="D1101" i="2"/>
  <c r="E1101" i="2"/>
  <c r="F1101" i="2"/>
  <c r="G1101" i="2"/>
  <c r="H1101" i="2"/>
  <c r="I1101" i="2"/>
  <c r="J1101" i="2"/>
  <c r="C1102" i="2"/>
  <c r="D1102" i="2"/>
  <c r="E1102" i="2"/>
  <c r="F1102" i="2"/>
  <c r="G1102" i="2"/>
  <c r="H1102" i="2"/>
  <c r="I1102" i="2"/>
  <c r="J1102" i="2"/>
  <c r="C1103" i="2"/>
  <c r="D1103" i="2"/>
  <c r="E1103" i="2"/>
  <c r="F1103" i="2"/>
  <c r="G1103" i="2"/>
  <c r="H1103" i="2"/>
  <c r="I1103" i="2"/>
  <c r="J1103" i="2"/>
  <c r="C1104" i="2"/>
  <c r="D1104" i="2"/>
  <c r="E1104" i="2"/>
  <c r="F1104" i="2"/>
  <c r="G1104" i="2"/>
  <c r="H1104" i="2"/>
  <c r="I1104" i="2"/>
  <c r="J1104" i="2"/>
  <c r="C1105" i="2"/>
  <c r="D1105" i="2"/>
  <c r="E1105" i="2"/>
  <c r="F1105" i="2"/>
  <c r="G1105" i="2"/>
  <c r="H1105" i="2"/>
  <c r="I1105" i="2"/>
  <c r="J1105" i="2"/>
  <c r="C1106" i="2"/>
  <c r="D1106" i="2"/>
  <c r="E1106" i="2"/>
  <c r="F1106" i="2"/>
  <c r="G1106" i="2"/>
  <c r="H1106" i="2"/>
  <c r="I1106" i="2"/>
  <c r="J1106" i="2"/>
  <c r="C1107" i="2"/>
  <c r="D1107" i="2"/>
  <c r="E1107" i="2"/>
  <c r="F1107" i="2"/>
  <c r="G1107" i="2"/>
  <c r="H1107" i="2"/>
  <c r="I1107" i="2"/>
  <c r="J1107" i="2"/>
  <c r="C1108" i="2"/>
  <c r="D1108" i="2"/>
  <c r="E1108" i="2"/>
  <c r="F1108" i="2"/>
  <c r="G1108" i="2"/>
  <c r="H1108" i="2"/>
  <c r="I1108" i="2"/>
  <c r="J1108" i="2"/>
  <c r="C1109" i="2"/>
  <c r="D1109" i="2"/>
  <c r="E1109" i="2"/>
  <c r="F1109" i="2"/>
  <c r="G1109" i="2"/>
  <c r="H1109" i="2"/>
  <c r="I1109" i="2"/>
  <c r="J1109" i="2"/>
  <c r="D11" i="1"/>
  <c r="F11" i="1"/>
  <c r="B22" i="1"/>
  <c r="C22" i="1"/>
  <c r="D22" i="1"/>
  <c r="E22" i="1"/>
  <c r="F22" i="1"/>
  <c r="G22" i="1"/>
  <c r="H22" i="1"/>
  <c r="I22" i="1"/>
  <c r="J22" i="1"/>
  <c r="K22" i="1"/>
  <c r="B23" i="1"/>
  <c r="C23" i="1"/>
  <c r="D23" i="1"/>
  <c r="E23" i="1"/>
  <c r="F23" i="1"/>
  <c r="G23" i="1"/>
  <c r="H23" i="1"/>
  <c r="I23" i="1"/>
  <c r="J23" i="1"/>
  <c r="K23" i="1"/>
  <c r="R23" i="1"/>
  <c r="B24" i="1"/>
  <c r="C24" i="1"/>
  <c r="D24" i="1"/>
  <c r="E24" i="1"/>
  <c r="F24" i="1"/>
  <c r="G24" i="1"/>
  <c r="H24" i="1"/>
  <c r="I24" i="1"/>
  <c r="J24" i="1"/>
  <c r="K24" i="1"/>
  <c r="R24" i="1"/>
  <c r="B25" i="1"/>
  <c r="C25" i="1"/>
  <c r="D25" i="1"/>
  <c r="E25" i="1"/>
  <c r="F25" i="1"/>
  <c r="G25" i="1"/>
  <c r="H25" i="1"/>
  <c r="I25" i="1"/>
  <c r="J25" i="1"/>
  <c r="K25" i="1"/>
  <c r="R25" i="1"/>
  <c r="B26" i="1"/>
  <c r="C26" i="1"/>
  <c r="D26" i="1"/>
  <c r="E26" i="1"/>
  <c r="F26" i="1"/>
  <c r="G26" i="1"/>
  <c r="H26" i="1"/>
  <c r="I26" i="1"/>
  <c r="J26" i="1"/>
  <c r="K26" i="1"/>
  <c r="R26" i="1"/>
  <c r="B27" i="1"/>
  <c r="C27" i="1"/>
  <c r="D27" i="1"/>
  <c r="E27" i="1"/>
  <c r="F27" i="1"/>
  <c r="F1062" i="1" s="1"/>
  <c r="G27" i="1"/>
  <c r="H27" i="1"/>
  <c r="I27" i="1"/>
  <c r="J27" i="1"/>
  <c r="K27" i="1"/>
  <c r="R27" i="1"/>
  <c r="B28" i="1"/>
  <c r="C28" i="1"/>
  <c r="C1062" i="1" s="1"/>
  <c r="D28" i="1"/>
  <c r="E28" i="1"/>
  <c r="F28" i="1"/>
  <c r="G28" i="1"/>
  <c r="H28" i="1"/>
  <c r="I28" i="1"/>
  <c r="J28" i="1"/>
  <c r="K28" i="1"/>
  <c r="R28" i="1"/>
  <c r="B29" i="1"/>
  <c r="C29" i="1"/>
  <c r="D29" i="1"/>
  <c r="E29" i="1"/>
  <c r="F29" i="1"/>
  <c r="G29" i="1"/>
  <c r="H29" i="1"/>
  <c r="I29" i="1"/>
  <c r="J29" i="1"/>
  <c r="K29" i="1"/>
  <c r="R29" i="1"/>
  <c r="B30" i="1"/>
  <c r="C30" i="1"/>
  <c r="D30" i="1"/>
  <c r="E30" i="1"/>
  <c r="F30" i="1"/>
  <c r="G30" i="1"/>
  <c r="H30" i="1"/>
  <c r="I30" i="1"/>
  <c r="J30" i="1"/>
  <c r="K30" i="1"/>
  <c r="R30" i="1"/>
  <c r="B31" i="1"/>
  <c r="C31" i="1"/>
  <c r="D31" i="1"/>
  <c r="E31" i="1"/>
  <c r="F31" i="1"/>
  <c r="G31" i="1"/>
  <c r="H31" i="1"/>
  <c r="I31" i="1"/>
  <c r="J31" i="1"/>
  <c r="K31" i="1"/>
  <c r="R31" i="1"/>
  <c r="B32" i="1"/>
  <c r="C32" i="1"/>
  <c r="D32" i="1"/>
  <c r="E32" i="1"/>
  <c r="F32" i="1"/>
  <c r="G32" i="1"/>
  <c r="H32" i="1"/>
  <c r="I32" i="1"/>
  <c r="J32" i="1"/>
  <c r="K32" i="1"/>
  <c r="R32" i="1"/>
  <c r="B33" i="1"/>
  <c r="C33" i="1"/>
  <c r="D33" i="1"/>
  <c r="E33" i="1"/>
  <c r="F33" i="1"/>
  <c r="G33" i="1"/>
  <c r="H33" i="1"/>
  <c r="I33" i="1"/>
  <c r="J33" i="1"/>
  <c r="K33" i="1"/>
  <c r="R33" i="1"/>
  <c r="B34" i="1"/>
  <c r="C34" i="1"/>
  <c r="D34" i="1"/>
  <c r="E34" i="1"/>
  <c r="F34" i="1"/>
  <c r="G34" i="1"/>
  <c r="H34" i="1"/>
  <c r="I34" i="1"/>
  <c r="J34" i="1"/>
  <c r="K34" i="1"/>
  <c r="R34" i="1"/>
  <c r="B35" i="1"/>
  <c r="C35" i="1"/>
  <c r="D35" i="1"/>
  <c r="E35" i="1"/>
  <c r="F35" i="1"/>
  <c r="G35" i="1"/>
  <c r="H35" i="1"/>
  <c r="I35" i="1"/>
  <c r="J35" i="1"/>
  <c r="K35" i="1"/>
  <c r="R35" i="1"/>
  <c r="B36" i="1"/>
  <c r="C36" i="1"/>
  <c r="D36" i="1"/>
  <c r="E36" i="1"/>
  <c r="F36" i="1"/>
  <c r="G36" i="1"/>
  <c r="H36" i="1"/>
  <c r="I36" i="1"/>
  <c r="J36" i="1"/>
  <c r="K36" i="1"/>
  <c r="R36" i="1"/>
  <c r="B37" i="1"/>
  <c r="C37" i="1"/>
  <c r="D37" i="1"/>
  <c r="E37" i="1"/>
  <c r="F37" i="1"/>
  <c r="G37" i="1"/>
  <c r="H37" i="1"/>
  <c r="I37" i="1"/>
  <c r="J37" i="1"/>
  <c r="K37" i="1"/>
  <c r="R37" i="1"/>
  <c r="B38" i="1"/>
  <c r="C38" i="1"/>
  <c r="D38" i="1"/>
  <c r="E38" i="1"/>
  <c r="F38" i="1"/>
  <c r="G38" i="1"/>
  <c r="H38" i="1"/>
  <c r="I38" i="1"/>
  <c r="J38" i="1"/>
  <c r="K38" i="1"/>
  <c r="R38" i="1"/>
  <c r="B39" i="1"/>
  <c r="C39" i="1"/>
  <c r="D39" i="1"/>
  <c r="E39" i="1"/>
  <c r="F39" i="1"/>
  <c r="G39" i="1"/>
  <c r="H39" i="1"/>
  <c r="I39" i="1"/>
  <c r="J39" i="1"/>
  <c r="K39" i="1"/>
  <c r="R39" i="1"/>
  <c r="B40" i="1"/>
  <c r="C40" i="1"/>
  <c r="D40" i="1"/>
  <c r="E40" i="1"/>
  <c r="F40" i="1"/>
  <c r="G40" i="1"/>
  <c r="H40" i="1"/>
  <c r="I40" i="1"/>
  <c r="J40" i="1"/>
  <c r="K40" i="1"/>
  <c r="R40" i="1"/>
  <c r="B41" i="1"/>
  <c r="C41" i="1"/>
  <c r="D41" i="1"/>
  <c r="E41" i="1"/>
  <c r="F41" i="1"/>
  <c r="G41" i="1"/>
  <c r="H41" i="1"/>
  <c r="I41" i="1"/>
  <c r="J41" i="1"/>
  <c r="R41" i="1"/>
  <c r="B42" i="1"/>
  <c r="C42" i="1"/>
  <c r="D42" i="1"/>
  <c r="E42" i="1"/>
  <c r="F42" i="1"/>
  <c r="G42" i="1"/>
  <c r="H42" i="1"/>
  <c r="I42" i="1"/>
  <c r="J42" i="1"/>
  <c r="R42" i="1"/>
  <c r="B43" i="1"/>
  <c r="C43" i="1"/>
  <c r="D43" i="1"/>
  <c r="E43" i="1"/>
  <c r="F43" i="1"/>
  <c r="G43" i="1"/>
  <c r="H43" i="1"/>
  <c r="I43" i="1"/>
  <c r="J43" i="1"/>
  <c r="R43" i="1"/>
  <c r="B44" i="1"/>
  <c r="C44" i="1"/>
  <c r="D44" i="1"/>
  <c r="E44" i="1"/>
  <c r="F44" i="1"/>
  <c r="G44" i="1"/>
  <c r="H44" i="1"/>
  <c r="I44" i="1"/>
  <c r="J44" i="1"/>
  <c r="R44" i="1"/>
  <c r="B45" i="1"/>
  <c r="C45" i="1"/>
  <c r="D45" i="1"/>
  <c r="E45" i="1"/>
  <c r="F45" i="1"/>
  <c r="G45" i="1"/>
  <c r="H45" i="1"/>
  <c r="I45" i="1"/>
  <c r="J45" i="1"/>
  <c r="R45" i="1"/>
  <c r="B46" i="1"/>
  <c r="C46" i="1"/>
  <c r="D46" i="1"/>
  <c r="E46" i="1"/>
  <c r="F46" i="1"/>
  <c r="G46" i="1"/>
  <c r="H46" i="1"/>
  <c r="I46" i="1"/>
  <c r="J46" i="1"/>
  <c r="R46" i="1"/>
  <c r="B47" i="1"/>
  <c r="C47" i="1"/>
  <c r="D47" i="1"/>
  <c r="E47" i="1"/>
  <c r="F47" i="1"/>
  <c r="G47" i="1"/>
  <c r="H47" i="1"/>
  <c r="I47" i="1"/>
  <c r="J47" i="1"/>
  <c r="R47" i="1"/>
  <c r="B48" i="1"/>
  <c r="C48" i="1"/>
  <c r="D48" i="1"/>
  <c r="E48" i="1"/>
  <c r="F48" i="1"/>
  <c r="G48" i="1"/>
  <c r="H48" i="1"/>
  <c r="I48" i="1"/>
  <c r="J48" i="1"/>
  <c r="R48" i="1"/>
  <c r="B49" i="1"/>
  <c r="C49" i="1"/>
  <c r="D49" i="1"/>
  <c r="E49" i="1"/>
  <c r="F49" i="1"/>
  <c r="G49" i="1"/>
  <c r="H49" i="1"/>
  <c r="I49" i="1"/>
  <c r="J49" i="1"/>
  <c r="R49" i="1"/>
  <c r="B50" i="1"/>
  <c r="C50" i="1"/>
  <c r="D50" i="1"/>
  <c r="E50" i="1"/>
  <c r="F50" i="1"/>
  <c r="G50" i="1"/>
  <c r="H50" i="1"/>
  <c r="I50" i="1"/>
  <c r="J50" i="1"/>
  <c r="R50" i="1"/>
  <c r="B51" i="1"/>
  <c r="C51" i="1"/>
  <c r="D51" i="1"/>
  <c r="E51" i="1"/>
  <c r="F51" i="1"/>
  <c r="G51" i="1"/>
  <c r="H51" i="1"/>
  <c r="I51" i="1"/>
  <c r="J51" i="1"/>
  <c r="R51" i="1"/>
  <c r="B52" i="1"/>
  <c r="C52" i="1"/>
  <c r="D52" i="1"/>
  <c r="E52" i="1"/>
  <c r="F52" i="1"/>
  <c r="G52" i="1"/>
  <c r="H52" i="1"/>
  <c r="I52" i="1"/>
  <c r="J52" i="1"/>
  <c r="R52" i="1"/>
  <c r="B53" i="1"/>
  <c r="C53" i="1"/>
  <c r="D53" i="1"/>
  <c r="E53" i="1"/>
  <c r="F53" i="1"/>
  <c r="G53" i="1"/>
  <c r="H53" i="1"/>
  <c r="I53" i="1"/>
  <c r="J53" i="1"/>
  <c r="R53" i="1"/>
  <c r="B54" i="1"/>
  <c r="C54" i="1"/>
  <c r="D54" i="1"/>
  <c r="E54" i="1"/>
  <c r="F54" i="1"/>
  <c r="G54" i="1"/>
  <c r="H54" i="1"/>
  <c r="I54" i="1"/>
  <c r="J54" i="1"/>
  <c r="R54" i="1"/>
  <c r="B55" i="1"/>
  <c r="C55" i="1"/>
  <c r="D55" i="1"/>
  <c r="E55" i="1"/>
  <c r="F55" i="1"/>
  <c r="G55" i="1"/>
  <c r="H55" i="1"/>
  <c r="I55" i="1"/>
  <c r="J55" i="1"/>
  <c r="R55" i="1"/>
  <c r="B56" i="1"/>
  <c r="C56" i="1"/>
  <c r="D56" i="1"/>
  <c r="E56" i="1"/>
  <c r="F56" i="1"/>
  <c r="G56" i="1"/>
  <c r="H56" i="1"/>
  <c r="I56" i="1"/>
  <c r="J56" i="1"/>
  <c r="R56" i="1"/>
  <c r="B57" i="1"/>
  <c r="C57" i="1"/>
  <c r="D57" i="1"/>
  <c r="E57" i="1"/>
  <c r="F57" i="1"/>
  <c r="G57" i="1"/>
  <c r="H57" i="1"/>
  <c r="I57" i="1"/>
  <c r="J57" i="1"/>
  <c r="B58" i="1"/>
  <c r="C58" i="1"/>
  <c r="D58" i="1"/>
  <c r="E58" i="1"/>
  <c r="F58" i="1"/>
  <c r="G58" i="1"/>
  <c r="H58" i="1"/>
  <c r="I58" i="1"/>
  <c r="J58" i="1"/>
  <c r="B59" i="1"/>
  <c r="C59" i="1"/>
  <c r="D59" i="1"/>
  <c r="E59" i="1"/>
  <c r="F59" i="1"/>
  <c r="G59" i="1"/>
  <c r="H59" i="1"/>
  <c r="I59" i="1"/>
  <c r="J59" i="1"/>
  <c r="B60" i="1"/>
  <c r="C60" i="1"/>
  <c r="D60" i="1"/>
  <c r="E60" i="1"/>
  <c r="F60" i="1"/>
  <c r="G60" i="1"/>
  <c r="H60" i="1"/>
  <c r="I60" i="1"/>
  <c r="J60" i="1"/>
  <c r="B61" i="1"/>
  <c r="C61" i="1"/>
  <c r="D61" i="1"/>
  <c r="E61" i="1"/>
  <c r="F61" i="1"/>
  <c r="G61" i="1"/>
  <c r="H61" i="1"/>
  <c r="I61" i="1"/>
  <c r="J61" i="1"/>
  <c r="B62" i="1"/>
  <c r="C62" i="1"/>
  <c r="D62" i="1"/>
  <c r="E62" i="1"/>
  <c r="F62" i="1"/>
  <c r="G62" i="1"/>
  <c r="H62" i="1"/>
  <c r="I62" i="1"/>
  <c r="J62" i="1"/>
  <c r="B63" i="1"/>
  <c r="C63" i="1"/>
  <c r="D63" i="1"/>
  <c r="E63" i="1"/>
  <c r="F63" i="1"/>
  <c r="G63" i="1"/>
  <c r="H63" i="1"/>
  <c r="I63" i="1"/>
  <c r="J63" i="1"/>
  <c r="B64" i="1"/>
  <c r="C64" i="1"/>
  <c r="D64" i="1"/>
  <c r="E64" i="1"/>
  <c r="F64" i="1"/>
  <c r="G64" i="1"/>
  <c r="H64" i="1"/>
  <c r="I64" i="1"/>
  <c r="J64" i="1"/>
  <c r="B65" i="1"/>
  <c r="C65" i="1"/>
  <c r="D65" i="1"/>
  <c r="E65" i="1"/>
  <c r="F65" i="1"/>
  <c r="G65" i="1"/>
  <c r="H65" i="1"/>
  <c r="I65" i="1"/>
  <c r="J65" i="1"/>
  <c r="B66" i="1"/>
  <c r="C66" i="1"/>
  <c r="D66" i="1"/>
  <c r="E66" i="1"/>
  <c r="F66" i="1"/>
  <c r="G66" i="1"/>
  <c r="H66" i="1"/>
  <c r="I66" i="1"/>
  <c r="J66" i="1"/>
  <c r="B67" i="1"/>
  <c r="C67" i="1"/>
  <c r="D67" i="1"/>
  <c r="E67" i="1"/>
  <c r="F67" i="1"/>
  <c r="G67" i="1"/>
  <c r="H67" i="1"/>
  <c r="I67" i="1"/>
  <c r="J67" i="1"/>
  <c r="B68" i="1"/>
  <c r="C68" i="1"/>
  <c r="D68" i="1"/>
  <c r="E68" i="1"/>
  <c r="F68" i="1"/>
  <c r="G68" i="1"/>
  <c r="H68" i="1"/>
  <c r="I68" i="1"/>
  <c r="J68" i="1"/>
  <c r="B69" i="1"/>
  <c r="C69" i="1"/>
  <c r="D69" i="1"/>
  <c r="E69" i="1"/>
  <c r="F69" i="1"/>
  <c r="G69" i="1"/>
  <c r="H69" i="1"/>
  <c r="I69" i="1"/>
  <c r="J69" i="1"/>
  <c r="B70" i="1"/>
  <c r="C70" i="1"/>
  <c r="D70" i="1"/>
  <c r="E70" i="1"/>
  <c r="F70" i="1"/>
  <c r="G70" i="1"/>
  <c r="H70" i="1"/>
  <c r="I70" i="1"/>
  <c r="J70" i="1"/>
  <c r="B71" i="1"/>
  <c r="C71" i="1"/>
  <c r="D71" i="1"/>
  <c r="E71" i="1"/>
  <c r="F71" i="1"/>
  <c r="G71" i="1"/>
  <c r="H71" i="1"/>
  <c r="I71" i="1"/>
  <c r="J71" i="1"/>
  <c r="B72" i="1"/>
  <c r="C72" i="1"/>
  <c r="D72" i="1"/>
  <c r="E72" i="1"/>
  <c r="F72" i="1"/>
  <c r="G72" i="1"/>
  <c r="H72" i="1"/>
  <c r="I72" i="1"/>
  <c r="J72" i="1"/>
  <c r="B73" i="1"/>
  <c r="C73" i="1"/>
  <c r="D73" i="1"/>
  <c r="E73" i="1"/>
  <c r="F73" i="1"/>
  <c r="G73" i="1"/>
  <c r="H73" i="1"/>
  <c r="I73" i="1"/>
  <c r="J73" i="1"/>
  <c r="B74" i="1"/>
  <c r="C74" i="1"/>
  <c r="D74" i="1"/>
  <c r="E74" i="1"/>
  <c r="F74" i="1"/>
  <c r="G74" i="1"/>
  <c r="H74" i="1"/>
  <c r="I74" i="1"/>
  <c r="J74" i="1"/>
  <c r="B75" i="1"/>
  <c r="C75" i="1"/>
  <c r="D75" i="1"/>
  <c r="E75" i="1"/>
  <c r="F75" i="1"/>
  <c r="G75" i="1"/>
  <c r="H75" i="1"/>
  <c r="I75" i="1"/>
  <c r="J75" i="1"/>
  <c r="B76" i="1"/>
  <c r="C76" i="1"/>
  <c r="D76" i="1"/>
  <c r="E76" i="1"/>
  <c r="F76" i="1"/>
  <c r="G76" i="1"/>
  <c r="H76" i="1"/>
  <c r="I76" i="1"/>
  <c r="J76" i="1"/>
  <c r="B77" i="1"/>
  <c r="C77" i="1"/>
  <c r="D77" i="1"/>
  <c r="E77" i="1"/>
  <c r="F77" i="1"/>
  <c r="G77" i="1"/>
  <c r="H77" i="1"/>
  <c r="I77" i="1"/>
  <c r="J77" i="1"/>
  <c r="B78" i="1"/>
  <c r="C78" i="1"/>
  <c r="D78" i="1"/>
  <c r="E78" i="1"/>
  <c r="F78" i="1"/>
  <c r="G78" i="1"/>
  <c r="H78" i="1"/>
  <c r="I78" i="1"/>
  <c r="J78" i="1"/>
  <c r="B79" i="1"/>
  <c r="C79" i="1"/>
  <c r="D79" i="1"/>
  <c r="E79" i="1"/>
  <c r="F79" i="1"/>
  <c r="G79" i="1"/>
  <c r="H79" i="1"/>
  <c r="I79" i="1"/>
  <c r="J79" i="1"/>
  <c r="B80" i="1"/>
  <c r="C80" i="1"/>
  <c r="D80" i="1"/>
  <c r="E80" i="1"/>
  <c r="F80" i="1"/>
  <c r="G80" i="1"/>
  <c r="H80" i="1"/>
  <c r="I80" i="1"/>
  <c r="J80" i="1"/>
  <c r="B81" i="1"/>
  <c r="C81" i="1"/>
  <c r="D81" i="1"/>
  <c r="E81" i="1"/>
  <c r="F81" i="1"/>
  <c r="G81" i="1"/>
  <c r="H81" i="1"/>
  <c r="I81" i="1"/>
  <c r="J81" i="1"/>
  <c r="B82" i="1"/>
  <c r="C82" i="1"/>
  <c r="D82" i="1"/>
  <c r="E82" i="1"/>
  <c r="F82" i="1"/>
  <c r="G82" i="1"/>
  <c r="H82" i="1"/>
  <c r="I82" i="1"/>
  <c r="J82" i="1"/>
  <c r="B83" i="1"/>
  <c r="C83" i="1"/>
  <c r="D83" i="1"/>
  <c r="E83" i="1"/>
  <c r="F83" i="1"/>
  <c r="G83" i="1"/>
  <c r="H83" i="1"/>
  <c r="I83" i="1"/>
  <c r="J83" i="1"/>
  <c r="B84" i="1"/>
  <c r="C84" i="1"/>
  <c r="D84" i="1"/>
  <c r="E84" i="1"/>
  <c r="F84" i="1"/>
  <c r="G84" i="1"/>
  <c r="H84" i="1"/>
  <c r="I84" i="1"/>
  <c r="J84" i="1"/>
  <c r="B85" i="1"/>
  <c r="C85" i="1"/>
  <c r="D85" i="1"/>
  <c r="E85" i="1"/>
  <c r="F85" i="1"/>
  <c r="G85" i="1"/>
  <c r="H85" i="1"/>
  <c r="I85" i="1"/>
  <c r="J85" i="1"/>
  <c r="B86" i="1"/>
  <c r="C86" i="1"/>
  <c r="D86" i="1"/>
  <c r="E86" i="1"/>
  <c r="F86" i="1"/>
  <c r="G86" i="1"/>
  <c r="H86" i="1"/>
  <c r="I86" i="1"/>
  <c r="J86" i="1"/>
  <c r="B87" i="1"/>
  <c r="C87" i="1"/>
  <c r="D87" i="1"/>
  <c r="E87" i="1"/>
  <c r="F87" i="1"/>
  <c r="G87" i="1"/>
  <c r="H87" i="1"/>
  <c r="I87" i="1"/>
  <c r="J87" i="1"/>
  <c r="B88" i="1"/>
  <c r="C88" i="1"/>
  <c r="D88" i="1"/>
  <c r="E88" i="1"/>
  <c r="F88" i="1"/>
  <c r="G88" i="1"/>
  <c r="H88" i="1"/>
  <c r="I88" i="1"/>
  <c r="J88" i="1"/>
  <c r="B89" i="1"/>
  <c r="C89" i="1"/>
  <c r="D89" i="1"/>
  <c r="E89" i="1"/>
  <c r="F89" i="1"/>
  <c r="G89" i="1"/>
  <c r="H89" i="1"/>
  <c r="I89" i="1"/>
  <c r="J89" i="1"/>
  <c r="B90" i="1"/>
  <c r="C90" i="1"/>
  <c r="D90" i="1"/>
  <c r="E90" i="1"/>
  <c r="F90" i="1"/>
  <c r="G90" i="1"/>
  <c r="H90" i="1"/>
  <c r="I90" i="1"/>
  <c r="J90" i="1"/>
  <c r="B91" i="1"/>
  <c r="C91" i="1"/>
  <c r="D91" i="1"/>
  <c r="E91" i="1"/>
  <c r="F91" i="1"/>
  <c r="G91" i="1"/>
  <c r="H91" i="1"/>
  <c r="I91" i="1"/>
  <c r="J91" i="1"/>
  <c r="B92" i="1"/>
  <c r="C92" i="1"/>
  <c r="D92" i="1"/>
  <c r="E92" i="1"/>
  <c r="F92" i="1"/>
  <c r="G92" i="1"/>
  <c r="H92" i="1"/>
  <c r="I92" i="1"/>
  <c r="J92" i="1"/>
  <c r="B93" i="1"/>
  <c r="C93" i="1"/>
  <c r="D93" i="1"/>
  <c r="E93" i="1"/>
  <c r="F93" i="1"/>
  <c r="G93" i="1"/>
  <c r="H93" i="1"/>
  <c r="I93" i="1"/>
  <c r="J93" i="1"/>
  <c r="B94" i="1"/>
  <c r="C94" i="1"/>
  <c r="D94" i="1"/>
  <c r="E94" i="1"/>
  <c r="F94" i="1"/>
  <c r="G94" i="1"/>
  <c r="H94" i="1"/>
  <c r="I94" i="1"/>
  <c r="J94" i="1"/>
  <c r="B95" i="1"/>
  <c r="C95" i="1"/>
  <c r="D95" i="1"/>
  <c r="E95" i="1"/>
  <c r="F95" i="1"/>
  <c r="G95" i="1"/>
  <c r="H95" i="1"/>
  <c r="I95" i="1"/>
  <c r="J95" i="1"/>
  <c r="B96" i="1"/>
  <c r="C96" i="1"/>
  <c r="D96" i="1"/>
  <c r="E96" i="1"/>
  <c r="F96" i="1"/>
  <c r="G96" i="1"/>
  <c r="H96" i="1"/>
  <c r="I96" i="1"/>
  <c r="J96" i="1"/>
  <c r="B97" i="1"/>
  <c r="C97" i="1"/>
  <c r="D97" i="1"/>
  <c r="E97" i="1"/>
  <c r="F97" i="1"/>
  <c r="G97" i="1"/>
  <c r="H97" i="1"/>
  <c r="I97" i="1"/>
  <c r="J97" i="1"/>
  <c r="B98" i="1"/>
  <c r="C98" i="1"/>
  <c r="D98" i="1"/>
  <c r="E98" i="1"/>
  <c r="F98" i="1"/>
  <c r="G98" i="1"/>
  <c r="H98" i="1"/>
  <c r="I98" i="1"/>
  <c r="J98" i="1"/>
  <c r="B99" i="1"/>
  <c r="C99" i="1"/>
  <c r="D99" i="1"/>
  <c r="E99" i="1"/>
  <c r="F99" i="1"/>
  <c r="G99" i="1"/>
  <c r="H99" i="1"/>
  <c r="I99" i="1"/>
  <c r="J99" i="1"/>
  <c r="B100" i="1"/>
  <c r="C100" i="1"/>
  <c r="D100" i="1"/>
  <c r="E100" i="1"/>
  <c r="F100" i="1"/>
  <c r="G100" i="1"/>
  <c r="H100" i="1"/>
  <c r="I100" i="1"/>
  <c r="J100" i="1"/>
  <c r="B101" i="1"/>
  <c r="C101" i="1"/>
  <c r="D101" i="1"/>
  <c r="E101" i="1"/>
  <c r="F101" i="1"/>
  <c r="G101" i="1"/>
  <c r="H101" i="1"/>
  <c r="I101" i="1"/>
  <c r="J101" i="1"/>
  <c r="B102" i="1"/>
  <c r="C102" i="1"/>
  <c r="D102" i="1"/>
  <c r="E102" i="1"/>
  <c r="F102" i="1"/>
  <c r="G102" i="1"/>
  <c r="H102" i="1"/>
  <c r="I102" i="1"/>
  <c r="J102" i="1"/>
  <c r="B103" i="1"/>
  <c r="C103" i="1"/>
  <c r="D103" i="1"/>
  <c r="E103" i="1"/>
  <c r="F103" i="1"/>
  <c r="G103" i="1"/>
  <c r="H103" i="1"/>
  <c r="I103" i="1"/>
  <c r="J103" i="1"/>
  <c r="B104" i="1"/>
  <c r="C104" i="1"/>
  <c r="D104" i="1"/>
  <c r="E104" i="1"/>
  <c r="F104" i="1"/>
  <c r="G104" i="1"/>
  <c r="H104" i="1"/>
  <c r="I104" i="1"/>
  <c r="J104" i="1"/>
  <c r="B105" i="1"/>
  <c r="C105" i="1"/>
  <c r="D105" i="1"/>
  <c r="E105" i="1"/>
  <c r="F105" i="1"/>
  <c r="G105" i="1"/>
  <c r="H105" i="1"/>
  <c r="I105" i="1"/>
  <c r="J105" i="1"/>
  <c r="B106" i="1"/>
  <c r="C106" i="1"/>
  <c r="D106" i="1"/>
  <c r="E106" i="1"/>
  <c r="F106" i="1"/>
  <c r="G106" i="1"/>
  <c r="H106" i="1"/>
  <c r="I106" i="1"/>
  <c r="J106" i="1"/>
  <c r="B107" i="1"/>
  <c r="C107" i="1"/>
  <c r="D107" i="1"/>
  <c r="E107" i="1"/>
  <c r="F107" i="1"/>
  <c r="G107" i="1"/>
  <c r="H107" i="1"/>
  <c r="I107" i="1"/>
  <c r="J107" i="1"/>
  <c r="B108" i="1"/>
  <c r="C108" i="1"/>
  <c r="D108" i="1"/>
  <c r="E108" i="1"/>
  <c r="F108" i="1"/>
  <c r="G108" i="1"/>
  <c r="H108" i="1"/>
  <c r="I108" i="1"/>
  <c r="J108" i="1"/>
  <c r="B109" i="1"/>
  <c r="C109" i="1"/>
  <c r="D109" i="1"/>
  <c r="E109" i="1"/>
  <c r="F109" i="1"/>
  <c r="G109" i="1"/>
  <c r="H109" i="1"/>
  <c r="I109" i="1"/>
  <c r="J109" i="1"/>
  <c r="B110" i="1"/>
  <c r="C110" i="1"/>
  <c r="D110" i="1"/>
  <c r="E110" i="1"/>
  <c r="F110" i="1"/>
  <c r="G110" i="1"/>
  <c r="H110" i="1"/>
  <c r="I110" i="1"/>
  <c r="J110" i="1"/>
  <c r="B111" i="1"/>
  <c r="C111" i="1"/>
  <c r="D111" i="1"/>
  <c r="E111" i="1"/>
  <c r="F111" i="1"/>
  <c r="G111" i="1"/>
  <c r="H111" i="1"/>
  <c r="I111" i="1"/>
  <c r="J111" i="1"/>
  <c r="B112" i="1"/>
  <c r="C112" i="1"/>
  <c r="D112" i="1"/>
  <c r="E112" i="1"/>
  <c r="F112" i="1"/>
  <c r="G112" i="1"/>
  <c r="H112" i="1"/>
  <c r="I112" i="1"/>
  <c r="J112" i="1"/>
  <c r="B113" i="1"/>
  <c r="C113" i="1"/>
  <c r="D113" i="1"/>
  <c r="E113" i="1"/>
  <c r="F113" i="1"/>
  <c r="G113" i="1"/>
  <c r="H113" i="1"/>
  <c r="I113" i="1"/>
  <c r="J113" i="1"/>
  <c r="B114" i="1"/>
  <c r="C114" i="1"/>
  <c r="D114" i="1"/>
  <c r="E114" i="1"/>
  <c r="F114" i="1"/>
  <c r="G114" i="1"/>
  <c r="H114" i="1"/>
  <c r="I114" i="1"/>
  <c r="J114" i="1"/>
  <c r="B115" i="1"/>
  <c r="C115" i="1"/>
  <c r="D115" i="1"/>
  <c r="E115" i="1"/>
  <c r="F115" i="1"/>
  <c r="G115" i="1"/>
  <c r="H115" i="1"/>
  <c r="I115" i="1"/>
  <c r="J115" i="1"/>
  <c r="B116" i="1"/>
  <c r="C116" i="1"/>
  <c r="D116" i="1"/>
  <c r="E116" i="1"/>
  <c r="F116" i="1"/>
  <c r="G116" i="1"/>
  <c r="H116" i="1"/>
  <c r="I116" i="1"/>
  <c r="J116" i="1"/>
  <c r="B117" i="1"/>
  <c r="C117" i="1"/>
  <c r="D117" i="1"/>
  <c r="E117" i="1"/>
  <c r="F117" i="1"/>
  <c r="G117" i="1"/>
  <c r="H117" i="1"/>
  <c r="I117" i="1"/>
  <c r="J117" i="1"/>
  <c r="B118" i="1"/>
  <c r="C118" i="1"/>
  <c r="D118" i="1"/>
  <c r="E118" i="1"/>
  <c r="F118" i="1"/>
  <c r="G118" i="1"/>
  <c r="H118" i="1"/>
  <c r="I118" i="1"/>
  <c r="J118" i="1"/>
  <c r="B119" i="1"/>
  <c r="C119" i="1"/>
  <c r="D119" i="1"/>
  <c r="E119" i="1"/>
  <c r="F119" i="1"/>
  <c r="G119" i="1"/>
  <c r="H119" i="1"/>
  <c r="I119" i="1"/>
  <c r="J119" i="1"/>
  <c r="B120" i="1"/>
  <c r="C120" i="1"/>
  <c r="D120" i="1"/>
  <c r="E120" i="1"/>
  <c r="F120" i="1"/>
  <c r="G120" i="1"/>
  <c r="H120" i="1"/>
  <c r="I120" i="1"/>
  <c r="J120" i="1"/>
  <c r="B121" i="1"/>
  <c r="C121" i="1"/>
  <c r="D121" i="1"/>
  <c r="E121" i="1"/>
  <c r="F121" i="1"/>
  <c r="G121" i="1"/>
  <c r="H121" i="1"/>
  <c r="I121" i="1"/>
  <c r="J121" i="1"/>
  <c r="B122" i="1"/>
  <c r="C122" i="1"/>
  <c r="D122" i="1"/>
  <c r="E122" i="1"/>
  <c r="F122" i="1"/>
  <c r="G122" i="1"/>
  <c r="H122" i="1"/>
  <c r="I122" i="1"/>
  <c r="J122" i="1"/>
  <c r="B123" i="1"/>
  <c r="C123" i="1"/>
  <c r="D123" i="1"/>
  <c r="E123" i="1"/>
  <c r="F123" i="1"/>
  <c r="G123" i="1"/>
  <c r="H123" i="1"/>
  <c r="I123" i="1"/>
  <c r="J123" i="1"/>
  <c r="B124" i="1"/>
  <c r="C124" i="1"/>
  <c r="D124" i="1"/>
  <c r="E124" i="1"/>
  <c r="F124" i="1"/>
  <c r="G124" i="1"/>
  <c r="H124" i="1"/>
  <c r="I124" i="1"/>
  <c r="J124" i="1"/>
  <c r="B125" i="1"/>
  <c r="C125" i="1"/>
  <c r="D125" i="1"/>
  <c r="E125" i="1"/>
  <c r="F125" i="1"/>
  <c r="G125" i="1"/>
  <c r="H125" i="1"/>
  <c r="I125" i="1"/>
  <c r="J125" i="1"/>
  <c r="B126" i="1"/>
  <c r="C126" i="1"/>
  <c r="D126" i="1"/>
  <c r="E126" i="1"/>
  <c r="F126" i="1"/>
  <c r="G126" i="1"/>
  <c r="H126" i="1"/>
  <c r="I126" i="1"/>
  <c r="J126" i="1"/>
  <c r="B127" i="1"/>
  <c r="C127" i="1"/>
  <c r="D127" i="1"/>
  <c r="E127" i="1"/>
  <c r="F127" i="1"/>
  <c r="G127" i="1"/>
  <c r="H127" i="1"/>
  <c r="I127" i="1"/>
  <c r="J127" i="1"/>
  <c r="B128" i="1"/>
  <c r="C128" i="1"/>
  <c r="D128" i="1"/>
  <c r="E128" i="1"/>
  <c r="F128" i="1"/>
  <c r="G128" i="1"/>
  <c r="H128" i="1"/>
  <c r="I128" i="1"/>
  <c r="J128" i="1"/>
  <c r="B129" i="1"/>
  <c r="C129" i="1"/>
  <c r="D129" i="1"/>
  <c r="E129" i="1"/>
  <c r="F129" i="1"/>
  <c r="G129" i="1"/>
  <c r="H129" i="1"/>
  <c r="I129" i="1"/>
  <c r="J129" i="1"/>
  <c r="B130" i="1"/>
  <c r="C130" i="1"/>
  <c r="D130" i="1"/>
  <c r="E130" i="1"/>
  <c r="F130" i="1"/>
  <c r="G130" i="1"/>
  <c r="H130" i="1"/>
  <c r="I130" i="1"/>
  <c r="J130" i="1"/>
  <c r="B131" i="1"/>
  <c r="C131" i="1"/>
  <c r="D131" i="1"/>
  <c r="E131" i="1"/>
  <c r="F131" i="1"/>
  <c r="G131" i="1"/>
  <c r="H131" i="1"/>
  <c r="I131" i="1"/>
  <c r="J131" i="1"/>
  <c r="B132" i="1"/>
  <c r="C132" i="1"/>
  <c r="D132" i="1"/>
  <c r="E132" i="1"/>
  <c r="F132" i="1"/>
  <c r="G132" i="1"/>
  <c r="H132" i="1"/>
  <c r="I132" i="1"/>
  <c r="J132" i="1"/>
  <c r="B133" i="1"/>
  <c r="C133" i="1"/>
  <c r="D133" i="1"/>
  <c r="E133" i="1"/>
  <c r="F133" i="1"/>
  <c r="G133" i="1"/>
  <c r="H133" i="1"/>
  <c r="I133" i="1"/>
  <c r="J133" i="1"/>
  <c r="B134" i="1"/>
  <c r="C134" i="1"/>
  <c r="D134" i="1"/>
  <c r="E134" i="1"/>
  <c r="F134" i="1"/>
  <c r="G134" i="1"/>
  <c r="H134" i="1"/>
  <c r="I134" i="1"/>
  <c r="J134" i="1"/>
  <c r="B135" i="1"/>
  <c r="C135" i="1"/>
  <c r="D135" i="1"/>
  <c r="E135" i="1"/>
  <c r="F135" i="1"/>
  <c r="G135" i="1"/>
  <c r="H135" i="1"/>
  <c r="I135" i="1"/>
  <c r="J135" i="1"/>
  <c r="B136" i="1"/>
  <c r="C136" i="1"/>
  <c r="D136" i="1"/>
  <c r="E136" i="1"/>
  <c r="F136" i="1"/>
  <c r="G136" i="1"/>
  <c r="H136" i="1"/>
  <c r="I136" i="1"/>
  <c r="J136" i="1"/>
  <c r="B137" i="1"/>
  <c r="C137" i="1"/>
  <c r="D137" i="1"/>
  <c r="E137" i="1"/>
  <c r="F137" i="1"/>
  <c r="G137" i="1"/>
  <c r="H137" i="1"/>
  <c r="I137" i="1"/>
  <c r="J137" i="1"/>
  <c r="B138" i="1"/>
  <c r="C138" i="1"/>
  <c r="D138" i="1"/>
  <c r="E138" i="1"/>
  <c r="F138" i="1"/>
  <c r="G138" i="1"/>
  <c r="H138" i="1"/>
  <c r="I138" i="1"/>
  <c r="J138" i="1"/>
  <c r="B139" i="1"/>
  <c r="C139" i="1"/>
  <c r="D139" i="1"/>
  <c r="E139" i="1"/>
  <c r="F139" i="1"/>
  <c r="G139" i="1"/>
  <c r="H139" i="1"/>
  <c r="I139" i="1"/>
  <c r="J139" i="1"/>
  <c r="B140" i="1"/>
  <c r="C140" i="1"/>
  <c r="D140" i="1"/>
  <c r="E140" i="1"/>
  <c r="F140" i="1"/>
  <c r="G140" i="1"/>
  <c r="H140" i="1"/>
  <c r="I140" i="1"/>
  <c r="J140" i="1"/>
  <c r="B141" i="1"/>
  <c r="C141" i="1"/>
  <c r="D141" i="1"/>
  <c r="E141" i="1"/>
  <c r="F141" i="1"/>
  <c r="G141" i="1"/>
  <c r="H141" i="1"/>
  <c r="I141" i="1"/>
  <c r="J141" i="1"/>
  <c r="B142" i="1"/>
  <c r="C142" i="1"/>
  <c r="D142" i="1"/>
  <c r="E142" i="1"/>
  <c r="F142" i="1"/>
  <c r="G142" i="1"/>
  <c r="H142" i="1"/>
  <c r="I142" i="1"/>
  <c r="J142" i="1"/>
  <c r="B143" i="1"/>
  <c r="C143" i="1"/>
  <c r="D143" i="1"/>
  <c r="E143" i="1"/>
  <c r="F143" i="1"/>
  <c r="G143" i="1"/>
  <c r="H143" i="1"/>
  <c r="I143" i="1"/>
  <c r="J143" i="1"/>
  <c r="B144" i="1"/>
  <c r="C144" i="1"/>
  <c r="D144" i="1"/>
  <c r="E144" i="1"/>
  <c r="F144" i="1"/>
  <c r="G144" i="1"/>
  <c r="H144" i="1"/>
  <c r="I144" i="1"/>
  <c r="J144" i="1"/>
  <c r="B145" i="1"/>
  <c r="C145" i="1"/>
  <c r="D145" i="1"/>
  <c r="E145" i="1"/>
  <c r="F145" i="1"/>
  <c r="G145" i="1"/>
  <c r="H145" i="1"/>
  <c r="I145" i="1"/>
  <c r="J145" i="1"/>
  <c r="B146" i="1"/>
  <c r="C146" i="1"/>
  <c r="D146" i="1"/>
  <c r="E146" i="1"/>
  <c r="F146" i="1"/>
  <c r="G146" i="1"/>
  <c r="H146" i="1"/>
  <c r="I146" i="1"/>
  <c r="J146" i="1"/>
  <c r="B147" i="1"/>
  <c r="C147" i="1"/>
  <c r="D147" i="1"/>
  <c r="E147" i="1"/>
  <c r="F147" i="1"/>
  <c r="G147" i="1"/>
  <c r="H147" i="1"/>
  <c r="I147" i="1"/>
  <c r="J147" i="1"/>
  <c r="B148" i="1"/>
  <c r="C148" i="1"/>
  <c r="D148" i="1"/>
  <c r="E148" i="1"/>
  <c r="F148" i="1"/>
  <c r="G148" i="1"/>
  <c r="H148" i="1"/>
  <c r="I148" i="1"/>
  <c r="J148" i="1"/>
  <c r="B149" i="1"/>
  <c r="C149" i="1"/>
  <c r="D149" i="1"/>
  <c r="E149" i="1"/>
  <c r="F149" i="1"/>
  <c r="G149" i="1"/>
  <c r="H149" i="1"/>
  <c r="I149" i="1"/>
  <c r="J149" i="1"/>
  <c r="B150" i="1"/>
  <c r="C150" i="1"/>
  <c r="D150" i="1"/>
  <c r="E150" i="1"/>
  <c r="F150" i="1"/>
  <c r="G150" i="1"/>
  <c r="H150" i="1"/>
  <c r="I150" i="1"/>
  <c r="J150" i="1"/>
  <c r="B151" i="1"/>
  <c r="C151" i="1"/>
  <c r="D151" i="1"/>
  <c r="E151" i="1"/>
  <c r="F151" i="1"/>
  <c r="G151" i="1"/>
  <c r="H151" i="1"/>
  <c r="I151" i="1"/>
  <c r="J151" i="1"/>
  <c r="B152" i="1"/>
  <c r="C152" i="1"/>
  <c r="D152" i="1"/>
  <c r="E152" i="1"/>
  <c r="F152" i="1"/>
  <c r="G152" i="1"/>
  <c r="H152" i="1"/>
  <c r="I152" i="1"/>
  <c r="J152" i="1"/>
  <c r="B153" i="1"/>
  <c r="C153" i="1"/>
  <c r="D153" i="1"/>
  <c r="E153" i="1"/>
  <c r="F153" i="1"/>
  <c r="G153" i="1"/>
  <c r="H153" i="1"/>
  <c r="I153" i="1"/>
  <c r="J153" i="1"/>
  <c r="B154" i="1"/>
  <c r="C154" i="1"/>
  <c r="D154" i="1"/>
  <c r="E154" i="1"/>
  <c r="F154" i="1"/>
  <c r="G154" i="1"/>
  <c r="H154" i="1"/>
  <c r="I154" i="1"/>
  <c r="J154" i="1"/>
  <c r="B155" i="1"/>
  <c r="C155" i="1"/>
  <c r="D155" i="1"/>
  <c r="E155" i="1"/>
  <c r="F155" i="1"/>
  <c r="G155" i="1"/>
  <c r="H155" i="1"/>
  <c r="I155" i="1"/>
  <c r="J155" i="1"/>
  <c r="B156" i="1"/>
  <c r="C156" i="1"/>
  <c r="D156" i="1"/>
  <c r="E156" i="1"/>
  <c r="F156" i="1"/>
  <c r="G156" i="1"/>
  <c r="H156" i="1"/>
  <c r="I156" i="1"/>
  <c r="J156" i="1"/>
  <c r="B157" i="1"/>
  <c r="C157" i="1"/>
  <c r="D157" i="1"/>
  <c r="E157" i="1"/>
  <c r="F157" i="1"/>
  <c r="G157" i="1"/>
  <c r="H157" i="1"/>
  <c r="I157" i="1"/>
  <c r="J157" i="1"/>
  <c r="B158" i="1"/>
  <c r="C158" i="1"/>
  <c r="D158" i="1"/>
  <c r="E158" i="1"/>
  <c r="F158" i="1"/>
  <c r="G158" i="1"/>
  <c r="H158" i="1"/>
  <c r="I158" i="1"/>
  <c r="J158" i="1"/>
  <c r="B159" i="1"/>
  <c r="C159" i="1"/>
  <c r="D159" i="1"/>
  <c r="E159" i="1"/>
  <c r="F159" i="1"/>
  <c r="G159" i="1"/>
  <c r="H159" i="1"/>
  <c r="I159" i="1"/>
  <c r="J159" i="1"/>
  <c r="B160" i="1"/>
  <c r="C160" i="1"/>
  <c r="D160" i="1"/>
  <c r="E160" i="1"/>
  <c r="F160" i="1"/>
  <c r="G160" i="1"/>
  <c r="H160" i="1"/>
  <c r="I160" i="1"/>
  <c r="J160" i="1"/>
  <c r="B161" i="1"/>
  <c r="C161" i="1"/>
  <c r="D161" i="1"/>
  <c r="E161" i="1"/>
  <c r="F161" i="1"/>
  <c r="G161" i="1"/>
  <c r="H161" i="1"/>
  <c r="I161" i="1"/>
  <c r="J161" i="1"/>
  <c r="B162" i="1"/>
  <c r="C162" i="1"/>
  <c r="D162" i="1"/>
  <c r="E162" i="1"/>
  <c r="F162" i="1"/>
  <c r="G162" i="1"/>
  <c r="H162" i="1"/>
  <c r="I162" i="1"/>
  <c r="J162" i="1"/>
  <c r="B163" i="1"/>
  <c r="C163" i="1"/>
  <c r="D163" i="1"/>
  <c r="E163" i="1"/>
  <c r="F163" i="1"/>
  <c r="G163" i="1"/>
  <c r="H163" i="1"/>
  <c r="I163" i="1"/>
  <c r="J163" i="1"/>
  <c r="B164" i="1"/>
  <c r="C164" i="1"/>
  <c r="D164" i="1"/>
  <c r="E164" i="1"/>
  <c r="F164" i="1"/>
  <c r="G164" i="1"/>
  <c r="H164" i="1"/>
  <c r="I164" i="1"/>
  <c r="J164" i="1"/>
  <c r="B165" i="1"/>
  <c r="C165" i="1"/>
  <c r="D165" i="1"/>
  <c r="E165" i="1"/>
  <c r="F165" i="1"/>
  <c r="G165" i="1"/>
  <c r="H165" i="1"/>
  <c r="I165" i="1"/>
  <c r="J165" i="1"/>
  <c r="B166" i="1"/>
  <c r="C166" i="1"/>
  <c r="D166" i="1"/>
  <c r="E166" i="1"/>
  <c r="F166" i="1"/>
  <c r="G166" i="1"/>
  <c r="H166" i="1"/>
  <c r="I166" i="1"/>
  <c r="J166" i="1"/>
  <c r="B167" i="1"/>
  <c r="C167" i="1"/>
  <c r="D167" i="1"/>
  <c r="E167" i="1"/>
  <c r="F167" i="1"/>
  <c r="G167" i="1"/>
  <c r="H167" i="1"/>
  <c r="I167" i="1"/>
  <c r="J167" i="1"/>
  <c r="B168" i="1"/>
  <c r="C168" i="1"/>
  <c r="D168" i="1"/>
  <c r="E168" i="1"/>
  <c r="F168" i="1"/>
  <c r="G168" i="1"/>
  <c r="H168" i="1"/>
  <c r="I168" i="1"/>
  <c r="J168" i="1"/>
  <c r="B169" i="1"/>
  <c r="C169" i="1"/>
  <c r="D169" i="1"/>
  <c r="E169" i="1"/>
  <c r="F169" i="1"/>
  <c r="G169" i="1"/>
  <c r="H169" i="1"/>
  <c r="I169" i="1"/>
  <c r="J169" i="1"/>
  <c r="B170" i="1"/>
  <c r="C170" i="1"/>
  <c r="D170" i="1"/>
  <c r="E170" i="1"/>
  <c r="F170" i="1"/>
  <c r="G170" i="1"/>
  <c r="H170" i="1"/>
  <c r="I170" i="1"/>
  <c r="J170" i="1"/>
  <c r="B171" i="1"/>
  <c r="C171" i="1"/>
  <c r="D171" i="1"/>
  <c r="E171" i="1"/>
  <c r="F171" i="1"/>
  <c r="G171" i="1"/>
  <c r="H171" i="1"/>
  <c r="I171" i="1"/>
  <c r="J171" i="1"/>
  <c r="B172" i="1"/>
  <c r="C172" i="1"/>
  <c r="D172" i="1"/>
  <c r="E172" i="1"/>
  <c r="F172" i="1"/>
  <c r="G172" i="1"/>
  <c r="H172" i="1"/>
  <c r="I172" i="1"/>
  <c r="J172" i="1"/>
  <c r="B173" i="1"/>
  <c r="C173" i="1"/>
  <c r="D173" i="1"/>
  <c r="E173" i="1"/>
  <c r="F173" i="1"/>
  <c r="G173" i="1"/>
  <c r="H173" i="1"/>
  <c r="I173" i="1"/>
  <c r="J173" i="1"/>
  <c r="B174" i="1"/>
  <c r="C174" i="1"/>
  <c r="D174" i="1"/>
  <c r="E174" i="1"/>
  <c r="F174" i="1"/>
  <c r="G174" i="1"/>
  <c r="H174" i="1"/>
  <c r="I174" i="1"/>
  <c r="J174" i="1"/>
  <c r="B175" i="1"/>
  <c r="C175" i="1"/>
  <c r="D175" i="1"/>
  <c r="E175" i="1"/>
  <c r="F175" i="1"/>
  <c r="G175" i="1"/>
  <c r="H175" i="1"/>
  <c r="I175" i="1"/>
  <c r="J175" i="1"/>
  <c r="B176" i="1"/>
  <c r="C176" i="1"/>
  <c r="D176" i="1"/>
  <c r="E176" i="1"/>
  <c r="F176" i="1"/>
  <c r="G176" i="1"/>
  <c r="H176" i="1"/>
  <c r="I176" i="1"/>
  <c r="J176" i="1"/>
  <c r="B177" i="1"/>
  <c r="C177" i="1"/>
  <c r="D177" i="1"/>
  <c r="E177" i="1"/>
  <c r="F177" i="1"/>
  <c r="G177" i="1"/>
  <c r="H177" i="1"/>
  <c r="I177" i="1"/>
  <c r="J177" i="1"/>
  <c r="B178" i="1"/>
  <c r="C178" i="1"/>
  <c r="D178" i="1"/>
  <c r="E178" i="1"/>
  <c r="F178" i="1"/>
  <c r="G178" i="1"/>
  <c r="H178" i="1"/>
  <c r="I178" i="1"/>
  <c r="J178" i="1"/>
  <c r="B179" i="1"/>
  <c r="C179" i="1"/>
  <c r="D179" i="1"/>
  <c r="E179" i="1"/>
  <c r="F179" i="1"/>
  <c r="G179" i="1"/>
  <c r="H179" i="1"/>
  <c r="I179" i="1"/>
  <c r="J179" i="1"/>
  <c r="B180" i="1"/>
  <c r="C180" i="1"/>
  <c r="D180" i="1"/>
  <c r="E180" i="1"/>
  <c r="F180" i="1"/>
  <c r="G180" i="1"/>
  <c r="H180" i="1"/>
  <c r="I180" i="1"/>
  <c r="J180" i="1"/>
  <c r="B181" i="1"/>
  <c r="C181" i="1"/>
  <c r="D181" i="1"/>
  <c r="E181" i="1"/>
  <c r="F181" i="1"/>
  <c r="G181" i="1"/>
  <c r="H181" i="1"/>
  <c r="I181" i="1"/>
  <c r="J181" i="1"/>
  <c r="B182" i="1"/>
  <c r="C182" i="1"/>
  <c r="D182" i="1"/>
  <c r="E182" i="1"/>
  <c r="F182" i="1"/>
  <c r="G182" i="1"/>
  <c r="H182" i="1"/>
  <c r="I182" i="1"/>
  <c r="J182" i="1"/>
  <c r="B183" i="1"/>
  <c r="C183" i="1"/>
  <c r="D183" i="1"/>
  <c r="E183" i="1"/>
  <c r="F183" i="1"/>
  <c r="G183" i="1"/>
  <c r="H183" i="1"/>
  <c r="I183" i="1"/>
  <c r="J183" i="1"/>
  <c r="B184" i="1"/>
  <c r="C184" i="1"/>
  <c r="D184" i="1"/>
  <c r="E184" i="1"/>
  <c r="F184" i="1"/>
  <c r="G184" i="1"/>
  <c r="H184" i="1"/>
  <c r="I184" i="1"/>
  <c r="J184" i="1"/>
  <c r="B185" i="1"/>
  <c r="C185" i="1"/>
  <c r="D185" i="1"/>
  <c r="E185" i="1"/>
  <c r="F185" i="1"/>
  <c r="G185" i="1"/>
  <c r="H185" i="1"/>
  <c r="I185" i="1"/>
  <c r="J185" i="1"/>
  <c r="B186" i="1"/>
  <c r="C186" i="1"/>
  <c r="D186" i="1"/>
  <c r="E186" i="1"/>
  <c r="F186" i="1"/>
  <c r="G186" i="1"/>
  <c r="H186" i="1"/>
  <c r="I186" i="1"/>
  <c r="J186" i="1"/>
  <c r="B187" i="1"/>
  <c r="C187" i="1"/>
  <c r="D187" i="1"/>
  <c r="E187" i="1"/>
  <c r="F187" i="1"/>
  <c r="G187" i="1"/>
  <c r="H187" i="1"/>
  <c r="I187" i="1"/>
  <c r="J187" i="1"/>
  <c r="B188" i="1"/>
  <c r="C188" i="1"/>
  <c r="D188" i="1"/>
  <c r="E188" i="1"/>
  <c r="F188" i="1"/>
  <c r="G188" i="1"/>
  <c r="H188" i="1"/>
  <c r="I188" i="1"/>
  <c r="J188" i="1"/>
  <c r="B189" i="1"/>
  <c r="C189" i="1"/>
  <c r="D189" i="1"/>
  <c r="E189" i="1"/>
  <c r="F189" i="1"/>
  <c r="G189" i="1"/>
  <c r="H189" i="1"/>
  <c r="I189" i="1"/>
  <c r="J189" i="1"/>
  <c r="B190" i="1"/>
  <c r="C190" i="1"/>
  <c r="D190" i="1"/>
  <c r="E190" i="1"/>
  <c r="F190" i="1"/>
  <c r="G190" i="1"/>
  <c r="H190" i="1"/>
  <c r="I190" i="1"/>
  <c r="J190" i="1"/>
  <c r="B191" i="1"/>
  <c r="C191" i="1"/>
  <c r="D191" i="1"/>
  <c r="E191" i="1"/>
  <c r="F191" i="1"/>
  <c r="G191" i="1"/>
  <c r="H191" i="1"/>
  <c r="I191" i="1"/>
  <c r="J191" i="1"/>
  <c r="B192" i="1"/>
  <c r="C192" i="1"/>
  <c r="D192" i="1"/>
  <c r="E192" i="1"/>
  <c r="F192" i="1"/>
  <c r="G192" i="1"/>
  <c r="H192" i="1"/>
  <c r="I192" i="1"/>
  <c r="J192" i="1"/>
  <c r="B193" i="1"/>
  <c r="C193" i="1"/>
  <c r="D193" i="1"/>
  <c r="E193" i="1"/>
  <c r="F193" i="1"/>
  <c r="G193" i="1"/>
  <c r="H193" i="1"/>
  <c r="I193" i="1"/>
  <c r="J193" i="1"/>
  <c r="B194" i="1"/>
  <c r="C194" i="1"/>
  <c r="D194" i="1"/>
  <c r="E194" i="1"/>
  <c r="F194" i="1"/>
  <c r="G194" i="1"/>
  <c r="H194" i="1"/>
  <c r="I194" i="1"/>
  <c r="J194" i="1"/>
  <c r="B195" i="1"/>
  <c r="C195" i="1"/>
  <c r="D195" i="1"/>
  <c r="E195" i="1"/>
  <c r="F195" i="1"/>
  <c r="G195" i="1"/>
  <c r="H195" i="1"/>
  <c r="I195" i="1"/>
  <c r="J195" i="1"/>
  <c r="B196" i="1"/>
  <c r="C196" i="1"/>
  <c r="D196" i="1"/>
  <c r="E196" i="1"/>
  <c r="F196" i="1"/>
  <c r="G196" i="1"/>
  <c r="H196" i="1"/>
  <c r="I196" i="1"/>
  <c r="J196" i="1"/>
  <c r="B197" i="1"/>
  <c r="C197" i="1"/>
  <c r="D197" i="1"/>
  <c r="E197" i="1"/>
  <c r="F197" i="1"/>
  <c r="G197" i="1"/>
  <c r="H197" i="1"/>
  <c r="I197" i="1"/>
  <c r="J197" i="1"/>
  <c r="B198" i="1"/>
  <c r="C198" i="1"/>
  <c r="D198" i="1"/>
  <c r="E198" i="1"/>
  <c r="F198" i="1"/>
  <c r="G198" i="1"/>
  <c r="H198" i="1"/>
  <c r="I198" i="1"/>
  <c r="J198" i="1"/>
  <c r="B199" i="1"/>
  <c r="C199" i="1"/>
  <c r="D199" i="1"/>
  <c r="E199" i="1"/>
  <c r="F199" i="1"/>
  <c r="G199" i="1"/>
  <c r="H199" i="1"/>
  <c r="I199" i="1"/>
  <c r="J199" i="1"/>
  <c r="B200" i="1"/>
  <c r="C200" i="1"/>
  <c r="D200" i="1"/>
  <c r="E200" i="1"/>
  <c r="F200" i="1"/>
  <c r="G200" i="1"/>
  <c r="H200" i="1"/>
  <c r="I200" i="1"/>
  <c r="J200" i="1"/>
  <c r="B201" i="1"/>
  <c r="C201" i="1"/>
  <c r="D201" i="1"/>
  <c r="E201" i="1"/>
  <c r="F201" i="1"/>
  <c r="G201" i="1"/>
  <c r="H201" i="1"/>
  <c r="I201" i="1"/>
  <c r="J201" i="1"/>
  <c r="B202" i="1"/>
  <c r="C202" i="1"/>
  <c r="D202" i="1"/>
  <c r="E202" i="1"/>
  <c r="F202" i="1"/>
  <c r="G202" i="1"/>
  <c r="H202" i="1"/>
  <c r="I202" i="1"/>
  <c r="J202" i="1"/>
  <c r="B203" i="1"/>
  <c r="C203" i="1"/>
  <c r="D203" i="1"/>
  <c r="E203" i="1"/>
  <c r="F203" i="1"/>
  <c r="G203" i="1"/>
  <c r="H203" i="1"/>
  <c r="I203" i="1"/>
  <c r="J203" i="1"/>
  <c r="B204" i="1"/>
  <c r="C204" i="1"/>
  <c r="D204" i="1"/>
  <c r="E204" i="1"/>
  <c r="F204" i="1"/>
  <c r="G204" i="1"/>
  <c r="H204" i="1"/>
  <c r="I204" i="1"/>
  <c r="J204" i="1"/>
  <c r="B205" i="1"/>
  <c r="C205" i="1"/>
  <c r="D205" i="1"/>
  <c r="E205" i="1"/>
  <c r="F205" i="1"/>
  <c r="G205" i="1"/>
  <c r="H205" i="1"/>
  <c r="I205" i="1"/>
  <c r="J205" i="1"/>
  <c r="B206" i="1"/>
  <c r="C206" i="1"/>
  <c r="D206" i="1"/>
  <c r="E206" i="1"/>
  <c r="F206" i="1"/>
  <c r="G206" i="1"/>
  <c r="H206" i="1"/>
  <c r="I206" i="1"/>
  <c r="J206" i="1"/>
  <c r="B207" i="1"/>
  <c r="C207" i="1"/>
  <c r="D207" i="1"/>
  <c r="E207" i="1"/>
  <c r="F207" i="1"/>
  <c r="G207" i="1"/>
  <c r="H207" i="1"/>
  <c r="I207" i="1"/>
  <c r="J207" i="1"/>
  <c r="B208" i="1"/>
  <c r="C208" i="1"/>
  <c r="D208" i="1"/>
  <c r="E208" i="1"/>
  <c r="F208" i="1"/>
  <c r="G208" i="1"/>
  <c r="H208" i="1"/>
  <c r="I208" i="1"/>
  <c r="J208" i="1"/>
  <c r="B209" i="1"/>
  <c r="C209" i="1"/>
  <c r="D209" i="1"/>
  <c r="E209" i="1"/>
  <c r="F209" i="1"/>
  <c r="G209" i="1"/>
  <c r="H209" i="1"/>
  <c r="I209" i="1"/>
  <c r="J209" i="1"/>
  <c r="B210" i="1"/>
  <c r="C210" i="1"/>
  <c r="D210" i="1"/>
  <c r="E210" i="1"/>
  <c r="F210" i="1"/>
  <c r="G210" i="1"/>
  <c r="H210" i="1"/>
  <c r="I210" i="1"/>
  <c r="J210" i="1"/>
  <c r="B211" i="1"/>
  <c r="C211" i="1"/>
  <c r="D211" i="1"/>
  <c r="E211" i="1"/>
  <c r="F211" i="1"/>
  <c r="G211" i="1"/>
  <c r="H211" i="1"/>
  <c r="I211" i="1"/>
  <c r="J211" i="1"/>
  <c r="B212" i="1"/>
  <c r="C212" i="1"/>
  <c r="D212" i="1"/>
  <c r="E212" i="1"/>
  <c r="F212" i="1"/>
  <c r="G212" i="1"/>
  <c r="H212" i="1"/>
  <c r="I212" i="1"/>
  <c r="J212" i="1"/>
  <c r="B213" i="1"/>
  <c r="C213" i="1"/>
  <c r="D213" i="1"/>
  <c r="E213" i="1"/>
  <c r="F213" i="1"/>
  <c r="G213" i="1"/>
  <c r="H213" i="1"/>
  <c r="I213" i="1"/>
  <c r="J213" i="1"/>
  <c r="B214" i="1"/>
  <c r="C214" i="1"/>
  <c r="D214" i="1"/>
  <c r="E214" i="1"/>
  <c r="F214" i="1"/>
  <c r="G214" i="1"/>
  <c r="H214" i="1"/>
  <c r="I214" i="1"/>
  <c r="J214" i="1"/>
  <c r="B215" i="1"/>
  <c r="C215" i="1"/>
  <c r="D215" i="1"/>
  <c r="E215" i="1"/>
  <c r="F215" i="1"/>
  <c r="G215" i="1"/>
  <c r="H215" i="1"/>
  <c r="I215" i="1"/>
  <c r="J215" i="1"/>
  <c r="B216" i="1"/>
  <c r="C216" i="1"/>
  <c r="D216" i="1"/>
  <c r="E216" i="1"/>
  <c r="F216" i="1"/>
  <c r="G216" i="1"/>
  <c r="H216" i="1"/>
  <c r="I216" i="1"/>
  <c r="J216" i="1"/>
  <c r="B217" i="1"/>
  <c r="C217" i="1"/>
  <c r="D217" i="1"/>
  <c r="E217" i="1"/>
  <c r="F217" i="1"/>
  <c r="G217" i="1"/>
  <c r="H217" i="1"/>
  <c r="I217" i="1"/>
  <c r="J217" i="1"/>
  <c r="B218" i="1"/>
  <c r="C218" i="1"/>
  <c r="D218" i="1"/>
  <c r="E218" i="1"/>
  <c r="F218" i="1"/>
  <c r="G218" i="1"/>
  <c r="H218" i="1"/>
  <c r="I218" i="1"/>
  <c r="J218" i="1"/>
  <c r="B219" i="1"/>
  <c r="C219" i="1"/>
  <c r="D219" i="1"/>
  <c r="E219" i="1"/>
  <c r="F219" i="1"/>
  <c r="G219" i="1"/>
  <c r="H219" i="1"/>
  <c r="I219" i="1"/>
  <c r="J219" i="1"/>
  <c r="B220" i="1"/>
  <c r="C220" i="1"/>
  <c r="D220" i="1"/>
  <c r="E220" i="1"/>
  <c r="F220" i="1"/>
  <c r="G220" i="1"/>
  <c r="H220" i="1"/>
  <c r="I220" i="1"/>
  <c r="J220" i="1"/>
  <c r="B221" i="1"/>
  <c r="C221" i="1"/>
  <c r="D221" i="1"/>
  <c r="E221" i="1"/>
  <c r="F221" i="1"/>
  <c r="G221" i="1"/>
  <c r="H221" i="1"/>
  <c r="I221" i="1"/>
  <c r="J221" i="1"/>
  <c r="B222" i="1"/>
  <c r="C222" i="1"/>
  <c r="D222" i="1"/>
  <c r="E222" i="1"/>
  <c r="F222" i="1"/>
  <c r="G222" i="1"/>
  <c r="H222" i="1"/>
  <c r="I222" i="1"/>
  <c r="J222" i="1"/>
  <c r="B223" i="1"/>
  <c r="C223" i="1"/>
  <c r="D223" i="1"/>
  <c r="E223" i="1"/>
  <c r="F223" i="1"/>
  <c r="G223" i="1"/>
  <c r="H223" i="1"/>
  <c r="I223" i="1"/>
  <c r="J223" i="1"/>
  <c r="B224" i="1"/>
  <c r="C224" i="1"/>
  <c r="D224" i="1"/>
  <c r="E224" i="1"/>
  <c r="F224" i="1"/>
  <c r="G224" i="1"/>
  <c r="H224" i="1"/>
  <c r="I224" i="1"/>
  <c r="J224" i="1"/>
  <c r="B225" i="1"/>
  <c r="C225" i="1"/>
  <c r="D225" i="1"/>
  <c r="E225" i="1"/>
  <c r="F225" i="1"/>
  <c r="G225" i="1"/>
  <c r="H225" i="1"/>
  <c r="I225" i="1"/>
  <c r="J225" i="1"/>
  <c r="B226" i="1"/>
  <c r="C226" i="1"/>
  <c r="D226" i="1"/>
  <c r="E226" i="1"/>
  <c r="F226" i="1"/>
  <c r="G226" i="1"/>
  <c r="H226" i="1"/>
  <c r="I226" i="1"/>
  <c r="J226" i="1"/>
  <c r="B227" i="1"/>
  <c r="C227" i="1"/>
  <c r="D227" i="1"/>
  <c r="E227" i="1"/>
  <c r="F227" i="1"/>
  <c r="G227" i="1"/>
  <c r="H227" i="1"/>
  <c r="I227" i="1"/>
  <c r="J227" i="1"/>
  <c r="B228" i="1"/>
  <c r="C228" i="1"/>
  <c r="D228" i="1"/>
  <c r="E228" i="1"/>
  <c r="F228" i="1"/>
  <c r="G228" i="1"/>
  <c r="H228" i="1"/>
  <c r="I228" i="1"/>
  <c r="J228" i="1"/>
  <c r="B229" i="1"/>
  <c r="C229" i="1"/>
  <c r="D229" i="1"/>
  <c r="E229" i="1"/>
  <c r="F229" i="1"/>
  <c r="G229" i="1"/>
  <c r="H229" i="1"/>
  <c r="I229" i="1"/>
  <c r="J229" i="1"/>
  <c r="B230" i="1"/>
  <c r="C230" i="1"/>
  <c r="D230" i="1"/>
  <c r="E230" i="1"/>
  <c r="F230" i="1"/>
  <c r="G230" i="1"/>
  <c r="H230" i="1"/>
  <c r="I230" i="1"/>
  <c r="J230" i="1"/>
  <c r="B231" i="1"/>
  <c r="C231" i="1"/>
  <c r="D231" i="1"/>
  <c r="E231" i="1"/>
  <c r="F231" i="1"/>
  <c r="G231" i="1"/>
  <c r="H231" i="1"/>
  <c r="I231" i="1"/>
  <c r="J231" i="1"/>
  <c r="B232" i="1"/>
  <c r="C232" i="1"/>
  <c r="D232" i="1"/>
  <c r="E232" i="1"/>
  <c r="F232" i="1"/>
  <c r="G232" i="1"/>
  <c r="H232" i="1"/>
  <c r="I232" i="1"/>
  <c r="J232" i="1"/>
  <c r="B233" i="1"/>
  <c r="C233" i="1"/>
  <c r="D233" i="1"/>
  <c r="E233" i="1"/>
  <c r="F233" i="1"/>
  <c r="G233" i="1"/>
  <c r="H233" i="1"/>
  <c r="I233" i="1"/>
  <c r="J233" i="1"/>
  <c r="B234" i="1"/>
  <c r="C234" i="1"/>
  <c r="D234" i="1"/>
  <c r="E234" i="1"/>
  <c r="F234" i="1"/>
  <c r="G234" i="1"/>
  <c r="H234" i="1"/>
  <c r="I234" i="1"/>
  <c r="J234" i="1"/>
  <c r="B235" i="1"/>
  <c r="C235" i="1"/>
  <c r="D235" i="1"/>
  <c r="E235" i="1"/>
  <c r="F235" i="1"/>
  <c r="G235" i="1"/>
  <c r="H235" i="1"/>
  <c r="I235" i="1"/>
  <c r="J235" i="1"/>
  <c r="B236" i="1"/>
  <c r="C236" i="1"/>
  <c r="D236" i="1"/>
  <c r="E236" i="1"/>
  <c r="F236" i="1"/>
  <c r="G236" i="1"/>
  <c r="H236" i="1"/>
  <c r="I236" i="1"/>
  <c r="J236" i="1"/>
  <c r="B237" i="1"/>
  <c r="C237" i="1"/>
  <c r="D237" i="1"/>
  <c r="E237" i="1"/>
  <c r="F237" i="1"/>
  <c r="G237" i="1"/>
  <c r="H237" i="1"/>
  <c r="I237" i="1"/>
  <c r="J237" i="1"/>
  <c r="B238" i="1"/>
  <c r="C238" i="1"/>
  <c r="D238" i="1"/>
  <c r="E238" i="1"/>
  <c r="F238" i="1"/>
  <c r="G238" i="1"/>
  <c r="H238" i="1"/>
  <c r="I238" i="1"/>
  <c r="J238" i="1"/>
  <c r="B239" i="1"/>
  <c r="C239" i="1"/>
  <c r="D239" i="1"/>
  <c r="E239" i="1"/>
  <c r="F239" i="1"/>
  <c r="G239" i="1"/>
  <c r="H239" i="1"/>
  <c r="I239" i="1"/>
  <c r="J239" i="1"/>
  <c r="B240" i="1"/>
  <c r="C240" i="1"/>
  <c r="D240" i="1"/>
  <c r="E240" i="1"/>
  <c r="F240" i="1"/>
  <c r="G240" i="1"/>
  <c r="H240" i="1"/>
  <c r="I240" i="1"/>
  <c r="J240" i="1"/>
  <c r="B241" i="1"/>
  <c r="C241" i="1"/>
  <c r="D241" i="1"/>
  <c r="E241" i="1"/>
  <c r="F241" i="1"/>
  <c r="G241" i="1"/>
  <c r="H241" i="1"/>
  <c r="I241" i="1"/>
  <c r="J241" i="1"/>
  <c r="B242" i="1"/>
  <c r="C242" i="1"/>
  <c r="D242" i="1"/>
  <c r="E242" i="1"/>
  <c r="F242" i="1"/>
  <c r="G242" i="1"/>
  <c r="H242" i="1"/>
  <c r="I242" i="1"/>
  <c r="J242" i="1"/>
  <c r="B243" i="1"/>
  <c r="C243" i="1"/>
  <c r="D243" i="1"/>
  <c r="E243" i="1"/>
  <c r="F243" i="1"/>
  <c r="G243" i="1"/>
  <c r="H243" i="1"/>
  <c r="I243" i="1"/>
  <c r="J243" i="1"/>
  <c r="B244" i="1"/>
  <c r="C244" i="1"/>
  <c r="D244" i="1"/>
  <c r="E244" i="1"/>
  <c r="F244" i="1"/>
  <c r="G244" i="1"/>
  <c r="H244" i="1"/>
  <c r="I244" i="1"/>
  <c r="J244" i="1"/>
  <c r="B245" i="1"/>
  <c r="C245" i="1"/>
  <c r="D245" i="1"/>
  <c r="E245" i="1"/>
  <c r="F245" i="1"/>
  <c r="G245" i="1"/>
  <c r="H245" i="1"/>
  <c r="I245" i="1"/>
  <c r="J245" i="1"/>
  <c r="B246" i="1"/>
  <c r="C246" i="1"/>
  <c r="D246" i="1"/>
  <c r="E246" i="1"/>
  <c r="F246" i="1"/>
  <c r="G246" i="1"/>
  <c r="H246" i="1"/>
  <c r="I246" i="1"/>
  <c r="J246" i="1"/>
  <c r="B247" i="1"/>
  <c r="C247" i="1"/>
  <c r="D247" i="1"/>
  <c r="E247" i="1"/>
  <c r="F247" i="1"/>
  <c r="G247" i="1"/>
  <c r="H247" i="1"/>
  <c r="I247" i="1"/>
  <c r="J247" i="1"/>
  <c r="B248" i="1"/>
  <c r="C248" i="1"/>
  <c r="D248" i="1"/>
  <c r="E248" i="1"/>
  <c r="F248" i="1"/>
  <c r="G248" i="1"/>
  <c r="H248" i="1"/>
  <c r="I248" i="1"/>
  <c r="J248" i="1"/>
  <c r="B249" i="1"/>
  <c r="C249" i="1"/>
  <c r="D249" i="1"/>
  <c r="E249" i="1"/>
  <c r="F249" i="1"/>
  <c r="G249" i="1"/>
  <c r="H249" i="1"/>
  <c r="I249" i="1"/>
  <c r="J249" i="1"/>
  <c r="B250" i="1"/>
  <c r="C250" i="1"/>
  <c r="D250" i="1"/>
  <c r="E250" i="1"/>
  <c r="F250" i="1"/>
  <c r="G250" i="1"/>
  <c r="H250" i="1"/>
  <c r="I250" i="1"/>
  <c r="J250" i="1"/>
  <c r="B251" i="1"/>
  <c r="C251" i="1"/>
  <c r="D251" i="1"/>
  <c r="E251" i="1"/>
  <c r="F251" i="1"/>
  <c r="G251" i="1"/>
  <c r="H251" i="1"/>
  <c r="I251" i="1"/>
  <c r="J251" i="1"/>
  <c r="B252" i="1"/>
  <c r="C252" i="1"/>
  <c r="D252" i="1"/>
  <c r="E252" i="1"/>
  <c r="F252" i="1"/>
  <c r="G252" i="1"/>
  <c r="H252" i="1"/>
  <c r="I252" i="1"/>
  <c r="J252" i="1"/>
  <c r="B253" i="1"/>
  <c r="C253" i="1"/>
  <c r="D253" i="1"/>
  <c r="E253" i="1"/>
  <c r="F253" i="1"/>
  <c r="G253" i="1"/>
  <c r="H253" i="1"/>
  <c r="I253" i="1"/>
  <c r="J253" i="1"/>
  <c r="B254" i="1"/>
  <c r="C254" i="1"/>
  <c r="D254" i="1"/>
  <c r="E254" i="1"/>
  <c r="F254" i="1"/>
  <c r="G254" i="1"/>
  <c r="H254" i="1"/>
  <c r="I254" i="1"/>
  <c r="J254" i="1"/>
  <c r="B255" i="1"/>
  <c r="C255" i="1"/>
  <c r="D255" i="1"/>
  <c r="E255" i="1"/>
  <c r="F255" i="1"/>
  <c r="G255" i="1"/>
  <c r="H255" i="1"/>
  <c r="I255" i="1"/>
  <c r="J255" i="1"/>
  <c r="B256" i="1"/>
  <c r="C256" i="1"/>
  <c r="D256" i="1"/>
  <c r="E256" i="1"/>
  <c r="F256" i="1"/>
  <c r="G256" i="1"/>
  <c r="H256" i="1"/>
  <c r="I256" i="1"/>
  <c r="J256" i="1"/>
  <c r="B257" i="1"/>
  <c r="C257" i="1"/>
  <c r="D257" i="1"/>
  <c r="E257" i="1"/>
  <c r="F257" i="1"/>
  <c r="G257" i="1"/>
  <c r="H257" i="1"/>
  <c r="I257" i="1"/>
  <c r="J257" i="1"/>
  <c r="B258" i="1"/>
  <c r="C258" i="1"/>
  <c r="D258" i="1"/>
  <c r="E258" i="1"/>
  <c r="F258" i="1"/>
  <c r="G258" i="1"/>
  <c r="H258" i="1"/>
  <c r="I258" i="1"/>
  <c r="J258" i="1"/>
  <c r="B259" i="1"/>
  <c r="C259" i="1"/>
  <c r="D259" i="1"/>
  <c r="E259" i="1"/>
  <c r="F259" i="1"/>
  <c r="G259" i="1"/>
  <c r="H259" i="1"/>
  <c r="I259" i="1"/>
  <c r="J259" i="1"/>
  <c r="B260" i="1"/>
  <c r="C260" i="1"/>
  <c r="D260" i="1"/>
  <c r="E260" i="1"/>
  <c r="F260" i="1"/>
  <c r="G260" i="1"/>
  <c r="H260" i="1"/>
  <c r="I260" i="1"/>
  <c r="J260" i="1"/>
  <c r="B261" i="1"/>
  <c r="C261" i="1"/>
  <c r="D261" i="1"/>
  <c r="E261" i="1"/>
  <c r="F261" i="1"/>
  <c r="G261" i="1"/>
  <c r="H261" i="1"/>
  <c r="I261" i="1"/>
  <c r="J261" i="1"/>
  <c r="B262" i="1"/>
  <c r="C262" i="1"/>
  <c r="D262" i="1"/>
  <c r="E262" i="1"/>
  <c r="F262" i="1"/>
  <c r="G262" i="1"/>
  <c r="H262" i="1"/>
  <c r="I262" i="1"/>
  <c r="J262" i="1"/>
  <c r="B263" i="1"/>
  <c r="C263" i="1"/>
  <c r="D263" i="1"/>
  <c r="E263" i="1"/>
  <c r="F263" i="1"/>
  <c r="G263" i="1"/>
  <c r="H263" i="1"/>
  <c r="I263" i="1"/>
  <c r="J263" i="1"/>
  <c r="B264" i="1"/>
  <c r="C264" i="1"/>
  <c r="D264" i="1"/>
  <c r="E264" i="1"/>
  <c r="F264" i="1"/>
  <c r="G264" i="1"/>
  <c r="H264" i="1"/>
  <c r="I264" i="1"/>
  <c r="J264" i="1"/>
  <c r="B265" i="1"/>
  <c r="C265" i="1"/>
  <c r="D265" i="1"/>
  <c r="E265" i="1"/>
  <c r="F265" i="1"/>
  <c r="G265" i="1"/>
  <c r="H265" i="1"/>
  <c r="I265" i="1"/>
  <c r="J265" i="1"/>
  <c r="B266" i="1"/>
  <c r="C266" i="1"/>
  <c r="D266" i="1"/>
  <c r="E266" i="1"/>
  <c r="F266" i="1"/>
  <c r="G266" i="1"/>
  <c r="H266" i="1"/>
  <c r="I266" i="1"/>
  <c r="J266" i="1"/>
  <c r="B267" i="1"/>
  <c r="C267" i="1"/>
  <c r="D267" i="1"/>
  <c r="E267" i="1"/>
  <c r="F267" i="1"/>
  <c r="G267" i="1"/>
  <c r="H267" i="1"/>
  <c r="I267" i="1"/>
  <c r="J267" i="1"/>
  <c r="B268" i="1"/>
  <c r="C268" i="1"/>
  <c r="D268" i="1"/>
  <c r="E268" i="1"/>
  <c r="F268" i="1"/>
  <c r="G268" i="1"/>
  <c r="H268" i="1"/>
  <c r="I268" i="1"/>
  <c r="J268" i="1"/>
  <c r="B269" i="1"/>
  <c r="C269" i="1"/>
  <c r="D269" i="1"/>
  <c r="E269" i="1"/>
  <c r="F269" i="1"/>
  <c r="G269" i="1"/>
  <c r="H269" i="1"/>
  <c r="I269" i="1"/>
  <c r="J269" i="1"/>
  <c r="B270" i="1"/>
  <c r="C270" i="1"/>
  <c r="D270" i="1"/>
  <c r="E270" i="1"/>
  <c r="F270" i="1"/>
  <c r="G270" i="1"/>
  <c r="H270" i="1"/>
  <c r="I270" i="1"/>
  <c r="J270" i="1"/>
  <c r="B271" i="1"/>
  <c r="C271" i="1"/>
  <c r="D271" i="1"/>
  <c r="E271" i="1"/>
  <c r="F271" i="1"/>
  <c r="G271" i="1"/>
  <c r="H271" i="1"/>
  <c r="I271" i="1"/>
  <c r="J271" i="1"/>
  <c r="B272" i="1"/>
  <c r="C272" i="1"/>
  <c r="D272" i="1"/>
  <c r="E272" i="1"/>
  <c r="F272" i="1"/>
  <c r="G272" i="1"/>
  <c r="H272" i="1"/>
  <c r="I272" i="1"/>
  <c r="J272" i="1"/>
  <c r="B273" i="1"/>
  <c r="C273" i="1"/>
  <c r="D273" i="1"/>
  <c r="E273" i="1"/>
  <c r="F273" i="1"/>
  <c r="G273" i="1"/>
  <c r="H273" i="1"/>
  <c r="I273" i="1"/>
  <c r="J273" i="1"/>
  <c r="B274" i="1"/>
  <c r="C274" i="1"/>
  <c r="D274" i="1"/>
  <c r="E274" i="1"/>
  <c r="F274" i="1"/>
  <c r="G274" i="1"/>
  <c r="H274" i="1"/>
  <c r="I274" i="1"/>
  <c r="J274" i="1"/>
  <c r="B275" i="1"/>
  <c r="C275" i="1"/>
  <c r="D275" i="1"/>
  <c r="E275" i="1"/>
  <c r="F275" i="1"/>
  <c r="G275" i="1"/>
  <c r="H275" i="1"/>
  <c r="I275" i="1"/>
  <c r="J275" i="1"/>
  <c r="B276" i="1"/>
  <c r="C276" i="1"/>
  <c r="D276" i="1"/>
  <c r="E276" i="1"/>
  <c r="F276" i="1"/>
  <c r="G276" i="1"/>
  <c r="H276" i="1"/>
  <c r="I276" i="1"/>
  <c r="J276" i="1"/>
  <c r="B277" i="1"/>
  <c r="C277" i="1"/>
  <c r="D277" i="1"/>
  <c r="E277" i="1"/>
  <c r="F277" i="1"/>
  <c r="G277" i="1"/>
  <c r="H277" i="1"/>
  <c r="I277" i="1"/>
  <c r="J277" i="1"/>
  <c r="B278" i="1"/>
  <c r="C278" i="1"/>
  <c r="D278" i="1"/>
  <c r="E278" i="1"/>
  <c r="F278" i="1"/>
  <c r="G278" i="1"/>
  <c r="H278" i="1"/>
  <c r="I278" i="1"/>
  <c r="J278" i="1"/>
  <c r="B279" i="1"/>
  <c r="C279" i="1"/>
  <c r="D279" i="1"/>
  <c r="E279" i="1"/>
  <c r="F279" i="1"/>
  <c r="G279" i="1"/>
  <c r="H279" i="1"/>
  <c r="I279" i="1"/>
  <c r="J279" i="1"/>
  <c r="B280" i="1"/>
  <c r="C280" i="1"/>
  <c r="D280" i="1"/>
  <c r="E280" i="1"/>
  <c r="F280" i="1"/>
  <c r="G280" i="1"/>
  <c r="H280" i="1"/>
  <c r="I280" i="1"/>
  <c r="J280" i="1"/>
  <c r="B281" i="1"/>
  <c r="C281" i="1"/>
  <c r="D281" i="1"/>
  <c r="E281" i="1"/>
  <c r="F281" i="1"/>
  <c r="G281" i="1"/>
  <c r="H281" i="1"/>
  <c r="I281" i="1"/>
  <c r="J281" i="1"/>
  <c r="B282" i="1"/>
  <c r="C282" i="1"/>
  <c r="D282" i="1"/>
  <c r="E282" i="1"/>
  <c r="F282" i="1"/>
  <c r="G282" i="1"/>
  <c r="H282" i="1"/>
  <c r="I282" i="1"/>
  <c r="J282" i="1"/>
  <c r="B283" i="1"/>
  <c r="C283" i="1"/>
  <c r="D283" i="1"/>
  <c r="E283" i="1"/>
  <c r="F283" i="1"/>
  <c r="G283" i="1"/>
  <c r="H283" i="1"/>
  <c r="I283" i="1"/>
  <c r="J283" i="1"/>
  <c r="B284" i="1"/>
  <c r="C284" i="1"/>
  <c r="D284" i="1"/>
  <c r="E284" i="1"/>
  <c r="F284" i="1"/>
  <c r="G284" i="1"/>
  <c r="H284" i="1"/>
  <c r="I284" i="1"/>
  <c r="J284" i="1"/>
  <c r="B285" i="1"/>
  <c r="C285" i="1"/>
  <c r="D285" i="1"/>
  <c r="E285" i="1"/>
  <c r="F285" i="1"/>
  <c r="G285" i="1"/>
  <c r="H285" i="1"/>
  <c r="I285" i="1"/>
  <c r="J285" i="1"/>
  <c r="B286" i="1"/>
  <c r="C286" i="1"/>
  <c r="D286" i="1"/>
  <c r="E286" i="1"/>
  <c r="F286" i="1"/>
  <c r="G286" i="1"/>
  <c r="H286" i="1"/>
  <c r="I286" i="1"/>
  <c r="J286" i="1"/>
  <c r="B287" i="1"/>
  <c r="C287" i="1"/>
  <c r="D287" i="1"/>
  <c r="E287" i="1"/>
  <c r="F287" i="1"/>
  <c r="G287" i="1"/>
  <c r="H287" i="1"/>
  <c r="I287" i="1"/>
  <c r="J287" i="1"/>
  <c r="B288" i="1"/>
  <c r="C288" i="1"/>
  <c r="D288" i="1"/>
  <c r="E288" i="1"/>
  <c r="F288" i="1"/>
  <c r="G288" i="1"/>
  <c r="H288" i="1"/>
  <c r="I288" i="1"/>
  <c r="J288" i="1"/>
  <c r="B289" i="1"/>
  <c r="C289" i="1"/>
  <c r="D289" i="1"/>
  <c r="E289" i="1"/>
  <c r="F289" i="1"/>
  <c r="G289" i="1"/>
  <c r="H289" i="1"/>
  <c r="I289" i="1"/>
  <c r="J289" i="1"/>
  <c r="B290" i="1"/>
  <c r="C290" i="1"/>
  <c r="D290" i="1"/>
  <c r="E290" i="1"/>
  <c r="F290" i="1"/>
  <c r="G290" i="1"/>
  <c r="H290" i="1"/>
  <c r="I290" i="1"/>
  <c r="J290" i="1"/>
  <c r="B291" i="1"/>
  <c r="C291" i="1"/>
  <c r="D291" i="1"/>
  <c r="E291" i="1"/>
  <c r="F291" i="1"/>
  <c r="G291" i="1"/>
  <c r="H291" i="1"/>
  <c r="I291" i="1"/>
  <c r="J291" i="1"/>
  <c r="B292" i="1"/>
  <c r="C292" i="1"/>
  <c r="D292" i="1"/>
  <c r="E292" i="1"/>
  <c r="F292" i="1"/>
  <c r="G292" i="1"/>
  <c r="H292" i="1"/>
  <c r="I292" i="1"/>
  <c r="J292" i="1"/>
  <c r="B293" i="1"/>
  <c r="C293" i="1"/>
  <c r="D293" i="1"/>
  <c r="E293" i="1"/>
  <c r="F293" i="1"/>
  <c r="G293" i="1"/>
  <c r="H293" i="1"/>
  <c r="I293" i="1"/>
  <c r="J293" i="1"/>
  <c r="B294" i="1"/>
  <c r="C294" i="1"/>
  <c r="D294" i="1"/>
  <c r="E294" i="1"/>
  <c r="F294" i="1"/>
  <c r="G294" i="1"/>
  <c r="H294" i="1"/>
  <c r="I294" i="1"/>
  <c r="J294" i="1"/>
  <c r="B295" i="1"/>
  <c r="C295" i="1"/>
  <c r="D295" i="1"/>
  <c r="E295" i="1"/>
  <c r="F295" i="1"/>
  <c r="G295" i="1"/>
  <c r="H295" i="1"/>
  <c r="I295" i="1"/>
  <c r="J295" i="1"/>
  <c r="B296" i="1"/>
  <c r="C296" i="1"/>
  <c r="D296" i="1"/>
  <c r="E296" i="1"/>
  <c r="F296" i="1"/>
  <c r="G296" i="1"/>
  <c r="H296" i="1"/>
  <c r="I296" i="1"/>
  <c r="J296" i="1"/>
  <c r="B297" i="1"/>
  <c r="C297" i="1"/>
  <c r="D297" i="1"/>
  <c r="E297" i="1"/>
  <c r="F297" i="1"/>
  <c r="G297" i="1"/>
  <c r="H297" i="1"/>
  <c r="I297" i="1"/>
  <c r="J297" i="1"/>
  <c r="B298" i="1"/>
  <c r="C298" i="1"/>
  <c r="D298" i="1"/>
  <c r="E298" i="1"/>
  <c r="F298" i="1"/>
  <c r="G298" i="1"/>
  <c r="H298" i="1"/>
  <c r="I298" i="1"/>
  <c r="J298" i="1"/>
  <c r="B299" i="1"/>
  <c r="C299" i="1"/>
  <c r="D299" i="1"/>
  <c r="E299" i="1"/>
  <c r="F299" i="1"/>
  <c r="G299" i="1"/>
  <c r="H299" i="1"/>
  <c r="I299" i="1"/>
  <c r="J299" i="1"/>
  <c r="B300" i="1"/>
  <c r="C300" i="1"/>
  <c r="D300" i="1"/>
  <c r="E300" i="1"/>
  <c r="F300" i="1"/>
  <c r="G300" i="1"/>
  <c r="H300" i="1"/>
  <c r="I300" i="1"/>
  <c r="J300" i="1"/>
  <c r="B301" i="1"/>
  <c r="C301" i="1"/>
  <c r="D301" i="1"/>
  <c r="E301" i="1"/>
  <c r="F301" i="1"/>
  <c r="G301" i="1"/>
  <c r="H301" i="1"/>
  <c r="I301" i="1"/>
  <c r="J301" i="1"/>
  <c r="B302" i="1"/>
  <c r="C302" i="1"/>
  <c r="D302" i="1"/>
  <c r="E302" i="1"/>
  <c r="F302" i="1"/>
  <c r="G302" i="1"/>
  <c r="H302" i="1"/>
  <c r="I302" i="1"/>
  <c r="J302" i="1"/>
  <c r="B303" i="1"/>
  <c r="C303" i="1"/>
  <c r="D303" i="1"/>
  <c r="E303" i="1"/>
  <c r="F303" i="1"/>
  <c r="G303" i="1"/>
  <c r="H303" i="1"/>
  <c r="I303" i="1"/>
  <c r="J303" i="1"/>
  <c r="B304" i="1"/>
  <c r="C304" i="1"/>
  <c r="D304" i="1"/>
  <c r="E304" i="1"/>
  <c r="F304" i="1"/>
  <c r="G304" i="1"/>
  <c r="H304" i="1"/>
  <c r="I304" i="1"/>
  <c r="J304" i="1"/>
  <c r="B305" i="1"/>
  <c r="C305" i="1"/>
  <c r="D305" i="1"/>
  <c r="E305" i="1"/>
  <c r="F305" i="1"/>
  <c r="G305" i="1"/>
  <c r="H305" i="1"/>
  <c r="I305" i="1"/>
  <c r="J305" i="1"/>
  <c r="B306" i="1"/>
  <c r="C306" i="1"/>
  <c r="D306" i="1"/>
  <c r="E306" i="1"/>
  <c r="F306" i="1"/>
  <c r="G306" i="1"/>
  <c r="H306" i="1"/>
  <c r="I306" i="1"/>
  <c r="J306" i="1"/>
  <c r="B307" i="1"/>
  <c r="C307" i="1"/>
  <c r="D307" i="1"/>
  <c r="E307" i="1"/>
  <c r="F307" i="1"/>
  <c r="G307" i="1"/>
  <c r="H307" i="1"/>
  <c r="I307" i="1"/>
  <c r="J307" i="1"/>
  <c r="B308" i="1"/>
  <c r="C308" i="1"/>
  <c r="D308" i="1"/>
  <c r="E308" i="1"/>
  <c r="F308" i="1"/>
  <c r="G308" i="1"/>
  <c r="H308" i="1"/>
  <c r="I308" i="1"/>
  <c r="J308" i="1"/>
  <c r="B309" i="1"/>
  <c r="C309" i="1"/>
  <c r="D309" i="1"/>
  <c r="E309" i="1"/>
  <c r="F309" i="1"/>
  <c r="G309" i="1"/>
  <c r="H309" i="1"/>
  <c r="I309" i="1"/>
  <c r="J309" i="1"/>
  <c r="B310" i="1"/>
  <c r="C310" i="1"/>
  <c r="D310" i="1"/>
  <c r="E310" i="1"/>
  <c r="F310" i="1"/>
  <c r="G310" i="1"/>
  <c r="H310" i="1"/>
  <c r="I310" i="1"/>
  <c r="J310" i="1"/>
  <c r="B311" i="1"/>
  <c r="C311" i="1"/>
  <c r="D311" i="1"/>
  <c r="E311" i="1"/>
  <c r="F311" i="1"/>
  <c r="G311" i="1"/>
  <c r="H311" i="1"/>
  <c r="I311" i="1"/>
  <c r="J311" i="1"/>
  <c r="B312" i="1"/>
  <c r="C312" i="1"/>
  <c r="D312" i="1"/>
  <c r="E312" i="1"/>
  <c r="F312" i="1"/>
  <c r="G312" i="1"/>
  <c r="H312" i="1"/>
  <c r="I312" i="1"/>
  <c r="J312" i="1"/>
  <c r="B313" i="1"/>
  <c r="C313" i="1"/>
  <c r="D313" i="1"/>
  <c r="E313" i="1"/>
  <c r="F313" i="1"/>
  <c r="G313" i="1"/>
  <c r="H313" i="1"/>
  <c r="I313" i="1"/>
  <c r="J313" i="1"/>
  <c r="B314" i="1"/>
  <c r="C314" i="1"/>
  <c r="D314" i="1"/>
  <c r="E314" i="1"/>
  <c r="F314" i="1"/>
  <c r="G314" i="1"/>
  <c r="H314" i="1"/>
  <c r="I314" i="1"/>
  <c r="J314" i="1"/>
  <c r="B315" i="1"/>
  <c r="C315" i="1"/>
  <c r="D315" i="1"/>
  <c r="E315" i="1"/>
  <c r="F315" i="1"/>
  <c r="G315" i="1"/>
  <c r="H315" i="1"/>
  <c r="I315" i="1"/>
  <c r="J315" i="1"/>
  <c r="B316" i="1"/>
  <c r="C316" i="1"/>
  <c r="D316" i="1"/>
  <c r="E316" i="1"/>
  <c r="F316" i="1"/>
  <c r="G316" i="1"/>
  <c r="H316" i="1"/>
  <c r="I316" i="1"/>
  <c r="J316" i="1"/>
  <c r="B317" i="1"/>
  <c r="C317" i="1"/>
  <c r="D317" i="1"/>
  <c r="E317" i="1"/>
  <c r="F317" i="1"/>
  <c r="G317" i="1"/>
  <c r="H317" i="1"/>
  <c r="I317" i="1"/>
  <c r="J317" i="1"/>
  <c r="B318" i="1"/>
  <c r="C318" i="1"/>
  <c r="D318" i="1"/>
  <c r="E318" i="1"/>
  <c r="F318" i="1"/>
  <c r="G318" i="1"/>
  <c r="H318" i="1"/>
  <c r="I318" i="1"/>
  <c r="J318" i="1"/>
  <c r="B319" i="1"/>
  <c r="C319" i="1"/>
  <c r="D319" i="1"/>
  <c r="E319" i="1"/>
  <c r="F319" i="1"/>
  <c r="G319" i="1"/>
  <c r="H319" i="1"/>
  <c r="I319" i="1"/>
  <c r="J319" i="1"/>
  <c r="B320" i="1"/>
  <c r="C320" i="1"/>
  <c r="D320" i="1"/>
  <c r="E320" i="1"/>
  <c r="F320" i="1"/>
  <c r="G320" i="1"/>
  <c r="H320" i="1"/>
  <c r="I320" i="1"/>
  <c r="J320" i="1"/>
  <c r="B321" i="1"/>
  <c r="C321" i="1"/>
  <c r="D321" i="1"/>
  <c r="E321" i="1"/>
  <c r="F321" i="1"/>
  <c r="G321" i="1"/>
  <c r="H321" i="1"/>
  <c r="I321" i="1"/>
  <c r="J321" i="1"/>
  <c r="B322" i="1"/>
  <c r="C322" i="1"/>
  <c r="D322" i="1"/>
  <c r="E322" i="1"/>
  <c r="F322" i="1"/>
  <c r="G322" i="1"/>
  <c r="H322" i="1"/>
  <c r="I322" i="1"/>
  <c r="J322" i="1"/>
  <c r="B323" i="1"/>
  <c r="C323" i="1"/>
  <c r="D323" i="1"/>
  <c r="E323" i="1"/>
  <c r="F323" i="1"/>
  <c r="G323" i="1"/>
  <c r="H323" i="1"/>
  <c r="I323" i="1"/>
  <c r="J323" i="1"/>
  <c r="B324" i="1"/>
  <c r="C324" i="1"/>
  <c r="D324" i="1"/>
  <c r="E324" i="1"/>
  <c r="F324" i="1"/>
  <c r="G324" i="1"/>
  <c r="H324" i="1"/>
  <c r="I324" i="1"/>
  <c r="J324" i="1"/>
  <c r="B325" i="1"/>
  <c r="C325" i="1"/>
  <c r="D325" i="1"/>
  <c r="E325" i="1"/>
  <c r="F325" i="1"/>
  <c r="G325" i="1"/>
  <c r="H325" i="1"/>
  <c r="I325" i="1"/>
  <c r="J325" i="1"/>
  <c r="B326" i="1"/>
  <c r="C326" i="1"/>
  <c r="D326" i="1"/>
  <c r="E326" i="1"/>
  <c r="F326" i="1"/>
  <c r="G326" i="1"/>
  <c r="H326" i="1"/>
  <c r="I326" i="1"/>
  <c r="J326" i="1"/>
  <c r="B327" i="1"/>
  <c r="C327" i="1"/>
  <c r="D327" i="1"/>
  <c r="E327" i="1"/>
  <c r="F327" i="1"/>
  <c r="G327" i="1"/>
  <c r="H327" i="1"/>
  <c r="I327" i="1"/>
  <c r="J327" i="1"/>
  <c r="B328" i="1"/>
  <c r="C328" i="1"/>
  <c r="D328" i="1"/>
  <c r="E328" i="1"/>
  <c r="F328" i="1"/>
  <c r="G328" i="1"/>
  <c r="H328" i="1"/>
  <c r="I328" i="1"/>
  <c r="J328" i="1"/>
  <c r="B329" i="1"/>
  <c r="C329" i="1"/>
  <c r="D329" i="1"/>
  <c r="E329" i="1"/>
  <c r="F329" i="1"/>
  <c r="G329" i="1"/>
  <c r="H329" i="1"/>
  <c r="I329" i="1"/>
  <c r="J329" i="1"/>
  <c r="B330" i="1"/>
  <c r="C330" i="1"/>
  <c r="D330" i="1"/>
  <c r="E330" i="1"/>
  <c r="F330" i="1"/>
  <c r="G330" i="1"/>
  <c r="H330" i="1"/>
  <c r="I330" i="1"/>
  <c r="J330" i="1"/>
  <c r="B331" i="1"/>
  <c r="C331" i="1"/>
  <c r="D331" i="1"/>
  <c r="E331" i="1"/>
  <c r="F331" i="1"/>
  <c r="G331" i="1"/>
  <c r="H331" i="1"/>
  <c r="I331" i="1"/>
  <c r="J331" i="1"/>
  <c r="B332" i="1"/>
  <c r="C332" i="1"/>
  <c r="D332" i="1"/>
  <c r="E332" i="1"/>
  <c r="F332" i="1"/>
  <c r="G332" i="1"/>
  <c r="H332" i="1"/>
  <c r="I332" i="1"/>
  <c r="J332" i="1"/>
  <c r="B333" i="1"/>
  <c r="C333" i="1"/>
  <c r="D333" i="1"/>
  <c r="E333" i="1"/>
  <c r="F333" i="1"/>
  <c r="G333" i="1"/>
  <c r="H333" i="1"/>
  <c r="I333" i="1"/>
  <c r="J333" i="1"/>
  <c r="B334" i="1"/>
  <c r="C334" i="1"/>
  <c r="D334" i="1"/>
  <c r="E334" i="1"/>
  <c r="F334" i="1"/>
  <c r="G334" i="1"/>
  <c r="H334" i="1"/>
  <c r="I334" i="1"/>
  <c r="J334" i="1"/>
  <c r="B335" i="1"/>
  <c r="C335" i="1"/>
  <c r="D335" i="1"/>
  <c r="E335" i="1"/>
  <c r="F335" i="1"/>
  <c r="G335" i="1"/>
  <c r="H335" i="1"/>
  <c r="I335" i="1"/>
  <c r="J335" i="1"/>
  <c r="B336" i="1"/>
  <c r="C336" i="1"/>
  <c r="D336" i="1"/>
  <c r="E336" i="1"/>
  <c r="F336" i="1"/>
  <c r="G336" i="1"/>
  <c r="H336" i="1"/>
  <c r="I336" i="1"/>
  <c r="J336" i="1"/>
  <c r="B337" i="1"/>
  <c r="C337" i="1"/>
  <c r="D337" i="1"/>
  <c r="E337" i="1"/>
  <c r="F337" i="1"/>
  <c r="G337" i="1"/>
  <c r="H337" i="1"/>
  <c r="I337" i="1"/>
  <c r="J337" i="1"/>
  <c r="B338" i="1"/>
  <c r="C338" i="1"/>
  <c r="D338" i="1"/>
  <c r="E338" i="1"/>
  <c r="F338" i="1"/>
  <c r="G338" i="1"/>
  <c r="H338" i="1"/>
  <c r="I338" i="1"/>
  <c r="J338" i="1"/>
  <c r="B339" i="1"/>
  <c r="C339" i="1"/>
  <c r="D339" i="1"/>
  <c r="E339" i="1"/>
  <c r="F339" i="1"/>
  <c r="G339" i="1"/>
  <c r="H339" i="1"/>
  <c r="I339" i="1"/>
  <c r="J339" i="1"/>
  <c r="B340" i="1"/>
  <c r="C340" i="1"/>
  <c r="D340" i="1"/>
  <c r="E340" i="1"/>
  <c r="F340" i="1"/>
  <c r="G340" i="1"/>
  <c r="H340" i="1"/>
  <c r="I340" i="1"/>
  <c r="J340" i="1"/>
  <c r="B341" i="1"/>
  <c r="C341" i="1"/>
  <c r="D341" i="1"/>
  <c r="E341" i="1"/>
  <c r="F341" i="1"/>
  <c r="G341" i="1"/>
  <c r="H341" i="1"/>
  <c r="I341" i="1"/>
  <c r="J341" i="1"/>
  <c r="B342" i="1"/>
  <c r="C342" i="1"/>
  <c r="D342" i="1"/>
  <c r="E342" i="1"/>
  <c r="F342" i="1"/>
  <c r="G342" i="1"/>
  <c r="H342" i="1"/>
  <c r="I342" i="1"/>
  <c r="J342" i="1"/>
  <c r="B343" i="1"/>
  <c r="C343" i="1"/>
  <c r="D343" i="1"/>
  <c r="E343" i="1"/>
  <c r="F343" i="1"/>
  <c r="G343" i="1"/>
  <c r="H343" i="1"/>
  <c r="I343" i="1"/>
  <c r="J343" i="1"/>
  <c r="B344" i="1"/>
  <c r="C344" i="1"/>
  <c r="D344" i="1"/>
  <c r="E344" i="1"/>
  <c r="F344" i="1"/>
  <c r="G344" i="1"/>
  <c r="H344" i="1"/>
  <c r="I344" i="1"/>
  <c r="J344" i="1"/>
  <c r="B345" i="1"/>
  <c r="C345" i="1"/>
  <c r="D345" i="1"/>
  <c r="E345" i="1"/>
  <c r="F345" i="1"/>
  <c r="G345" i="1"/>
  <c r="H345" i="1"/>
  <c r="I345" i="1"/>
  <c r="J345" i="1"/>
  <c r="B346" i="1"/>
  <c r="C346" i="1"/>
  <c r="D346" i="1"/>
  <c r="E346" i="1"/>
  <c r="F346" i="1"/>
  <c r="G346" i="1"/>
  <c r="H346" i="1"/>
  <c r="I346" i="1"/>
  <c r="J346" i="1"/>
  <c r="B347" i="1"/>
  <c r="C347" i="1"/>
  <c r="D347" i="1"/>
  <c r="E347" i="1"/>
  <c r="F347" i="1"/>
  <c r="G347" i="1"/>
  <c r="H347" i="1"/>
  <c r="I347" i="1"/>
  <c r="J347" i="1"/>
  <c r="B348" i="1"/>
  <c r="C348" i="1"/>
  <c r="D348" i="1"/>
  <c r="E348" i="1"/>
  <c r="F348" i="1"/>
  <c r="G348" i="1"/>
  <c r="H348" i="1"/>
  <c r="I348" i="1"/>
  <c r="J348" i="1"/>
  <c r="B349" i="1"/>
  <c r="C349" i="1"/>
  <c r="D349" i="1"/>
  <c r="E349" i="1"/>
  <c r="F349" i="1"/>
  <c r="G349" i="1"/>
  <c r="H349" i="1"/>
  <c r="I349" i="1"/>
  <c r="J349" i="1"/>
  <c r="B350" i="1"/>
  <c r="C350" i="1"/>
  <c r="D350" i="1"/>
  <c r="E350" i="1"/>
  <c r="F350" i="1"/>
  <c r="G350" i="1"/>
  <c r="H350" i="1"/>
  <c r="I350" i="1"/>
  <c r="J350" i="1"/>
  <c r="B351" i="1"/>
  <c r="C351" i="1"/>
  <c r="D351" i="1"/>
  <c r="E351" i="1"/>
  <c r="F351" i="1"/>
  <c r="G351" i="1"/>
  <c r="H351" i="1"/>
  <c r="I351" i="1"/>
  <c r="J351" i="1"/>
  <c r="B352" i="1"/>
  <c r="C352" i="1"/>
  <c r="D352" i="1"/>
  <c r="E352" i="1"/>
  <c r="F352" i="1"/>
  <c r="G352" i="1"/>
  <c r="H352" i="1"/>
  <c r="I352" i="1"/>
  <c r="J352" i="1"/>
  <c r="B353" i="1"/>
  <c r="C353" i="1"/>
  <c r="D353" i="1"/>
  <c r="E353" i="1"/>
  <c r="F353" i="1"/>
  <c r="G353" i="1"/>
  <c r="H353" i="1"/>
  <c r="I353" i="1"/>
  <c r="J353" i="1"/>
  <c r="B354" i="1"/>
  <c r="C354" i="1"/>
  <c r="D354" i="1"/>
  <c r="E354" i="1"/>
  <c r="F354" i="1"/>
  <c r="G354" i="1"/>
  <c r="H354" i="1"/>
  <c r="I354" i="1"/>
  <c r="J354" i="1"/>
  <c r="B355" i="1"/>
  <c r="C355" i="1"/>
  <c r="D355" i="1"/>
  <c r="E355" i="1"/>
  <c r="F355" i="1"/>
  <c r="G355" i="1"/>
  <c r="H355" i="1"/>
  <c r="I355" i="1"/>
  <c r="J355" i="1"/>
  <c r="B356" i="1"/>
  <c r="C356" i="1"/>
  <c r="D356" i="1"/>
  <c r="E356" i="1"/>
  <c r="F356" i="1"/>
  <c r="G356" i="1"/>
  <c r="H356" i="1"/>
  <c r="I356" i="1"/>
  <c r="J356" i="1"/>
  <c r="B357" i="1"/>
  <c r="C357" i="1"/>
  <c r="D357" i="1"/>
  <c r="E357" i="1"/>
  <c r="F357" i="1"/>
  <c r="G357" i="1"/>
  <c r="H357" i="1"/>
  <c r="I357" i="1"/>
  <c r="J357" i="1"/>
  <c r="B358" i="1"/>
  <c r="C358" i="1"/>
  <c r="D358" i="1"/>
  <c r="E358" i="1"/>
  <c r="F358" i="1"/>
  <c r="G358" i="1"/>
  <c r="H358" i="1"/>
  <c r="I358" i="1"/>
  <c r="J358" i="1"/>
  <c r="B359" i="1"/>
  <c r="C359" i="1"/>
  <c r="D359" i="1"/>
  <c r="E359" i="1"/>
  <c r="F359" i="1"/>
  <c r="G359" i="1"/>
  <c r="H359" i="1"/>
  <c r="I359" i="1"/>
  <c r="J359" i="1"/>
  <c r="B360" i="1"/>
  <c r="C360" i="1"/>
  <c r="D360" i="1"/>
  <c r="E360" i="1"/>
  <c r="F360" i="1"/>
  <c r="G360" i="1"/>
  <c r="H360" i="1"/>
  <c r="I360" i="1"/>
  <c r="J360" i="1"/>
  <c r="B361" i="1"/>
  <c r="C361" i="1"/>
  <c r="D361" i="1"/>
  <c r="E361" i="1"/>
  <c r="F361" i="1"/>
  <c r="G361" i="1"/>
  <c r="H361" i="1"/>
  <c r="I361" i="1"/>
  <c r="J361" i="1"/>
  <c r="B362" i="1"/>
  <c r="C362" i="1"/>
  <c r="D362" i="1"/>
  <c r="E362" i="1"/>
  <c r="F362" i="1"/>
  <c r="G362" i="1"/>
  <c r="H362" i="1"/>
  <c r="I362" i="1"/>
  <c r="J362" i="1"/>
  <c r="B363" i="1"/>
  <c r="C363" i="1"/>
  <c r="D363" i="1"/>
  <c r="E363" i="1"/>
  <c r="F363" i="1"/>
  <c r="G363" i="1"/>
  <c r="H363" i="1"/>
  <c r="I363" i="1"/>
  <c r="J363" i="1"/>
  <c r="B364" i="1"/>
  <c r="C364" i="1"/>
  <c r="D364" i="1"/>
  <c r="E364" i="1"/>
  <c r="F364" i="1"/>
  <c r="G364" i="1"/>
  <c r="H364" i="1"/>
  <c r="I364" i="1"/>
  <c r="J364" i="1"/>
  <c r="B365" i="1"/>
  <c r="C365" i="1"/>
  <c r="D365" i="1"/>
  <c r="E365" i="1"/>
  <c r="F365" i="1"/>
  <c r="G365" i="1"/>
  <c r="H365" i="1"/>
  <c r="I365" i="1"/>
  <c r="J365" i="1"/>
  <c r="B366" i="1"/>
  <c r="C366" i="1"/>
  <c r="D366" i="1"/>
  <c r="E366" i="1"/>
  <c r="F366" i="1"/>
  <c r="G366" i="1"/>
  <c r="H366" i="1"/>
  <c r="I366" i="1"/>
  <c r="J366" i="1"/>
  <c r="B367" i="1"/>
  <c r="C367" i="1"/>
  <c r="D367" i="1"/>
  <c r="E367" i="1"/>
  <c r="F367" i="1"/>
  <c r="G367" i="1"/>
  <c r="H367" i="1"/>
  <c r="I367" i="1"/>
  <c r="J367" i="1"/>
  <c r="B368" i="1"/>
  <c r="C368" i="1"/>
  <c r="D368" i="1"/>
  <c r="E368" i="1"/>
  <c r="F368" i="1"/>
  <c r="G368" i="1"/>
  <c r="H368" i="1"/>
  <c r="I368" i="1"/>
  <c r="J368" i="1"/>
  <c r="B369" i="1"/>
  <c r="C369" i="1"/>
  <c r="D369" i="1"/>
  <c r="E369" i="1"/>
  <c r="F369" i="1"/>
  <c r="G369" i="1"/>
  <c r="H369" i="1"/>
  <c r="I369" i="1"/>
  <c r="J369" i="1"/>
  <c r="B370" i="1"/>
  <c r="C370" i="1"/>
  <c r="D370" i="1"/>
  <c r="E370" i="1"/>
  <c r="F370" i="1"/>
  <c r="G370" i="1"/>
  <c r="H370" i="1"/>
  <c r="I370" i="1"/>
  <c r="J370" i="1"/>
  <c r="B371" i="1"/>
  <c r="C371" i="1"/>
  <c r="D371" i="1"/>
  <c r="E371" i="1"/>
  <c r="F371" i="1"/>
  <c r="G371" i="1"/>
  <c r="H371" i="1"/>
  <c r="I371" i="1"/>
  <c r="J371" i="1"/>
  <c r="B372" i="1"/>
  <c r="C372" i="1"/>
  <c r="D372" i="1"/>
  <c r="E372" i="1"/>
  <c r="F372" i="1"/>
  <c r="G372" i="1"/>
  <c r="H372" i="1"/>
  <c r="I372" i="1"/>
  <c r="J372" i="1"/>
  <c r="B373" i="1"/>
  <c r="C373" i="1"/>
  <c r="D373" i="1"/>
  <c r="E373" i="1"/>
  <c r="F373" i="1"/>
  <c r="G373" i="1"/>
  <c r="H373" i="1"/>
  <c r="I373" i="1"/>
  <c r="J373" i="1"/>
  <c r="B374" i="1"/>
  <c r="C374" i="1"/>
  <c r="D374" i="1"/>
  <c r="E374" i="1"/>
  <c r="F374" i="1"/>
  <c r="G374" i="1"/>
  <c r="H374" i="1"/>
  <c r="I374" i="1"/>
  <c r="J374" i="1"/>
  <c r="B375" i="1"/>
  <c r="C375" i="1"/>
  <c r="D375" i="1"/>
  <c r="E375" i="1"/>
  <c r="F375" i="1"/>
  <c r="G375" i="1"/>
  <c r="H375" i="1"/>
  <c r="I375" i="1"/>
  <c r="J375" i="1"/>
  <c r="B376" i="1"/>
  <c r="C376" i="1"/>
  <c r="D376" i="1"/>
  <c r="E376" i="1"/>
  <c r="F376" i="1"/>
  <c r="G376" i="1"/>
  <c r="H376" i="1"/>
  <c r="I376" i="1"/>
  <c r="J376" i="1"/>
  <c r="B377" i="1"/>
  <c r="C377" i="1"/>
  <c r="D377" i="1"/>
  <c r="E377" i="1"/>
  <c r="F377" i="1"/>
  <c r="G377" i="1"/>
  <c r="H377" i="1"/>
  <c r="I377" i="1"/>
  <c r="J377" i="1"/>
  <c r="B378" i="1"/>
  <c r="C378" i="1"/>
  <c r="D378" i="1"/>
  <c r="E378" i="1"/>
  <c r="F378" i="1"/>
  <c r="G378" i="1"/>
  <c r="H378" i="1"/>
  <c r="I378" i="1"/>
  <c r="J378" i="1"/>
  <c r="B379" i="1"/>
  <c r="C379" i="1"/>
  <c r="D379" i="1"/>
  <c r="E379" i="1"/>
  <c r="F379" i="1"/>
  <c r="G379" i="1"/>
  <c r="H379" i="1"/>
  <c r="I379" i="1"/>
  <c r="J379" i="1"/>
  <c r="B380" i="1"/>
  <c r="C380" i="1"/>
  <c r="D380" i="1"/>
  <c r="E380" i="1"/>
  <c r="F380" i="1"/>
  <c r="G380" i="1"/>
  <c r="H380" i="1"/>
  <c r="I380" i="1"/>
  <c r="J380" i="1"/>
  <c r="B381" i="1"/>
  <c r="C381" i="1"/>
  <c r="D381" i="1"/>
  <c r="E381" i="1"/>
  <c r="F381" i="1"/>
  <c r="G381" i="1"/>
  <c r="H381" i="1"/>
  <c r="I381" i="1"/>
  <c r="J381" i="1"/>
  <c r="B382" i="1"/>
  <c r="C382" i="1"/>
  <c r="D382" i="1"/>
  <c r="E382" i="1"/>
  <c r="F382" i="1"/>
  <c r="G382" i="1"/>
  <c r="H382" i="1"/>
  <c r="I382" i="1"/>
  <c r="J382" i="1"/>
  <c r="B383" i="1"/>
  <c r="C383" i="1"/>
  <c r="D383" i="1"/>
  <c r="E383" i="1"/>
  <c r="F383" i="1"/>
  <c r="G383" i="1"/>
  <c r="H383" i="1"/>
  <c r="I383" i="1"/>
  <c r="J383" i="1"/>
  <c r="B384" i="1"/>
  <c r="C384" i="1"/>
  <c r="D384" i="1"/>
  <c r="E384" i="1"/>
  <c r="F384" i="1"/>
  <c r="G384" i="1"/>
  <c r="H384" i="1"/>
  <c r="I384" i="1"/>
  <c r="J384" i="1"/>
  <c r="B385" i="1"/>
  <c r="C385" i="1"/>
  <c r="D385" i="1"/>
  <c r="E385" i="1"/>
  <c r="F385" i="1"/>
  <c r="G385" i="1"/>
  <c r="H385" i="1"/>
  <c r="I385" i="1"/>
  <c r="J385" i="1"/>
  <c r="B386" i="1"/>
  <c r="C386" i="1"/>
  <c r="D386" i="1"/>
  <c r="E386" i="1"/>
  <c r="F386" i="1"/>
  <c r="G386" i="1"/>
  <c r="H386" i="1"/>
  <c r="I386" i="1"/>
  <c r="J386" i="1"/>
  <c r="B387" i="1"/>
  <c r="C387" i="1"/>
  <c r="D387" i="1"/>
  <c r="E387" i="1"/>
  <c r="F387" i="1"/>
  <c r="G387" i="1"/>
  <c r="H387" i="1"/>
  <c r="I387" i="1"/>
  <c r="J387" i="1"/>
  <c r="B388" i="1"/>
  <c r="C388" i="1"/>
  <c r="D388" i="1"/>
  <c r="E388" i="1"/>
  <c r="F388" i="1"/>
  <c r="G388" i="1"/>
  <c r="H388" i="1"/>
  <c r="I388" i="1"/>
  <c r="J388" i="1"/>
  <c r="B389" i="1"/>
  <c r="C389" i="1"/>
  <c r="D389" i="1"/>
  <c r="E389" i="1"/>
  <c r="F389" i="1"/>
  <c r="G389" i="1"/>
  <c r="H389" i="1"/>
  <c r="I389" i="1"/>
  <c r="J389" i="1"/>
  <c r="B390" i="1"/>
  <c r="C390" i="1"/>
  <c r="D390" i="1"/>
  <c r="E390" i="1"/>
  <c r="F390" i="1"/>
  <c r="G390" i="1"/>
  <c r="H390" i="1"/>
  <c r="I390" i="1"/>
  <c r="J390" i="1"/>
  <c r="B391" i="1"/>
  <c r="C391" i="1"/>
  <c r="D391" i="1"/>
  <c r="E391" i="1"/>
  <c r="F391" i="1"/>
  <c r="G391" i="1"/>
  <c r="H391" i="1"/>
  <c r="I391" i="1"/>
  <c r="J391" i="1"/>
  <c r="B392" i="1"/>
  <c r="C392" i="1"/>
  <c r="D392" i="1"/>
  <c r="E392" i="1"/>
  <c r="F392" i="1"/>
  <c r="G392" i="1"/>
  <c r="H392" i="1"/>
  <c r="I392" i="1"/>
  <c r="J392" i="1"/>
  <c r="B393" i="1"/>
  <c r="C393" i="1"/>
  <c r="D393" i="1"/>
  <c r="E393" i="1"/>
  <c r="F393" i="1"/>
  <c r="G393" i="1"/>
  <c r="H393" i="1"/>
  <c r="I393" i="1"/>
  <c r="J393" i="1"/>
  <c r="B394" i="1"/>
  <c r="C394" i="1"/>
  <c r="D394" i="1"/>
  <c r="E394" i="1"/>
  <c r="F394" i="1"/>
  <c r="G394" i="1"/>
  <c r="H394" i="1"/>
  <c r="I394" i="1"/>
  <c r="J394" i="1"/>
  <c r="B395" i="1"/>
  <c r="C395" i="1"/>
  <c r="D395" i="1"/>
  <c r="E395" i="1"/>
  <c r="F395" i="1"/>
  <c r="G395" i="1"/>
  <c r="H395" i="1"/>
  <c r="I395" i="1"/>
  <c r="J395" i="1"/>
  <c r="B396" i="1"/>
  <c r="C396" i="1"/>
  <c r="D396" i="1"/>
  <c r="E396" i="1"/>
  <c r="F396" i="1"/>
  <c r="G396" i="1"/>
  <c r="H396" i="1"/>
  <c r="I396" i="1"/>
  <c r="J396" i="1"/>
  <c r="B397" i="1"/>
  <c r="C397" i="1"/>
  <c r="D397" i="1"/>
  <c r="E397" i="1"/>
  <c r="F397" i="1"/>
  <c r="G397" i="1"/>
  <c r="H397" i="1"/>
  <c r="I397" i="1"/>
  <c r="J397" i="1"/>
  <c r="B398" i="1"/>
  <c r="C398" i="1"/>
  <c r="D398" i="1"/>
  <c r="E398" i="1"/>
  <c r="F398" i="1"/>
  <c r="G398" i="1"/>
  <c r="H398" i="1"/>
  <c r="I398" i="1"/>
  <c r="J398" i="1"/>
  <c r="B399" i="1"/>
  <c r="C399" i="1"/>
  <c r="D399" i="1"/>
  <c r="E399" i="1"/>
  <c r="F399" i="1"/>
  <c r="G399" i="1"/>
  <c r="H399" i="1"/>
  <c r="I399" i="1"/>
  <c r="J399" i="1"/>
  <c r="B400" i="1"/>
  <c r="C400" i="1"/>
  <c r="D400" i="1"/>
  <c r="E400" i="1"/>
  <c r="F400" i="1"/>
  <c r="G400" i="1"/>
  <c r="H400" i="1"/>
  <c r="I400" i="1"/>
  <c r="J400" i="1"/>
  <c r="B401" i="1"/>
  <c r="C401" i="1"/>
  <c r="D401" i="1"/>
  <c r="E401" i="1"/>
  <c r="F401" i="1"/>
  <c r="G401" i="1"/>
  <c r="H401" i="1"/>
  <c r="I401" i="1"/>
  <c r="J401" i="1"/>
  <c r="B402" i="1"/>
  <c r="C402" i="1"/>
  <c r="D402" i="1"/>
  <c r="E402" i="1"/>
  <c r="F402" i="1"/>
  <c r="G402" i="1"/>
  <c r="H402" i="1"/>
  <c r="I402" i="1"/>
  <c r="J402" i="1"/>
  <c r="B403" i="1"/>
  <c r="C403" i="1"/>
  <c r="D403" i="1"/>
  <c r="E403" i="1"/>
  <c r="F403" i="1"/>
  <c r="G403" i="1"/>
  <c r="H403" i="1"/>
  <c r="I403" i="1"/>
  <c r="J403" i="1"/>
  <c r="B404" i="1"/>
  <c r="C404" i="1"/>
  <c r="D404" i="1"/>
  <c r="E404" i="1"/>
  <c r="F404" i="1"/>
  <c r="G404" i="1"/>
  <c r="H404" i="1"/>
  <c r="I404" i="1"/>
  <c r="J404" i="1"/>
  <c r="B405" i="1"/>
  <c r="C405" i="1"/>
  <c r="D405" i="1"/>
  <c r="E405" i="1"/>
  <c r="F405" i="1"/>
  <c r="G405" i="1"/>
  <c r="H405" i="1"/>
  <c r="I405" i="1"/>
  <c r="J405" i="1"/>
  <c r="B406" i="1"/>
  <c r="C406" i="1"/>
  <c r="D406" i="1"/>
  <c r="E406" i="1"/>
  <c r="F406" i="1"/>
  <c r="G406" i="1"/>
  <c r="H406" i="1"/>
  <c r="I406" i="1"/>
  <c r="J406" i="1"/>
  <c r="B407" i="1"/>
  <c r="C407" i="1"/>
  <c r="D407" i="1"/>
  <c r="E407" i="1"/>
  <c r="F407" i="1"/>
  <c r="G407" i="1"/>
  <c r="H407" i="1"/>
  <c r="I407" i="1"/>
  <c r="J407" i="1"/>
  <c r="B408" i="1"/>
  <c r="C408" i="1"/>
  <c r="D408" i="1"/>
  <c r="E408" i="1"/>
  <c r="F408" i="1"/>
  <c r="G408" i="1"/>
  <c r="H408" i="1"/>
  <c r="I408" i="1"/>
  <c r="J408" i="1"/>
  <c r="B409" i="1"/>
  <c r="C409" i="1"/>
  <c r="D409" i="1"/>
  <c r="E409" i="1"/>
  <c r="F409" i="1"/>
  <c r="G409" i="1"/>
  <c r="H409" i="1"/>
  <c r="I409" i="1"/>
  <c r="J409" i="1"/>
  <c r="B410" i="1"/>
  <c r="C410" i="1"/>
  <c r="D410" i="1"/>
  <c r="E410" i="1"/>
  <c r="F410" i="1"/>
  <c r="G410" i="1"/>
  <c r="H410" i="1"/>
  <c r="I410" i="1"/>
  <c r="J410" i="1"/>
  <c r="B411" i="1"/>
  <c r="C411" i="1"/>
  <c r="D411" i="1"/>
  <c r="E411" i="1"/>
  <c r="F411" i="1"/>
  <c r="G411" i="1"/>
  <c r="H411" i="1"/>
  <c r="I411" i="1"/>
  <c r="J411" i="1"/>
  <c r="B412" i="1"/>
  <c r="C412" i="1"/>
  <c r="D412" i="1"/>
  <c r="E412" i="1"/>
  <c r="F412" i="1"/>
  <c r="G412" i="1"/>
  <c r="H412" i="1"/>
  <c r="I412" i="1"/>
  <c r="J412" i="1"/>
  <c r="B413" i="1"/>
  <c r="C413" i="1"/>
  <c r="D413" i="1"/>
  <c r="E413" i="1"/>
  <c r="F413" i="1"/>
  <c r="G413" i="1"/>
  <c r="H413" i="1"/>
  <c r="I413" i="1"/>
  <c r="J413" i="1"/>
  <c r="B414" i="1"/>
  <c r="C414" i="1"/>
  <c r="D414" i="1"/>
  <c r="E414" i="1"/>
  <c r="F414" i="1"/>
  <c r="G414" i="1"/>
  <c r="H414" i="1"/>
  <c r="I414" i="1"/>
  <c r="J414" i="1"/>
  <c r="B415" i="1"/>
  <c r="C415" i="1"/>
  <c r="D415" i="1"/>
  <c r="E415" i="1"/>
  <c r="F415" i="1"/>
  <c r="G415" i="1"/>
  <c r="H415" i="1"/>
  <c r="I415" i="1"/>
  <c r="J415" i="1"/>
  <c r="B416" i="1"/>
  <c r="C416" i="1"/>
  <c r="D416" i="1"/>
  <c r="E416" i="1"/>
  <c r="F416" i="1"/>
  <c r="G416" i="1"/>
  <c r="H416" i="1"/>
  <c r="I416" i="1"/>
  <c r="J416" i="1"/>
  <c r="B417" i="1"/>
  <c r="C417" i="1"/>
  <c r="D417" i="1"/>
  <c r="E417" i="1"/>
  <c r="F417" i="1"/>
  <c r="G417" i="1"/>
  <c r="H417" i="1"/>
  <c r="I417" i="1"/>
  <c r="J417" i="1"/>
  <c r="B418" i="1"/>
  <c r="C418" i="1"/>
  <c r="D418" i="1"/>
  <c r="E418" i="1"/>
  <c r="F418" i="1"/>
  <c r="G418" i="1"/>
  <c r="H418" i="1"/>
  <c r="I418" i="1"/>
  <c r="J418" i="1"/>
  <c r="B419" i="1"/>
  <c r="C419" i="1"/>
  <c r="D419" i="1"/>
  <c r="E419" i="1"/>
  <c r="F419" i="1"/>
  <c r="G419" i="1"/>
  <c r="H419" i="1"/>
  <c r="I419" i="1"/>
  <c r="J419" i="1"/>
  <c r="B420" i="1"/>
  <c r="C420" i="1"/>
  <c r="D420" i="1"/>
  <c r="E420" i="1"/>
  <c r="F420" i="1"/>
  <c r="G420" i="1"/>
  <c r="H420" i="1"/>
  <c r="I420" i="1"/>
  <c r="J420" i="1"/>
  <c r="B421" i="1"/>
  <c r="C421" i="1"/>
  <c r="D421" i="1"/>
  <c r="E421" i="1"/>
  <c r="F421" i="1"/>
  <c r="G421" i="1"/>
  <c r="H421" i="1"/>
  <c r="I421" i="1"/>
  <c r="J421" i="1"/>
  <c r="B422" i="1"/>
  <c r="C422" i="1"/>
  <c r="D422" i="1"/>
  <c r="E422" i="1"/>
  <c r="F422" i="1"/>
  <c r="G422" i="1"/>
  <c r="H422" i="1"/>
  <c r="I422" i="1"/>
  <c r="J422" i="1"/>
  <c r="B423" i="1"/>
  <c r="C423" i="1"/>
  <c r="D423" i="1"/>
  <c r="E423" i="1"/>
  <c r="F423" i="1"/>
  <c r="G423" i="1"/>
  <c r="H423" i="1"/>
  <c r="I423" i="1"/>
  <c r="J423" i="1"/>
  <c r="B424" i="1"/>
  <c r="C424" i="1"/>
  <c r="D424" i="1"/>
  <c r="E424" i="1"/>
  <c r="F424" i="1"/>
  <c r="G424" i="1"/>
  <c r="H424" i="1"/>
  <c r="I424" i="1"/>
  <c r="J424" i="1"/>
  <c r="B425" i="1"/>
  <c r="C425" i="1"/>
  <c r="D425" i="1"/>
  <c r="E425" i="1"/>
  <c r="F425" i="1"/>
  <c r="G425" i="1"/>
  <c r="H425" i="1"/>
  <c r="I425" i="1"/>
  <c r="J425" i="1"/>
  <c r="B426" i="1"/>
  <c r="C426" i="1"/>
  <c r="D426" i="1"/>
  <c r="E426" i="1"/>
  <c r="F426" i="1"/>
  <c r="G426" i="1"/>
  <c r="H426" i="1"/>
  <c r="I426" i="1"/>
  <c r="J426" i="1"/>
  <c r="B427" i="1"/>
  <c r="C427" i="1"/>
  <c r="D427" i="1"/>
  <c r="E427" i="1"/>
  <c r="F427" i="1"/>
  <c r="G427" i="1"/>
  <c r="H427" i="1"/>
  <c r="I427" i="1"/>
  <c r="J427" i="1"/>
  <c r="B428" i="1"/>
  <c r="C428" i="1"/>
  <c r="D428" i="1"/>
  <c r="E428" i="1"/>
  <c r="F428" i="1"/>
  <c r="G428" i="1"/>
  <c r="H428" i="1"/>
  <c r="I428" i="1"/>
  <c r="J428" i="1"/>
  <c r="B429" i="1"/>
  <c r="C429" i="1"/>
  <c r="D429" i="1"/>
  <c r="E429" i="1"/>
  <c r="F429" i="1"/>
  <c r="G429" i="1"/>
  <c r="H429" i="1"/>
  <c r="I429" i="1"/>
  <c r="J429" i="1"/>
  <c r="B430" i="1"/>
  <c r="C430" i="1"/>
  <c r="D430" i="1"/>
  <c r="E430" i="1"/>
  <c r="F430" i="1"/>
  <c r="G430" i="1"/>
  <c r="H430" i="1"/>
  <c r="I430" i="1"/>
  <c r="J430" i="1"/>
  <c r="B431" i="1"/>
  <c r="C431" i="1"/>
  <c r="D431" i="1"/>
  <c r="E431" i="1"/>
  <c r="F431" i="1"/>
  <c r="G431" i="1"/>
  <c r="H431" i="1"/>
  <c r="I431" i="1"/>
  <c r="J431" i="1"/>
  <c r="B432" i="1"/>
  <c r="C432" i="1"/>
  <c r="D432" i="1"/>
  <c r="E432" i="1"/>
  <c r="F432" i="1"/>
  <c r="G432" i="1"/>
  <c r="H432" i="1"/>
  <c r="I432" i="1"/>
  <c r="J432" i="1"/>
  <c r="B433" i="1"/>
  <c r="C433" i="1"/>
  <c r="D433" i="1"/>
  <c r="E433" i="1"/>
  <c r="F433" i="1"/>
  <c r="G433" i="1"/>
  <c r="H433" i="1"/>
  <c r="I433" i="1"/>
  <c r="J433" i="1"/>
  <c r="B434" i="1"/>
  <c r="C434" i="1"/>
  <c r="D434" i="1"/>
  <c r="E434" i="1"/>
  <c r="F434" i="1"/>
  <c r="G434" i="1"/>
  <c r="H434" i="1"/>
  <c r="I434" i="1"/>
  <c r="J434" i="1"/>
  <c r="B435" i="1"/>
  <c r="C435" i="1"/>
  <c r="D435" i="1"/>
  <c r="E435" i="1"/>
  <c r="F435" i="1"/>
  <c r="G435" i="1"/>
  <c r="H435" i="1"/>
  <c r="I435" i="1"/>
  <c r="J435" i="1"/>
  <c r="B436" i="1"/>
  <c r="C436" i="1"/>
  <c r="D436" i="1"/>
  <c r="E436" i="1"/>
  <c r="F436" i="1"/>
  <c r="G436" i="1"/>
  <c r="H436" i="1"/>
  <c r="I436" i="1"/>
  <c r="J436" i="1"/>
  <c r="B437" i="1"/>
  <c r="C437" i="1"/>
  <c r="D437" i="1"/>
  <c r="E437" i="1"/>
  <c r="F437" i="1"/>
  <c r="G437" i="1"/>
  <c r="H437" i="1"/>
  <c r="I437" i="1"/>
  <c r="J437" i="1"/>
  <c r="B438" i="1"/>
  <c r="C438" i="1"/>
  <c r="D438" i="1"/>
  <c r="E438" i="1"/>
  <c r="F438" i="1"/>
  <c r="G438" i="1"/>
  <c r="H438" i="1"/>
  <c r="I438" i="1"/>
  <c r="J438" i="1"/>
  <c r="B439" i="1"/>
  <c r="C439" i="1"/>
  <c r="D439" i="1"/>
  <c r="E439" i="1"/>
  <c r="F439" i="1"/>
  <c r="G439" i="1"/>
  <c r="H439" i="1"/>
  <c r="I439" i="1"/>
  <c r="J439" i="1"/>
  <c r="B440" i="1"/>
  <c r="C440" i="1"/>
  <c r="D440" i="1"/>
  <c r="E440" i="1"/>
  <c r="F440" i="1"/>
  <c r="G440" i="1"/>
  <c r="H440" i="1"/>
  <c r="I440" i="1"/>
  <c r="J440" i="1"/>
  <c r="B441" i="1"/>
  <c r="C441" i="1"/>
  <c r="D441" i="1"/>
  <c r="E441" i="1"/>
  <c r="F441" i="1"/>
  <c r="G441" i="1"/>
  <c r="H441" i="1"/>
  <c r="I441" i="1"/>
  <c r="J441" i="1"/>
  <c r="B442" i="1"/>
  <c r="C442" i="1"/>
  <c r="D442" i="1"/>
  <c r="E442" i="1"/>
  <c r="F442" i="1"/>
  <c r="G442" i="1"/>
  <c r="H442" i="1"/>
  <c r="I442" i="1"/>
  <c r="J442" i="1"/>
  <c r="B443" i="1"/>
  <c r="C443" i="1"/>
  <c r="D443" i="1"/>
  <c r="E443" i="1"/>
  <c r="F443" i="1"/>
  <c r="G443" i="1"/>
  <c r="H443" i="1"/>
  <c r="I443" i="1"/>
  <c r="J443" i="1"/>
  <c r="B444" i="1"/>
  <c r="C444" i="1"/>
  <c r="D444" i="1"/>
  <c r="E444" i="1"/>
  <c r="F444" i="1"/>
  <c r="G444" i="1"/>
  <c r="H444" i="1"/>
  <c r="I444" i="1"/>
  <c r="J444" i="1"/>
  <c r="B445" i="1"/>
  <c r="C445" i="1"/>
  <c r="D445" i="1"/>
  <c r="E445" i="1"/>
  <c r="F445" i="1"/>
  <c r="G445" i="1"/>
  <c r="H445" i="1"/>
  <c r="I445" i="1"/>
  <c r="J445" i="1"/>
  <c r="B446" i="1"/>
  <c r="C446" i="1"/>
  <c r="D446" i="1"/>
  <c r="E446" i="1"/>
  <c r="F446" i="1"/>
  <c r="G446" i="1"/>
  <c r="H446" i="1"/>
  <c r="I446" i="1"/>
  <c r="J446" i="1"/>
  <c r="B447" i="1"/>
  <c r="C447" i="1"/>
  <c r="D447" i="1"/>
  <c r="E447" i="1"/>
  <c r="F447" i="1"/>
  <c r="G447" i="1"/>
  <c r="H447" i="1"/>
  <c r="I447" i="1"/>
  <c r="J447" i="1"/>
  <c r="B448" i="1"/>
  <c r="C448" i="1"/>
  <c r="D448" i="1"/>
  <c r="E448" i="1"/>
  <c r="F448" i="1"/>
  <c r="G448" i="1"/>
  <c r="H448" i="1"/>
  <c r="I448" i="1"/>
  <c r="J448" i="1"/>
  <c r="B449" i="1"/>
  <c r="C449" i="1"/>
  <c r="D449" i="1"/>
  <c r="E449" i="1"/>
  <c r="F449" i="1"/>
  <c r="G449" i="1"/>
  <c r="H449" i="1"/>
  <c r="I449" i="1"/>
  <c r="J449" i="1"/>
  <c r="B450" i="1"/>
  <c r="C450" i="1"/>
  <c r="D450" i="1"/>
  <c r="E450" i="1"/>
  <c r="F450" i="1"/>
  <c r="G450" i="1"/>
  <c r="H450" i="1"/>
  <c r="I450" i="1"/>
  <c r="J450" i="1"/>
  <c r="B451" i="1"/>
  <c r="C451" i="1"/>
  <c r="D451" i="1"/>
  <c r="E451" i="1"/>
  <c r="F451" i="1"/>
  <c r="G451" i="1"/>
  <c r="H451" i="1"/>
  <c r="I451" i="1"/>
  <c r="J451" i="1"/>
  <c r="B452" i="1"/>
  <c r="C452" i="1"/>
  <c r="D452" i="1"/>
  <c r="E452" i="1"/>
  <c r="F452" i="1"/>
  <c r="G452" i="1"/>
  <c r="H452" i="1"/>
  <c r="I452" i="1"/>
  <c r="J452" i="1"/>
  <c r="B453" i="1"/>
  <c r="C453" i="1"/>
  <c r="D453" i="1"/>
  <c r="E453" i="1"/>
  <c r="F453" i="1"/>
  <c r="G453" i="1"/>
  <c r="H453" i="1"/>
  <c r="I453" i="1"/>
  <c r="J453" i="1"/>
  <c r="B454" i="1"/>
  <c r="C454" i="1"/>
  <c r="D454" i="1"/>
  <c r="E454" i="1"/>
  <c r="F454" i="1"/>
  <c r="G454" i="1"/>
  <c r="H454" i="1"/>
  <c r="I454" i="1"/>
  <c r="J454" i="1"/>
  <c r="B455" i="1"/>
  <c r="C455" i="1"/>
  <c r="D455" i="1"/>
  <c r="E455" i="1"/>
  <c r="F455" i="1"/>
  <c r="G455" i="1"/>
  <c r="H455" i="1"/>
  <c r="I455" i="1"/>
  <c r="J455" i="1"/>
  <c r="B456" i="1"/>
  <c r="C456" i="1"/>
  <c r="D456" i="1"/>
  <c r="E456" i="1"/>
  <c r="F456" i="1"/>
  <c r="G456" i="1"/>
  <c r="H456" i="1"/>
  <c r="I456" i="1"/>
  <c r="J456" i="1"/>
  <c r="B457" i="1"/>
  <c r="C457" i="1"/>
  <c r="D457" i="1"/>
  <c r="E457" i="1"/>
  <c r="F457" i="1"/>
  <c r="G457" i="1"/>
  <c r="H457" i="1"/>
  <c r="I457" i="1"/>
  <c r="J457" i="1"/>
  <c r="B458" i="1"/>
  <c r="C458" i="1"/>
  <c r="D458" i="1"/>
  <c r="E458" i="1"/>
  <c r="F458" i="1"/>
  <c r="G458" i="1"/>
  <c r="H458" i="1"/>
  <c r="I458" i="1"/>
  <c r="J458" i="1"/>
  <c r="B459" i="1"/>
  <c r="C459" i="1"/>
  <c r="D459" i="1"/>
  <c r="E459" i="1"/>
  <c r="F459" i="1"/>
  <c r="G459" i="1"/>
  <c r="H459" i="1"/>
  <c r="I459" i="1"/>
  <c r="J459" i="1"/>
  <c r="B460" i="1"/>
  <c r="C460" i="1"/>
  <c r="D460" i="1"/>
  <c r="E460" i="1"/>
  <c r="F460" i="1"/>
  <c r="G460" i="1"/>
  <c r="H460" i="1"/>
  <c r="I460" i="1"/>
  <c r="J460" i="1"/>
  <c r="B461" i="1"/>
  <c r="C461" i="1"/>
  <c r="D461" i="1"/>
  <c r="E461" i="1"/>
  <c r="F461" i="1"/>
  <c r="G461" i="1"/>
  <c r="H461" i="1"/>
  <c r="I461" i="1"/>
  <c r="J461" i="1"/>
  <c r="B462" i="1"/>
  <c r="C462" i="1"/>
  <c r="D462" i="1"/>
  <c r="E462" i="1"/>
  <c r="F462" i="1"/>
  <c r="G462" i="1"/>
  <c r="H462" i="1"/>
  <c r="I462" i="1"/>
  <c r="J462" i="1"/>
  <c r="B463" i="1"/>
  <c r="C463" i="1"/>
  <c r="D463" i="1"/>
  <c r="E463" i="1"/>
  <c r="F463" i="1"/>
  <c r="G463" i="1"/>
  <c r="H463" i="1"/>
  <c r="I463" i="1"/>
  <c r="J463" i="1"/>
  <c r="B464" i="1"/>
  <c r="C464" i="1"/>
  <c r="D464" i="1"/>
  <c r="E464" i="1"/>
  <c r="F464" i="1"/>
  <c r="G464" i="1"/>
  <c r="H464" i="1"/>
  <c r="I464" i="1"/>
  <c r="J464" i="1"/>
  <c r="B465" i="1"/>
  <c r="C465" i="1"/>
  <c r="D465" i="1"/>
  <c r="E465" i="1"/>
  <c r="F465" i="1"/>
  <c r="G465" i="1"/>
  <c r="H465" i="1"/>
  <c r="I465" i="1"/>
  <c r="J465" i="1"/>
  <c r="B466" i="1"/>
  <c r="C466" i="1"/>
  <c r="D466" i="1"/>
  <c r="E466" i="1"/>
  <c r="F466" i="1"/>
  <c r="G466" i="1"/>
  <c r="H466" i="1"/>
  <c r="I466" i="1"/>
  <c r="J466" i="1"/>
  <c r="B467" i="1"/>
  <c r="C467" i="1"/>
  <c r="D467" i="1"/>
  <c r="E467" i="1"/>
  <c r="F467" i="1"/>
  <c r="G467" i="1"/>
  <c r="H467" i="1"/>
  <c r="I467" i="1"/>
  <c r="J467" i="1"/>
  <c r="B468" i="1"/>
  <c r="C468" i="1"/>
  <c r="D468" i="1"/>
  <c r="E468" i="1"/>
  <c r="F468" i="1"/>
  <c r="G468" i="1"/>
  <c r="H468" i="1"/>
  <c r="I468" i="1"/>
  <c r="J468" i="1"/>
  <c r="B469" i="1"/>
  <c r="C469" i="1"/>
  <c r="D469" i="1"/>
  <c r="E469" i="1"/>
  <c r="F469" i="1"/>
  <c r="G469" i="1"/>
  <c r="H469" i="1"/>
  <c r="I469" i="1"/>
  <c r="J469" i="1"/>
  <c r="B470" i="1"/>
  <c r="C470" i="1"/>
  <c r="D470" i="1"/>
  <c r="E470" i="1"/>
  <c r="F470" i="1"/>
  <c r="G470" i="1"/>
  <c r="H470" i="1"/>
  <c r="I470" i="1"/>
  <c r="J470" i="1"/>
  <c r="B471" i="1"/>
  <c r="C471" i="1"/>
  <c r="D471" i="1"/>
  <c r="E471" i="1"/>
  <c r="F471" i="1"/>
  <c r="G471" i="1"/>
  <c r="H471" i="1"/>
  <c r="I471" i="1"/>
  <c r="J471" i="1"/>
  <c r="B472" i="1"/>
  <c r="C472" i="1"/>
  <c r="D472" i="1"/>
  <c r="E472" i="1"/>
  <c r="F472" i="1"/>
  <c r="G472" i="1"/>
  <c r="H472" i="1"/>
  <c r="I472" i="1"/>
  <c r="J472" i="1"/>
  <c r="B473" i="1"/>
  <c r="C473" i="1"/>
  <c r="D473" i="1"/>
  <c r="E473" i="1"/>
  <c r="F473" i="1"/>
  <c r="G473" i="1"/>
  <c r="H473" i="1"/>
  <c r="I473" i="1"/>
  <c r="J473" i="1"/>
  <c r="B474" i="1"/>
  <c r="C474" i="1"/>
  <c r="D474" i="1"/>
  <c r="E474" i="1"/>
  <c r="F474" i="1"/>
  <c r="G474" i="1"/>
  <c r="H474" i="1"/>
  <c r="I474" i="1"/>
  <c r="J474" i="1"/>
  <c r="B475" i="1"/>
  <c r="C475" i="1"/>
  <c r="D475" i="1"/>
  <c r="E475" i="1"/>
  <c r="F475" i="1"/>
  <c r="G475" i="1"/>
  <c r="H475" i="1"/>
  <c r="I475" i="1"/>
  <c r="J475" i="1"/>
  <c r="B476" i="1"/>
  <c r="C476" i="1"/>
  <c r="D476" i="1"/>
  <c r="E476" i="1"/>
  <c r="F476" i="1"/>
  <c r="G476" i="1"/>
  <c r="H476" i="1"/>
  <c r="I476" i="1"/>
  <c r="J476" i="1"/>
  <c r="B477" i="1"/>
  <c r="C477" i="1"/>
  <c r="D477" i="1"/>
  <c r="E477" i="1"/>
  <c r="F477" i="1"/>
  <c r="G477" i="1"/>
  <c r="H477" i="1"/>
  <c r="I477" i="1"/>
  <c r="J477" i="1"/>
  <c r="B478" i="1"/>
  <c r="C478" i="1"/>
  <c r="D478" i="1"/>
  <c r="E478" i="1"/>
  <c r="F478" i="1"/>
  <c r="G478" i="1"/>
  <c r="H478" i="1"/>
  <c r="I478" i="1"/>
  <c r="J478" i="1"/>
  <c r="B479" i="1"/>
  <c r="C479" i="1"/>
  <c r="D479" i="1"/>
  <c r="E479" i="1"/>
  <c r="F479" i="1"/>
  <c r="G479" i="1"/>
  <c r="H479" i="1"/>
  <c r="I479" i="1"/>
  <c r="J479" i="1"/>
  <c r="B480" i="1"/>
  <c r="C480" i="1"/>
  <c r="D480" i="1"/>
  <c r="E480" i="1"/>
  <c r="F480" i="1"/>
  <c r="G480" i="1"/>
  <c r="H480" i="1"/>
  <c r="I480" i="1"/>
  <c r="J480" i="1"/>
  <c r="B481" i="1"/>
  <c r="C481" i="1"/>
  <c r="D481" i="1"/>
  <c r="E481" i="1"/>
  <c r="F481" i="1"/>
  <c r="G481" i="1"/>
  <c r="H481" i="1"/>
  <c r="I481" i="1"/>
  <c r="J481" i="1"/>
  <c r="B482" i="1"/>
  <c r="C482" i="1"/>
  <c r="D482" i="1"/>
  <c r="E482" i="1"/>
  <c r="F482" i="1"/>
  <c r="G482" i="1"/>
  <c r="H482" i="1"/>
  <c r="I482" i="1"/>
  <c r="J482" i="1"/>
  <c r="B483" i="1"/>
  <c r="C483" i="1"/>
  <c r="D483" i="1"/>
  <c r="E483" i="1"/>
  <c r="F483" i="1"/>
  <c r="G483" i="1"/>
  <c r="H483" i="1"/>
  <c r="I483" i="1"/>
  <c r="J483" i="1"/>
  <c r="B484" i="1"/>
  <c r="C484" i="1"/>
  <c r="D484" i="1"/>
  <c r="E484" i="1"/>
  <c r="F484" i="1"/>
  <c r="G484" i="1"/>
  <c r="H484" i="1"/>
  <c r="I484" i="1"/>
  <c r="J484" i="1"/>
  <c r="B485" i="1"/>
  <c r="C485" i="1"/>
  <c r="D485" i="1"/>
  <c r="E485" i="1"/>
  <c r="F485" i="1"/>
  <c r="G485" i="1"/>
  <c r="H485" i="1"/>
  <c r="I485" i="1"/>
  <c r="J485" i="1"/>
  <c r="B486" i="1"/>
  <c r="C486" i="1"/>
  <c r="D486" i="1"/>
  <c r="E486" i="1"/>
  <c r="F486" i="1"/>
  <c r="G486" i="1"/>
  <c r="H486" i="1"/>
  <c r="I486" i="1"/>
  <c r="J486" i="1"/>
  <c r="B487" i="1"/>
  <c r="C487" i="1"/>
  <c r="D487" i="1"/>
  <c r="E487" i="1"/>
  <c r="F487" i="1"/>
  <c r="G487" i="1"/>
  <c r="H487" i="1"/>
  <c r="I487" i="1"/>
  <c r="J487" i="1"/>
  <c r="B488" i="1"/>
  <c r="C488" i="1"/>
  <c r="D488" i="1"/>
  <c r="E488" i="1"/>
  <c r="F488" i="1"/>
  <c r="G488" i="1"/>
  <c r="H488" i="1"/>
  <c r="I488" i="1"/>
  <c r="J488" i="1"/>
  <c r="B489" i="1"/>
  <c r="C489" i="1"/>
  <c r="D489" i="1"/>
  <c r="E489" i="1"/>
  <c r="F489" i="1"/>
  <c r="G489" i="1"/>
  <c r="H489" i="1"/>
  <c r="I489" i="1"/>
  <c r="J489" i="1"/>
  <c r="B490" i="1"/>
  <c r="C490" i="1"/>
  <c r="D490" i="1"/>
  <c r="E490" i="1"/>
  <c r="F490" i="1"/>
  <c r="G490" i="1"/>
  <c r="H490" i="1"/>
  <c r="I490" i="1"/>
  <c r="J490" i="1"/>
  <c r="B491" i="1"/>
  <c r="C491" i="1"/>
  <c r="D491" i="1"/>
  <c r="E491" i="1"/>
  <c r="F491" i="1"/>
  <c r="G491" i="1"/>
  <c r="H491" i="1"/>
  <c r="I491" i="1"/>
  <c r="J491" i="1"/>
  <c r="B492" i="1"/>
  <c r="C492" i="1"/>
  <c r="D492" i="1"/>
  <c r="E492" i="1"/>
  <c r="F492" i="1"/>
  <c r="G492" i="1"/>
  <c r="H492" i="1"/>
  <c r="I492" i="1"/>
  <c r="J492" i="1"/>
  <c r="B493" i="1"/>
  <c r="C493" i="1"/>
  <c r="D493" i="1"/>
  <c r="E493" i="1"/>
  <c r="F493" i="1"/>
  <c r="G493" i="1"/>
  <c r="H493" i="1"/>
  <c r="I493" i="1"/>
  <c r="J493" i="1"/>
  <c r="B494" i="1"/>
  <c r="C494" i="1"/>
  <c r="D494" i="1"/>
  <c r="E494" i="1"/>
  <c r="F494" i="1"/>
  <c r="G494" i="1"/>
  <c r="H494" i="1"/>
  <c r="I494" i="1"/>
  <c r="J494" i="1"/>
  <c r="B495" i="1"/>
  <c r="C495" i="1"/>
  <c r="D495" i="1"/>
  <c r="E495" i="1"/>
  <c r="F495" i="1"/>
  <c r="G495" i="1"/>
  <c r="H495" i="1"/>
  <c r="I495" i="1"/>
  <c r="J495" i="1"/>
  <c r="B496" i="1"/>
  <c r="C496" i="1"/>
  <c r="D496" i="1"/>
  <c r="E496" i="1"/>
  <c r="F496" i="1"/>
  <c r="G496" i="1"/>
  <c r="H496" i="1"/>
  <c r="I496" i="1"/>
  <c r="J496" i="1"/>
  <c r="B497" i="1"/>
  <c r="C497" i="1"/>
  <c r="D497" i="1"/>
  <c r="E497" i="1"/>
  <c r="F497" i="1"/>
  <c r="G497" i="1"/>
  <c r="H497" i="1"/>
  <c r="I497" i="1"/>
  <c r="J497" i="1"/>
  <c r="B498" i="1"/>
  <c r="C498" i="1"/>
  <c r="D498" i="1"/>
  <c r="E498" i="1"/>
  <c r="F498" i="1"/>
  <c r="G498" i="1"/>
  <c r="H498" i="1"/>
  <c r="I498" i="1"/>
  <c r="J498" i="1"/>
  <c r="B499" i="1"/>
  <c r="C499" i="1"/>
  <c r="D499" i="1"/>
  <c r="E499" i="1"/>
  <c r="F499" i="1"/>
  <c r="G499" i="1"/>
  <c r="H499" i="1"/>
  <c r="I499" i="1"/>
  <c r="J499" i="1"/>
  <c r="B500" i="1"/>
  <c r="C500" i="1"/>
  <c r="D500" i="1"/>
  <c r="E500" i="1"/>
  <c r="F500" i="1"/>
  <c r="G500" i="1"/>
  <c r="H500" i="1"/>
  <c r="I500" i="1"/>
  <c r="J500" i="1"/>
  <c r="B501" i="1"/>
  <c r="C501" i="1"/>
  <c r="D501" i="1"/>
  <c r="E501" i="1"/>
  <c r="F501" i="1"/>
  <c r="G501" i="1"/>
  <c r="H501" i="1"/>
  <c r="I501" i="1"/>
  <c r="J501" i="1"/>
  <c r="B502" i="1"/>
  <c r="C502" i="1"/>
  <c r="D502" i="1"/>
  <c r="E502" i="1"/>
  <c r="F502" i="1"/>
  <c r="G502" i="1"/>
  <c r="H502" i="1"/>
  <c r="I502" i="1"/>
  <c r="J502" i="1"/>
  <c r="B503" i="1"/>
  <c r="C503" i="1"/>
  <c r="D503" i="1"/>
  <c r="E503" i="1"/>
  <c r="F503" i="1"/>
  <c r="G503" i="1"/>
  <c r="H503" i="1"/>
  <c r="I503" i="1"/>
  <c r="J503" i="1"/>
  <c r="B504" i="1"/>
  <c r="C504" i="1"/>
  <c r="D504" i="1"/>
  <c r="E504" i="1"/>
  <c r="F504" i="1"/>
  <c r="G504" i="1"/>
  <c r="H504" i="1"/>
  <c r="I504" i="1"/>
  <c r="J504" i="1"/>
  <c r="B505" i="1"/>
  <c r="C505" i="1"/>
  <c r="D505" i="1"/>
  <c r="E505" i="1"/>
  <c r="F505" i="1"/>
  <c r="G505" i="1"/>
  <c r="H505" i="1"/>
  <c r="I505" i="1"/>
  <c r="J505" i="1"/>
  <c r="B506" i="1"/>
  <c r="C506" i="1"/>
  <c r="D506" i="1"/>
  <c r="E506" i="1"/>
  <c r="F506" i="1"/>
  <c r="G506" i="1"/>
  <c r="H506" i="1"/>
  <c r="I506" i="1"/>
  <c r="J506" i="1"/>
  <c r="B507" i="1"/>
  <c r="C507" i="1"/>
  <c r="D507" i="1"/>
  <c r="E507" i="1"/>
  <c r="F507" i="1"/>
  <c r="G507" i="1"/>
  <c r="H507" i="1"/>
  <c r="I507" i="1"/>
  <c r="J507" i="1"/>
  <c r="B508" i="1"/>
  <c r="C508" i="1"/>
  <c r="D508" i="1"/>
  <c r="E508" i="1"/>
  <c r="F508" i="1"/>
  <c r="G508" i="1"/>
  <c r="H508" i="1"/>
  <c r="I508" i="1"/>
  <c r="J508" i="1"/>
  <c r="B509" i="1"/>
  <c r="C509" i="1"/>
  <c r="D509" i="1"/>
  <c r="E509" i="1"/>
  <c r="F509" i="1"/>
  <c r="G509" i="1"/>
  <c r="H509" i="1"/>
  <c r="I509" i="1"/>
  <c r="J509" i="1"/>
  <c r="B510" i="1"/>
  <c r="C510" i="1"/>
  <c r="D510" i="1"/>
  <c r="E510" i="1"/>
  <c r="F510" i="1"/>
  <c r="G510" i="1"/>
  <c r="H510" i="1"/>
  <c r="I510" i="1"/>
  <c r="J510" i="1"/>
  <c r="B511" i="1"/>
  <c r="C511" i="1"/>
  <c r="D511" i="1"/>
  <c r="E511" i="1"/>
  <c r="F511" i="1"/>
  <c r="G511" i="1"/>
  <c r="H511" i="1"/>
  <c r="I511" i="1"/>
  <c r="J511" i="1"/>
  <c r="B512" i="1"/>
  <c r="C512" i="1"/>
  <c r="D512" i="1"/>
  <c r="E512" i="1"/>
  <c r="F512" i="1"/>
  <c r="G512" i="1"/>
  <c r="H512" i="1"/>
  <c r="I512" i="1"/>
  <c r="J512" i="1"/>
  <c r="B513" i="1"/>
  <c r="C513" i="1"/>
  <c r="D513" i="1"/>
  <c r="E513" i="1"/>
  <c r="F513" i="1"/>
  <c r="G513" i="1"/>
  <c r="H513" i="1"/>
  <c r="I513" i="1"/>
  <c r="J513" i="1"/>
  <c r="B514" i="1"/>
  <c r="C514" i="1"/>
  <c r="D514" i="1"/>
  <c r="E514" i="1"/>
  <c r="F514" i="1"/>
  <c r="G514" i="1"/>
  <c r="H514" i="1"/>
  <c r="I514" i="1"/>
  <c r="J514" i="1"/>
  <c r="B515" i="1"/>
  <c r="C515" i="1"/>
  <c r="D515" i="1"/>
  <c r="E515" i="1"/>
  <c r="F515" i="1"/>
  <c r="G515" i="1"/>
  <c r="H515" i="1"/>
  <c r="I515" i="1"/>
  <c r="J515" i="1"/>
  <c r="B516" i="1"/>
  <c r="C516" i="1"/>
  <c r="D516" i="1"/>
  <c r="E516" i="1"/>
  <c r="F516" i="1"/>
  <c r="G516" i="1"/>
  <c r="H516" i="1"/>
  <c r="I516" i="1"/>
  <c r="J516" i="1"/>
  <c r="B517" i="1"/>
  <c r="C517" i="1"/>
  <c r="D517" i="1"/>
  <c r="E517" i="1"/>
  <c r="F517" i="1"/>
  <c r="G517" i="1"/>
  <c r="H517" i="1"/>
  <c r="I517" i="1"/>
  <c r="J517" i="1"/>
  <c r="B518" i="1"/>
  <c r="C518" i="1"/>
  <c r="D518" i="1"/>
  <c r="E518" i="1"/>
  <c r="F518" i="1"/>
  <c r="G518" i="1"/>
  <c r="H518" i="1"/>
  <c r="I518" i="1"/>
  <c r="J518" i="1"/>
  <c r="B519" i="1"/>
  <c r="C519" i="1"/>
  <c r="D519" i="1"/>
  <c r="E519" i="1"/>
  <c r="F519" i="1"/>
  <c r="G519" i="1"/>
  <c r="H519" i="1"/>
  <c r="I519" i="1"/>
  <c r="J519" i="1"/>
  <c r="B520" i="1"/>
  <c r="C520" i="1"/>
  <c r="D520" i="1"/>
  <c r="E520" i="1"/>
  <c r="F520" i="1"/>
  <c r="G520" i="1"/>
  <c r="H520" i="1"/>
  <c r="I520" i="1"/>
  <c r="J520" i="1"/>
  <c r="B521" i="1"/>
  <c r="C521" i="1"/>
  <c r="D521" i="1"/>
  <c r="E521" i="1"/>
  <c r="F521" i="1"/>
  <c r="G521" i="1"/>
  <c r="H521" i="1"/>
  <c r="I521" i="1"/>
  <c r="J521" i="1"/>
  <c r="B522" i="1"/>
  <c r="C522" i="1"/>
  <c r="D522" i="1"/>
  <c r="E522" i="1"/>
  <c r="F522" i="1"/>
  <c r="G522" i="1"/>
  <c r="H522" i="1"/>
  <c r="I522" i="1"/>
  <c r="J522" i="1"/>
  <c r="B523" i="1"/>
  <c r="C523" i="1"/>
  <c r="D523" i="1"/>
  <c r="E523" i="1"/>
  <c r="F523" i="1"/>
  <c r="G523" i="1"/>
  <c r="H523" i="1"/>
  <c r="I523" i="1"/>
  <c r="J523" i="1"/>
  <c r="B524" i="1"/>
  <c r="C524" i="1"/>
  <c r="D524" i="1"/>
  <c r="E524" i="1"/>
  <c r="F524" i="1"/>
  <c r="G524" i="1"/>
  <c r="H524" i="1"/>
  <c r="I524" i="1"/>
  <c r="J524" i="1"/>
  <c r="B525" i="1"/>
  <c r="C525" i="1"/>
  <c r="D525" i="1"/>
  <c r="E525" i="1"/>
  <c r="F525" i="1"/>
  <c r="G525" i="1"/>
  <c r="H525" i="1"/>
  <c r="I525" i="1"/>
  <c r="J525" i="1"/>
  <c r="B526" i="1"/>
  <c r="C526" i="1"/>
  <c r="D526" i="1"/>
  <c r="E526" i="1"/>
  <c r="F526" i="1"/>
  <c r="G526" i="1"/>
  <c r="H526" i="1"/>
  <c r="I526" i="1"/>
  <c r="J526" i="1"/>
  <c r="B527" i="1"/>
  <c r="C527" i="1"/>
  <c r="D527" i="1"/>
  <c r="E527" i="1"/>
  <c r="F527" i="1"/>
  <c r="G527" i="1"/>
  <c r="H527" i="1"/>
  <c r="I527" i="1"/>
  <c r="J527" i="1"/>
  <c r="B528" i="1"/>
  <c r="C528" i="1"/>
  <c r="D528" i="1"/>
  <c r="E528" i="1"/>
  <c r="F528" i="1"/>
  <c r="G528" i="1"/>
  <c r="H528" i="1"/>
  <c r="I528" i="1"/>
  <c r="J528" i="1"/>
  <c r="B529" i="1"/>
  <c r="C529" i="1"/>
  <c r="D529" i="1"/>
  <c r="E529" i="1"/>
  <c r="F529" i="1"/>
  <c r="G529" i="1"/>
  <c r="H529" i="1"/>
  <c r="I529" i="1"/>
  <c r="J529" i="1"/>
  <c r="B530" i="1"/>
  <c r="C530" i="1"/>
  <c r="D530" i="1"/>
  <c r="E530" i="1"/>
  <c r="F530" i="1"/>
  <c r="G530" i="1"/>
  <c r="H530" i="1"/>
  <c r="I530" i="1"/>
  <c r="J530" i="1"/>
  <c r="B531" i="1"/>
  <c r="C531" i="1"/>
  <c r="D531" i="1"/>
  <c r="E531" i="1"/>
  <c r="F531" i="1"/>
  <c r="G531" i="1"/>
  <c r="H531" i="1"/>
  <c r="I531" i="1"/>
  <c r="J531" i="1"/>
  <c r="B532" i="1"/>
  <c r="C532" i="1"/>
  <c r="D532" i="1"/>
  <c r="E532" i="1"/>
  <c r="F532" i="1"/>
  <c r="G532" i="1"/>
  <c r="H532" i="1"/>
  <c r="I532" i="1"/>
  <c r="J532" i="1"/>
  <c r="B533" i="1"/>
  <c r="C533" i="1"/>
  <c r="D533" i="1"/>
  <c r="E533" i="1"/>
  <c r="F533" i="1"/>
  <c r="G533" i="1"/>
  <c r="H533" i="1"/>
  <c r="I533" i="1"/>
  <c r="J533" i="1"/>
  <c r="B534" i="1"/>
  <c r="C534" i="1"/>
  <c r="D534" i="1"/>
  <c r="E534" i="1"/>
  <c r="F534" i="1"/>
  <c r="G534" i="1"/>
  <c r="H534" i="1"/>
  <c r="I534" i="1"/>
  <c r="J534" i="1"/>
  <c r="B535" i="1"/>
  <c r="C535" i="1"/>
  <c r="D535" i="1"/>
  <c r="E535" i="1"/>
  <c r="F535" i="1"/>
  <c r="G535" i="1"/>
  <c r="H535" i="1"/>
  <c r="I535" i="1"/>
  <c r="J535" i="1"/>
  <c r="B536" i="1"/>
  <c r="C536" i="1"/>
  <c r="D536" i="1"/>
  <c r="E536" i="1"/>
  <c r="F536" i="1"/>
  <c r="G536" i="1"/>
  <c r="H536" i="1"/>
  <c r="I536" i="1"/>
  <c r="J536" i="1"/>
  <c r="B537" i="1"/>
  <c r="C537" i="1"/>
  <c r="D537" i="1"/>
  <c r="E537" i="1"/>
  <c r="F537" i="1"/>
  <c r="G537" i="1"/>
  <c r="H537" i="1"/>
  <c r="I537" i="1"/>
  <c r="J537" i="1"/>
  <c r="B538" i="1"/>
  <c r="C538" i="1"/>
  <c r="D538" i="1"/>
  <c r="E538" i="1"/>
  <c r="F538" i="1"/>
  <c r="G538" i="1"/>
  <c r="H538" i="1"/>
  <c r="I538" i="1"/>
  <c r="J538" i="1"/>
  <c r="B539" i="1"/>
  <c r="C539" i="1"/>
  <c r="D539" i="1"/>
  <c r="E539" i="1"/>
  <c r="F539" i="1"/>
  <c r="G539" i="1"/>
  <c r="H539" i="1"/>
  <c r="I539" i="1"/>
  <c r="J539" i="1"/>
  <c r="B540" i="1"/>
  <c r="C540" i="1"/>
  <c r="D540" i="1"/>
  <c r="E540" i="1"/>
  <c r="F540" i="1"/>
  <c r="G540" i="1"/>
  <c r="H540" i="1"/>
  <c r="I540" i="1"/>
  <c r="J540" i="1"/>
  <c r="B541" i="1"/>
  <c r="C541" i="1"/>
  <c r="D541" i="1"/>
  <c r="E541" i="1"/>
  <c r="F541" i="1"/>
  <c r="G541" i="1"/>
  <c r="H541" i="1"/>
  <c r="I541" i="1"/>
  <c r="J541" i="1"/>
  <c r="B542" i="1"/>
  <c r="C542" i="1"/>
  <c r="D542" i="1"/>
  <c r="E542" i="1"/>
  <c r="F542" i="1"/>
  <c r="G542" i="1"/>
  <c r="H542" i="1"/>
  <c r="I542" i="1"/>
  <c r="J542" i="1"/>
  <c r="B543" i="1"/>
  <c r="C543" i="1"/>
  <c r="D543" i="1"/>
  <c r="E543" i="1"/>
  <c r="F543" i="1"/>
  <c r="G543" i="1"/>
  <c r="H543" i="1"/>
  <c r="I543" i="1"/>
  <c r="J543" i="1"/>
  <c r="B544" i="1"/>
  <c r="C544" i="1"/>
  <c r="D544" i="1"/>
  <c r="E544" i="1"/>
  <c r="F544" i="1"/>
  <c r="G544" i="1"/>
  <c r="H544" i="1"/>
  <c r="I544" i="1"/>
  <c r="J544" i="1"/>
  <c r="B545" i="1"/>
  <c r="C545" i="1"/>
  <c r="D545" i="1"/>
  <c r="E545" i="1"/>
  <c r="F545" i="1"/>
  <c r="G545" i="1"/>
  <c r="H545" i="1"/>
  <c r="I545" i="1"/>
  <c r="J545" i="1"/>
  <c r="B546" i="1"/>
  <c r="C546" i="1"/>
  <c r="D546" i="1"/>
  <c r="E546" i="1"/>
  <c r="F546" i="1"/>
  <c r="G546" i="1"/>
  <c r="H546" i="1"/>
  <c r="I546" i="1"/>
  <c r="J546" i="1"/>
  <c r="B547" i="1"/>
  <c r="C547" i="1"/>
  <c r="D547" i="1"/>
  <c r="E547" i="1"/>
  <c r="F547" i="1"/>
  <c r="G547" i="1"/>
  <c r="H547" i="1"/>
  <c r="I547" i="1"/>
  <c r="J547" i="1"/>
  <c r="B548" i="1"/>
  <c r="C548" i="1"/>
  <c r="D548" i="1"/>
  <c r="E548" i="1"/>
  <c r="F548" i="1"/>
  <c r="G548" i="1"/>
  <c r="H548" i="1"/>
  <c r="I548" i="1"/>
  <c r="J548" i="1"/>
  <c r="B549" i="1"/>
  <c r="C549" i="1"/>
  <c r="D549" i="1"/>
  <c r="E549" i="1"/>
  <c r="F549" i="1"/>
  <c r="G549" i="1"/>
  <c r="H549" i="1"/>
  <c r="I549" i="1"/>
  <c r="J549" i="1"/>
  <c r="B550" i="1"/>
  <c r="C550" i="1"/>
  <c r="D550" i="1"/>
  <c r="E550" i="1"/>
  <c r="F550" i="1"/>
  <c r="G550" i="1"/>
  <c r="H550" i="1"/>
  <c r="I550" i="1"/>
  <c r="J550" i="1"/>
  <c r="B551" i="1"/>
  <c r="C551" i="1"/>
  <c r="D551" i="1"/>
  <c r="E551" i="1"/>
  <c r="F551" i="1"/>
  <c r="G551" i="1"/>
  <c r="H551" i="1"/>
  <c r="I551" i="1"/>
  <c r="J551" i="1"/>
  <c r="B552" i="1"/>
  <c r="C552" i="1"/>
  <c r="D552" i="1"/>
  <c r="E552" i="1"/>
  <c r="F552" i="1"/>
  <c r="G552" i="1"/>
  <c r="H552" i="1"/>
  <c r="I552" i="1"/>
  <c r="J552" i="1"/>
  <c r="B553" i="1"/>
  <c r="C553" i="1"/>
  <c r="D553" i="1"/>
  <c r="E553" i="1"/>
  <c r="F553" i="1"/>
  <c r="G553" i="1"/>
  <c r="H553" i="1"/>
  <c r="I553" i="1"/>
  <c r="J553" i="1"/>
  <c r="B554" i="1"/>
  <c r="C554" i="1"/>
  <c r="D554" i="1"/>
  <c r="E554" i="1"/>
  <c r="F554" i="1"/>
  <c r="G554" i="1"/>
  <c r="H554" i="1"/>
  <c r="I554" i="1"/>
  <c r="J554" i="1"/>
  <c r="B555" i="1"/>
  <c r="C555" i="1"/>
  <c r="D555" i="1"/>
  <c r="E555" i="1"/>
  <c r="F555" i="1"/>
  <c r="G555" i="1"/>
  <c r="H555" i="1"/>
  <c r="I555" i="1"/>
  <c r="J555" i="1"/>
  <c r="B556" i="1"/>
  <c r="C556" i="1"/>
  <c r="D556" i="1"/>
  <c r="E556" i="1"/>
  <c r="F556" i="1"/>
  <c r="G556" i="1"/>
  <c r="H556" i="1"/>
  <c r="I556" i="1"/>
  <c r="J556" i="1"/>
  <c r="B557" i="1"/>
  <c r="C557" i="1"/>
  <c r="D557" i="1"/>
  <c r="E557" i="1"/>
  <c r="F557" i="1"/>
  <c r="G557" i="1"/>
  <c r="H557" i="1"/>
  <c r="I557" i="1"/>
  <c r="J557" i="1"/>
  <c r="B558" i="1"/>
  <c r="C558" i="1"/>
  <c r="D558" i="1"/>
  <c r="E558" i="1"/>
  <c r="F558" i="1"/>
  <c r="G558" i="1"/>
  <c r="H558" i="1"/>
  <c r="I558" i="1"/>
  <c r="J558" i="1"/>
  <c r="B559" i="1"/>
  <c r="C559" i="1"/>
  <c r="D559" i="1"/>
  <c r="E559" i="1"/>
  <c r="F559" i="1"/>
  <c r="G559" i="1"/>
  <c r="H559" i="1"/>
  <c r="I559" i="1"/>
  <c r="J559" i="1"/>
  <c r="B560" i="1"/>
  <c r="C560" i="1"/>
  <c r="D560" i="1"/>
  <c r="E560" i="1"/>
  <c r="F560" i="1"/>
  <c r="G560" i="1"/>
  <c r="H560" i="1"/>
  <c r="I560" i="1"/>
  <c r="J560" i="1"/>
  <c r="B561" i="1"/>
  <c r="C561" i="1"/>
  <c r="D561" i="1"/>
  <c r="E561" i="1"/>
  <c r="F561" i="1"/>
  <c r="G561" i="1"/>
  <c r="H561" i="1"/>
  <c r="I561" i="1"/>
  <c r="J561" i="1"/>
  <c r="B562" i="1"/>
  <c r="C562" i="1"/>
  <c r="D562" i="1"/>
  <c r="E562" i="1"/>
  <c r="F562" i="1"/>
  <c r="G562" i="1"/>
  <c r="H562" i="1"/>
  <c r="I562" i="1"/>
  <c r="J562" i="1"/>
  <c r="B563" i="1"/>
  <c r="C563" i="1"/>
  <c r="D563" i="1"/>
  <c r="E563" i="1"/>
  <c r="F563" i="1"/>
  <c r="G563" i="1"/>
  <c r="H563" i="1"/>
  <c r="I563" i="1"/>
  <c r="J563" i="1"/>
  <c r="B564" i="1"/>
  <c r="C564" i="1"/>
  <c r="D564" i="1"/>
  <c r="E564" i="1"/>
  <c r="F564" i="1"/>
  <c r="G564" i="1"/>
  <c r="H564" i="1"/>
  <c r="I564" i="1"/>
  <c r="J564" i="1"/>
  <c r="B565" i="1"/>
  <c r="C565" i="1"/>
  <c r="D565" i="1"/>
  <c r="E565" i="1"/>
  <c r="F565" i="1"/>
  <c r="G565" i="1"/>
  <c r="H565" i="1"/>
  <c r="I565" i="1"/>
  <c r="J565" i="1"/>
  <c r="B566" i="1"/>
  <c r="C566" i="1"/>
  <c r="D566" i="1"/>
  <c r="E566" i="1"/>
  <c r="F566" i="1"/>
  <c r="G566" i="1"/>
  <c r="H566" i="1"/>
  <c r="I566" i="1"/>
  <c r="J566" i="1"/>
  <c r="B567" i="1"/>
  <c r="C567" i="1"/>
  <c r="D567" i="1"/>
  <c r="E567" i="1"/>
  <c r="F567" i="1"/>
  <c r="G567" i="1"/>
  <c r="H567" i="1"/>
  <c r="I567" i="1"/>
  <c r="J567" i="1"/>
  <c r="B568" i="1"/>
  <c r="C568" i="1"/>
  <c r="D568" i="1"/>
  <c r="E568" i="1"/>
  <c r="F568" i="1"/>
  <c r="G568" i="1"/>
  <c r="H568" i="1"/>
  <c r="I568" i="1"/>
  <c r="J568" i="1"/>
  <c r="B569" i="1"/>
  <c r="C569" i="1"/>
  <c r="D569" i="1"/>
  <c r="E569" i="1"/>
  <c r="F569" i="1"/>
  <c r="G569" i="1"/>
  <c r="H569" i="1"/>
  <c r="I569" i="1"/>
  <c r="J569" i="1"/>
  <c r="B570" i="1"/>
  <c r="C570" i="1"/>
  <c r="D570" i="1"/>
  <c r="E570" i="1"/>
  <c r="F570" i="1"/>
  <c r="G570" i="1"/>
  <c r="H570" i="1"/>
  <c r="I570" i="1"/>
  <c r="J570" i="1"/>
  <c r="B571" i="1"/>
  <c r="C571" i="1"/>
  <c r="D571" i="1"/>
  <c r="E571" i="1"/>
  <c r="F571" i="1"/>
  <c r="G571" i="1"/>
  <c r="H571" i="1"/>
  <c r="I571" i="1"/>
  <c r="J571" i="1"/>
  <c r="B572" i="1"/>
  <c r="C572" i="1"/>
  <c r="D572" i="1"/>
  <c r="E572" i="1"/>
  <c r="F572" i="1"/>
  <c r="G572" i="1"/>
  <c r="H572" i="1"/>
  <c r="I572" i="1"/>
  <c r="J572" i="1"/>
  <c r="B573" i="1"/>
  <c r="C573" i="1"/>
  <c r="D573" i="1"/>
  <c r="E573" i="1"/>
  <c r="F573" i="1"/>
  <c r="G573" i="1"/>
  <c r="H573" i="1"/>
  <c r="I573" i="1"/>
  <c r="J573" i="1"/>
  <c r="B574" i="1"/>
  <c r="C574" i="1"/>
  <c r="D574" i="1"/>
  <c r="E574" i="1"/>
  <c r="F574" i="1"/>
  <c r="G574" i="1"/>
  <c r="H574" i="1"/>
  <c r="I574" i="1"/>
  <c r="J574" i="1"/>
  <c r="B575" i="1"/>
  <c r="C575" i="1"/>
  <c r="D575" i="1"/>
  <c r="E575" i="1"/>
  <c r="F575" i="1"/>
  <c r="G575" i="1"/>
  <c r="H575" i="1"/>
  <c r="I575" i="1"/>
  <c r="J575" i="1"/>
  <c r="B576" i="1"/>
  <c r="C576" i="1"/>
  <c r="D576" i="1"/>
  <c r="E576" i="1"/>
  <c r="F576" i="1"/>
  <c r="G576" i="1"/>
  <c r="H576" i="1"/>
  <c r="I576" i="1"/>
  <c r="J576" i="1"/>
  <c r="B577" i="1"/>
  <c r="C577" i="1"/>
  <c r="D577" i="1"/>
  <c r="E577" i="1"/>
  <c r="F577" i="1"/>
  <c r="G577" i="1"/>
  <c r="H577" i="1"/>
  <c r="I577" i="1"/>
  <c r="J577" i="1"/>
  <c r="B578" i="1"/>
  <c r="C578" i="1"/>
  <c r="D578" i="1"/>
  <c r="E578" i="1"/>
  <c r="F578" i="1"/>
  <c r="G578" i="1"/>
  <c r="H578" i="1"/>
  <c r="I578" i="1"/>
  <c r="J578" i="1"/>
  <c r="B579" i="1"/>
  <c r="C579" i="1"/>
  <c r="D579" i="1"/>
  <c r="E579" i="1"/>
  <c r="F579" i="1"/>
  <c r="G579" i="1"/>
  <c r="H579" i="1"/>
  <c r="I579" i="1"/>
  <c r="J579" i="1"/>
  <c r="B580" i="1"/>
  <c r="C580" i="1"/>
  <c r="D580" i="1"/>
  <c r="E580" i="1"/>
  <c r="F580" i="1"/>
  <c r="G580" i="1"/>
  <c r="H580" i="1"/>
  <c r="I580" i="1"/>
  <c r="J580" i="1"/>
  <c r="B581" i="1"/>
  <c r="C581" i="1"/>
  <c r="D581" i="1"/>
  <c r="E581" i="1"/>
  <c r="F581" i="1"/>
  <c r="G581" i="1"/>
  <c r="H581" i="1"/>
  <c r="I581" i="1"/>
  <c r="J581" i="1"/>
  <c r="B582" i="1"/>
  <c r="C582" i="1"/>
  <c r="D582" i="1"/>
  <c r="E582" i="1"/>
  <c r="F582" i="1"/>
  <c r="G582" i="1"/>
  <c r="H582" i="1"/>
  <c r="I582" i="1"/>
  <c r="J582" i="1"/>
  <c r="B583" i="1"/>
  <c r="C583" i="1"/>
  <c r="D583" i="1"/>
  <c r="E583" i="1"/>
  <c r="F583" i="1"/>
  <c r="G583" i="1"/>
  <c r="H583" i="1"/>
  <c r="I583" i="1"/>
  <c r="J583" i="1"/>
  <c r="B584" i="1"/>
  <c r="C584" i="1"/>
  <c r="D584" i="1"/>
  <c r="E584" i="1"/>
  <c r="F584" i="1"/>
  <c r="G584" i="1"/>
  <c r="H584" i="1"/>
  <c r="I584" i="1"/>
  <c r="J584" i="1"/>
  <c r="B585" i="1"/>
  <c r="C585" i="1"/>
  <c r="D585" i="1"/>
  <c r="E585" i="1"/>
  <c r="F585" i="1"/>
  <c r="G585" i="1"/>
  <c r="H585" i="1"/>
  <c r="I585" i="1"/>
  <c r="J585" i="1"/>
  <c r="B586" i="1"/>
  <c r="C586" i="1"/>
  <c r="D586" i="1"/>
  <c r="E586" i="1"/>
  <c r="F586" i="1"/>
  <c r="G586" i="1"/>
  <c r="H586" i="1"/>
  <c r="I586" i="1"/>
  <c r="J586" i="1"/>
  <c r="B587" i="1"/>
  <c r="C587" i="1"/>
  <c r="D587" i="1"/>
  <c r="E587" i="1"/>
  <c r="F587" i="1"/>
  <c r="G587" i="1"/>
  <c r="H587" i="1"/>
  <c r="I587" i="1"/>
  <c r="J587" i="1"/>
  <c r="B588" i="1"/>
  <c r="C588" i="1"/>
  <c r="D588" i="1"/>
  <c r="E588" i="1"/>
  <c r="F588" i="1"/>
  <c r="G588" i="1"/>
  <c r="H588" i="1"/>
  <c r="I588" i="1"/>
  <c r="J588" i="1"/>
  <c r="B589" i="1"/>
  <c r="C589" i="1"/>
  <c r="D589" i="1"/>
  <c r="E589" i="1"/>
  <c r="F589" i="1"/>
  <c r="G589" i="1"/>
  <c r="H589" i="1"/>
  <c r="I589" i="1"/>
  <c r="J589" i="1"/>
  <c r="B590" i="1"/>
  <c r="C590" i="1"/>
  <c r="D590" i="1"/>
  <c r="E590" i="1"/>
  <c r="F590" i="1"/>
  <c r="G590" i="1"/>
  <c r="H590" i="1"/>
  <c r="I590" i="1"/>
  <c r="J590" i="1"/>
  <c r="B591" i="1"/>
  <c r="C591" i="1"/>
  <c r="D591" i="1"/>
  <c r="E591" i="1"/>
  <c r="F591" i="1"/>
  <c r="G591" i="1"/>
  <c r="H591" i="1"/>
  <c r="I591" i="1"/>
  <c r="J591" i="1"/>
  <c r="B592" i="1"/>
  <c r="C592" i="1"/>
  <c r="D592" i="1"/>
  <c r="E592" i="1"/>
  <c r="F592" i="1"/>
  <c r="G592" i="1"/>
  <c r="H592" i="1"/>
  <c r="I592" i="1"/>
  <c r="J592" i="1"/>
  <c r="B593" i="1"/>
  <c r="C593" i="1"/>
  <c r="D593" i="1"/>
  <c r="E593" i="1"/>
  <c r="F593" i="1"/>
  <c r="G593" i="1"/>
  <c r="H593" i="1"/>
  <c r="I593" i="1"/>
  <c r="J593" i="1"/>
  <c r="B594" i="1"/>
  <c r="C594" i="1"/>
  <c r="D594" i="1"/>
  <c r="E594" i="1"/>
  <c r="F594" i="1"/>
  <c r="G594" i="1"/>
  <c r="H594" i="1"/>
  <c r="I594" i="1"/>
  <c r="J594" i="1"/>
  <c r="B595" i="1"/>
  <c r="C595" i="1"/>
  <c r="D595" i="1"/>
  <c r="E595" i="1"/>
  <c r="F595" i="1"/>
  <c r="G595" i="1"/>
  <c r="H595" i="1"/>
  <c r="I595" i="1"/>
  <c r="J595" i="1"/>
  <c r="B596" i="1"/>
  <c r="C596" i="1"/>
  <c r="D596" i="1"/>
  <c r="E596" i="1"/>
  <c r="F596" i="1"/>
  <c r="G596" i="1"/>
  <c r="H596" i="1"/>
  <c r="I596" i="1"/>
  <c r="J596" i="1"/>
  <c r="B597" i="1"/>
  <c r="C597" i="1"/>
  <c r="D597" i="1"/>
  <c r="E597" i="1"/>
  <c r="F597" i="1"/>
  <c r="G597" i="1"/>
  <c r="H597" i="1"/>
  <c r="I597" i="1"/>
  <c r="J597" i="1"/>
  <c r="B598" i="1"/>
  <c r="C598" i="1"/>
  <c r="D598" i="1"/>
  <c r="E598" i="1"/>
  <c r="F598" i="1"/>
  <c r="G598" i="1"/>
  <c r="H598" i="1"/>
  <c r="I598" i="1"/>
  <c r="J598" i="1"/>
  <c r="B599" i="1"/>
  <c r="C599" i="1"/>
  <c r="D599" i="1"/>
  <c r="E599" i="1"/>
  <c r="F599" i="1"/>
  <c r="G599" i="1"/>
  <c r="H599" i="1"/>
  <c r="I599" i="1"/>
  <c r="J599" i="1"/>
  <c r="B600" i="1"/>
  <c r="C600" i="1"/>
  <c r="D600" i="1"/>
  <c r="E600" i="1"/>
  <c r="F600" i="1"/>
  <c r="G600" i="1"/>
  <c r="H600" i="1"/>
  <c r="I600" i="1"/>
  <c r="J600" i="1"/>
  <c r="B601" i="1"/>
  <c r="C601" i="1"/>
  <c r="D601" i="1"/>
  <c r="E601" i="1"/>
  <c r="F601" i="1"/>
  <c r="G601" i="1"/>
  <c r="H601" i="1"/>
  <c r="I601" i="1"/>
  <c r="J601" i="1"/>
  <c r="B602" i="1"/>
  <c r="C602" i="1"/>
  <c r="D602" i="1"/>
  <c r="E602" i="1"/>
  <c r="F602" i="1"/>
  <c r="G602" i="1"/>
  <c r="H602" i="1"/>
  <c r="I602" i="1"/>
  <c r="J602" i="1"/>
  <c r="B603" i="1"/>
  <c r="C603" i="1"/>
  <c r="D603" i="1"/>
  <c r="E603" i="1"/>
  <c r="F603" i="1"/>
  <c r="G603" i="1"/>
  <c r="H603" i="1"/>
  <c r="I603" i="1"/>
  <c r="J603" i="1"/>
  <c r="B604" i="1"/>
  <c r="C604" i="1"/>
  <c r="D604" i="1"/>
  <c r="E604" i="1"/>
  <c r="F604" i="1"/>
  <c r="G604" i="1"/>
  <c r="H604" i="1"/>
  <c r="I604" i="1"/>
  <c r="J604" i="1"/>
  <c r="B605" i="1"/>
  <c r="C605" i="1"/>
  <c r="D605" i="1"/>
  <c r="E605" i="1"/>
  <c r="F605" i="1"/>
  <c r="G605" i="1"/>
  <c r="H605" i="1"/>
  <c r="I605" i="1"/>
  <c r="J605" i="1"/>
  <c r="B606" i="1"/>
  <c r="C606" i="1"/>
  <c r="D606" i="1"/>
  <c r="E606" i="1"/>
  <c r="F606" i="1"/>
  <c r="G606" i="1"/>
  <c r="H606" i="1"/>
  <c r="I606" i="1"/>
  <c r="J606" i="1"/>
  <c r="B607" i="1"/>
  <c r="C607" i="1"/>
  <c r="D607" i="1"/>
  <c r="E607" i="1"/>
  <c r="F607" i="1"/>
  <c r="G607" i="1"/>
  <c r="H607" i="1"/>
  <c r="I607" i="1"/>
  <c r="J607" i="1"/>
  <c r="B608" i="1"/>
  <c r="C608" i="1"/>
  <c r="D608" i="1"/>
  <c r="E608" i="1"/>
  <c r="F608" i="1"/>
  <c r="G608" i="1"/>
  <c r="H608" i="1"/>
  <c r="I608" i="1"/>
  <c r="J608" i="1"/>
  <c r="B609" i="1"/>
  <c r="C609" i="1"/>
  <c r="D609" i="1"/>
  <c r="E609" i="1"/>
  <c r="F609" i="1"/>
  <c r="G609" i="1"/>
  <c r="H609" i="1"/>
  <c r="I609" i="1"/>
  <c r="J609" i="1"/>
  <c r="B610" i="1"/>
  <c r="C610" i="1"/>
  <c r="D610" i="1"/>
  <c r="E610" i="1"/>
  <c r="F610" i="1"/>
  <c r="G610" i="1"/>
  <c r="H610" i="1"/>
  <c r="I610" i="1"/>
  <c r="J610" i="1"/>
  <c r="B611" i="1"/>
  <c r="C611" i="1"/>
  <c r="D611" i="1"/>
  <c r="E611" i="1"/>
  <c r="F611" i="1"/>
  <c r="G611" i="1"/>
  <c r="H611" i="1"/>
  <c r="I611" i="1"/>
  <c r="J611" i="1"/>
  <c r="B612" i="1"/>
  <c r="C612" i="1"/>
  <c r="D612" i="1"/>
  <c r="E612" i="1"/>
  <c r="F612" i="1"/>
  <c r="G612" i="1"/>
  <c r="H612" i="1"/>
  <c r="I612" i="1"/>
  <c r="J612" i="1"/>
  <c r="B613" i="1"/>
  <c r="C613" i="1"/>
  <c r="D613" i="1"/>
  <c r="E613" i="1"/>
  <c r="F613" i="1"/>
  <c r="G613" i="1"/>
  <c r="H613" i="1"/>
  <c r="I613" i="1"/>
  <c r="J613" i="1"/>
  <c r="B614" i="1"/>
  <c r="C614" i="1"/>
  <c r="D614" i="1"/>
  <c r="E614" i="1"/>
  <c r="F614" i="1"/>
  <c r="G614" i="1"/>
  <c r="H614" i="1"/>
  <c r="I614" i="1"/>
  <c r="J614" i="1"/>
  <c r="B615" i="1"/>
  <c r="C615" i="1"/>
  <c r="D615" i="1"/>
  <c r="E615" i="1"/>
  <c r="F615" i="1"/>
  <c r="G615" i="1"/>
  <c r="H615" i="1"/>
  <c r="I615" i="1"/>
  <c r="J615" i="1"/>
  <c r="B616" i="1"/>
  <c r="C616" i="1"/>
  <c r="D616" i="1"/>
  <c r="E616" i="1"/>
  <c r="F616" i="1"/>
  <c r="G616" i="1"/>
  <c r="H616" i="1"/>
  <c r="I616" i="1"/>
  <c r="J616" i="1"/>
  <c r="B617" i="1"/>
  <c r="C617" i="1"/>
  <c r="D617" i="1"/>
  <c r="E617" i="1"/>
  <c r="F617" i="1"/>
  <c r="G617" i="1"/>
  <c r="H617" i="1"/>
  <c r="I617" i="1"/>
  <c r="J617" i="1"/>
  <c r="B618" i="1"/>
  <c r="C618" i="1"/>
  <c r="D618" i="1"/>
  <c r="E618" i="1"/>
  <c r="F618" i="1"/>
  <c r="G618" i="1"/>
  <c r="H618" i="1"/>
  <c r="I618" i="1"/>
  <c r="J618" i="1"/>
  <c r="B619" i="1"/>
  <c r="C619" i="1"/>
  <c r="D619" i="1"/>
  <c r="E619" i="1"/>
  <c r="F619" i="1"/>
  <c r="G619" i="1"/>
  <c r="H619" i="1"/>
  <c r="I619" i="1"/>
  <c r="J619" i="1"/>
  <c r="B620" i="1"/>
  <c r="C620" i="1"/>
  <c r="D620" i="1"/>
  <c r="E620" i="1"/>
  <c r="F620" i="1"/>
  <c r="G620" i="1"/>
  <c r="H620" i="1"/>
  <c r="I620" i="1"/>
  <c r="J620" i="1"/>
  <c r="B621" i="1"/>
  <c r="C621" i="1"/>
  <c r="D621" i="1"/>
  <c r="E621" i="1"/>
  <c r="F621" i="1"/>
  <c r="G621" i="1"/>
  <c r="H621" i="1"/>
  <c r="I621" i="1"/>
  <c r="J621" i="1"/>
  <c r="B622" i="1"/>
  <c r="C622" i="1"/>
  <c r="D622" i="1"/>
  <c r="E622" i="1"/>
  <c r="F622" i="1"/>
  <c r="G622" i="1"/>
  <c r="H622" i="1"/>
  <c r="I622" i="1"/>
  <c r="J622" i="1"/>
  <c r="B623" i="1"/>
  <c r="C623" i="1"/>
  <c r="D623" i="1"/>
  <c r="E623" i="1"/>
  <c r="F623" i="1"/>
  <c r="G623" i="1"/>
  <c r="H623" i="1"/>
  <c r="I623" i="1"/>
  <c r="J623" i="1"/>
  <c r="B624" i="1"/>
  <c r="C624" i="1"/>
  <c r="D624" i="1"/>
  <c r="E624" i="1"/>
  <c r="F624" i="1"/>
  <c r="G624" i="1"/>
  <c r="H624" i="1"/>
  <c r="I624" i="1"/>
  <c r="J624" i="1"/>
  <c r="B625" i="1"/>
  <c r="C625" i="1"/>
  <c r="D625" i="1"/>
  <c r="E625" i="1"/>
  <c r="F625" i="1"/>
  <c r="G625" i="1"/>
  <c r="H625" i="1"/>
  <c r="I625" i="1"/>
  <c r="J625" i="1"/>
  <c r="B626" i="1"/>
  <c r="C626" i="1"/>
  <c r="D626" i="1"/>
  <c r="E626" i="1"/>
  <c r="F626" i="1"/>
  <c r="G626" i="1"/>
  <c r="H626" i="1"/>
  <c r="I626" i="1"/>
  <c r="J626" i="1"/>
  <c r="B627" i="1"/>
  <c r="C627" i="1"/>
  <c r="D627" i="1"/>
  <c r="E627" i="1"/>
  <c r="F627" i="1"/>
  <c r="G627" i="1"/>
  <c r="H627" i="1"/>
  <c r="I627" i="1"/>
  <c r="J627" i="1"/>
  <c r="B628" i="1"/>
  <c r="C628" i="1"/>
  <c r="D628" i="1"/>
  <c r="E628" i="1"/>
  <c r="F628" i="1"/>
  <c r="G628" i="1"/>
  <c r="H628" i="1"/>
  <c r="I628" i="1"/>
  <c r="J628" i="1"/>
  <c r="B629" i="1"/>
  <c r="C629" i="1"/>
  <c r="D629" i="1"/>
  <c r="E629" i="1"/>
  <c r="F629" i="1"/>
  <c r="G629" i="1"/>
  <c r="H629" i="1"/>
  <c r="I629" i="1"/>
  <c r="J629" i="1"/>
  <c r="B630" i="1"/>
  <c r="C630" i="1"/>
  <c r="D630" i="1"/>
  <c r="E630" i="1"/>
  <c r="F630" i="1"/>
  <c r="G630" i="1"/>
  <c r="H630" i="1"/>
  <c r="I630" i="1"/>
  <c r="J630" i="1"/>
  <c r="B631" i="1"/>
  <c r="C631" i="1"/>
  <c r="D631" i="1"/>
  <c r="E631" i="1"/>
  <c r="F631" i="1"/>
  <c r="G631" i="1"/>
  <c r="H631" i="1"/>
  <c r="I631" i="1"/>
  <c r="J631" i="1"/>
  <c r="B632" i="1"/>
  <c r="C632" i="1"/>
  <c r="D632" i="1"/>
  <c r="E632" i="1"/>
  <c r="F632" i="1"/>
  <c r="G632" i="1"/>
  <c r="H632" i="1"/>
  <c r="I632" i="1"/>
  <c r="J632" i="1"/>
  <c r="B633" i="1"/>
  <c r="C633" i="1"/>
  <c r="D633" i="1"/>
  <c r="E633" i="1"/>
  <c r="F633" i="1"/>
  <c r="G633" i="1"/>
  <c r="H633" i="1"/>
  <c r="I633" i="1"/>
  <c r="J633" i="1"/>
  <c r="B634" i="1"/>
  <c r="C634" i="1"/>
  <c r="D634" i="1"/>
  <c r="E634" i="1"/>
  <c r="F634" i="1"/>
  <c r="G634" i="1"/>
  <c r="H634" i="1"/>
  <c r="I634" i="1"/>
  <c r="J634" i="1"/>
  <c r="B635" i="1"/>
  <c r="C635" i="1"/>
  <c r="D635" i="1"/>
  <c r="E635" i="1"/>
  <c r="F635" i="1"/>
  <c r="G635" i="1"/>
  <c r="H635" i="1"/>
  <c r="I635" i="1"/>
  <c r="J635" i="1"/>
  <c r="B636" i="1"/>
  <c r="C636" i="1"/>
  <c r="D636" i="1"/>
  <c r="E636" i="1"/>
  <c r="F636" i="1"/>
  <c r="G636" i="1"/>
  <c r="H636" i="1"/>
  <c r="I636" i="1"/>
  <c r="J636" i="1"/>
  <c r="B637" i="1"/>
  <c r="C637" i="1"/>
  <c r="D637" i="1"/>
  <c r="E637" i="1"/>
  <c r="F637" i="1"/>
  <c r="G637" i="1"/>
  <c r="H637" i="1"/>
  <c r="I637" i="1"/>
  <c r="J637" i="1"/>
  <c r="B638" i="1"/>
  <c r="C638" i="1"/>
  <c r="D638" i="1"/>
  <c r="E638" i="1"/>
  <c r="F638" i="1"/>
  <c r="G638" i="1"/>
  <c r="H638" i="1"/>
  <c r="I638" i="1"/>
  <c r="J638" i="1"/>
  <c r="B639" i="1"/>
  <c r="C639" i="1"/>
  <c r="D639" i="1"/>
  <c r="E639" i="1"/>
  <c r="F639" i="1"/>
  <c r="G639" i="1"/>
  <c r="H639" i="1"/>
  <c r="I639" i="1"/>
  <c r="J639" i="1"/>
  <c r="B640" i="1"/>
  <c r="C640" i="1"/>
  <c r="D640" i="1"/>
  <c r="E640" i="1"/>
  <c r="F640" i="1"/>
  <c r="G640" i="1"/>
  <c r="H640" i="1"/>
  <c r="I640" i="1"/>
  <c r="J640" i="1"/>
  <c r="B641" i="1"/>
  <c r="C641" i="1"/>
  <c r="D641" i="1"/>
  <c r="E641" i="1"/>
  <c r="F641" i="1"/>
  <c r="G641" i="1"/>
  <c r="H641" i="1"/>
  <c r="I641" i="1"/>
  <c r="J641" i="1"/>
  <c r="B642" i="1"/>
  <c r="C642" i="1"/>
  <c r="D642" i="1"/>
  <c r="E642" i="1"/>
  <c r="F642" i="1"/>
  <c r="G642" i="1"/>
  <c r="H642" i="1"/>
  <c r="I642" i="1"/>
  <c r="J642" i="1"/>
  <c r="B643" i="1"/>
  <c r="C643" i="1"/>
  <c r="D643" i="1"/>
  <c r="E643" i="1"/>
  <c r="F643" i="1"/>
  <c r="G643" i="1"/>
  <c r="H643" i="1"/>
  <c r="I643" i="1"/>
  <c r="J643" i="1"/>
  <c r="B644" i="1"/>
  <c r="C644" i="1"/>
  <c r="D644" i="1"/>
  <c r="E644" i="1"/>
  <c r="F644" i="1"/>
  <c r="G644" i="1"/>
  <c r="H644" i="1"/>
  <c r="I644" i="1"/>
  <c r="J644" i="1"/>
  <c r="B645" i="1"/>
  <c r="C645" i="1"/>
  <c r="D645" i="1"/>
  <c r="E645" i="1"/>
  <c r="F645" i="1"/>
  <c r="G645" i="1"/>
  <c r="H645" i="1"/>
  <c r="I645" i="1"/>
  <c r="J645" i="1"/>
  <c r="B646" i="1"/>
  <c r="C646" i="1"/>
  <c r="D646" i="1"/>
  <c r="E646" i="1"/>
  <c r="F646" i="1"/>
  <c r="G646" i="1"/>
  <c r="H646" i="1"/>
  <c r="I646" i="1"/>
  <c r="J646" i="1"/>
  <c r="B647" i="1"/>
  <c r="C647" i="1"/>
  <c r="D647" i="1"/>
  <c r="E647" i="1"/>
  <c r="F647" i="1"/>
  <c r="G647" i="1"/>
  <c r="H647" i="1"/>
  <c r="I647" i="1"/>
  <c r="J647" i="1"/>
  <c r="B648" i="1"/>
  <c r="C648" i="1"/>
  <c r="D648" i="1"/>
  <c r="E648" i="1"/>
  <c r="F648" i="1"/>
  <c r="G648" i="1"/>
  <c r="H648" i="1"/>
  <c r="I648" i="1"/>
  <c r="J648" i="1"/>
  <c r="B649" i="1"/>
  <c r="C649" i="1"/>
  <c r="D649" i="1"/>
  <c r="E649" i="1"/>
  <c r="F649" i="1"/>
  <c r="G649" i="1"/>
  <c r="H649" i="1"/>
  <c r="I649" i="1"/>
  <c r="J649" i="1"/>
  <c r="B650" i="1"/>
  <c r="C650" i="1"/>
  <c r="D650" i="1"/>
  <c r="E650" i="1"/>
  <c r="F650" i="1"/>
  <c r="G650" i="1"/>
  <c r="H650" i="1"/>
  <c r="I650" i="1"/>
  <c r="J650" i="1"/>
  <c r="B651" i="1"/>
  <c r="C651" i="1"/>
  <c r="D651" i="1"/>
  <c r="E651" i="1"/>
  <c r="F651" i="1"/>
  <c r="G651" i="1"/>
  <c r="H651" i="1"/>
  <c r="I651" i="1"/>
  <c r="J651" i="1"/>
  <c r="B652" i="1"/>
  <c r="C652" i="1"/>
  <c r="D652" i="1"/>
  <c r="E652" i="1"/>
  <c r="F652" i="1"/>
  <c r="G652" i="1"/>
  <c r="H652" i="1"/>
  <c r="I652" i="1"/>
  <c r="J652" i="1"/>
  <c r="B653" i="1"/>
  <c r="C653" i="1"/>
  <c r="D653" i="1"/>
  <c r="E653" i="1"/>
  <c r="F653" i="1"/>
  <c r="G653" i="1"/>
  <c r="H653" i="1"/>
  <c r="I653" i="1"/>
  <c r="J653" i="1"/>
  <c r="B654" i="1"/>
  <c r="C654" i="1"/>
  <c r="D654" i="1"/>
  <c r="E654" i="1"/>
  <c r="F654" i="1"/>
  <c r="G654" i="1"/>
  <c r="H654" i="1"/>
  <c r="I654" i="1"/>
  <c r="J654" i="1"/>
  <c r="B655" i="1"/>
  <c r="C655" i="1"/>
  <c r="D655" i="1"/>
  <c r="E655" i="1"/>
  <c r="F655" i="1"/>
  <c r="G655" i="1"/>
  <c r="H655" i="1"/>
  <c r="I655" i="1"/>
  <c r="J655" i="1"/>
  <c r="B656" i="1"/>
  <c r="C656" i="1"/>
  <c r="D656" i="1"/>
  <c r="E656" i="1"/>
  <c r="F656" i="1"/>
  <c r="G656" i="1"/>
  <c r="H656" i="1"/>
  <c r="I656" i="1"/>
  <c r="J656" i="1"/>
  <c r="B657" i="1"/>
  <c r="C657" i="1"/>
  <c r="D657" i="1"/>
  <c r="E657" i="1"/>
  <c r="F657" i="1"/>
  <c r="G657" i="1"/>
  <c r="H657" i="1"/>
  <c r="I657" i="1"/>
  <c r="J657" i="1"/>
  <c r="B658" i="1"/>
  <c r="C658" i="1"/>
  <c r="D658" i="1"/>
  <c r="E658" i="1"/>
  <c r="F658" i="1"/>
  <c r="G658" i="1"/>
  <c r="H658" i="1"/>
  <c r="I658" i="1"/>
  <c r="J658" i="1"/>
  <c r="B659" i="1"/>
  <c r="C659" i="1"/>
  <c r="D659" i="1"/>
  <c r="E659" i="1"/>
  <c r="F659" i="1"/>
  <c r="G659" i="1"/>
  <c r="H659" i="1"/>
  <c r="I659" i="1"/>
  <c r="J659" i="1"/>
  <c r="B660" i="1"/>
  <c r="C660" i="1"/>
  <c r="D660" i="1"/>
  <c r="E660" i="1"/>
  <c r="F660" i="1"/>
  <c r="G660" i="1"/>
  <c r="H660" i="1"/>
  <c r="I660" i="1"/>
  <c r="J660" i="1"/>
  <c r="B661" i="1"/>
  <c r="C661" i="1"/>
  <c r="D661" i="1"/>
  <c r="E661" i="1"/>
  <c r="F661" i="1"/>
  <c r="G661" i="1"/>
  <c r="H661" i="1"/>
  <c r="I661" i="1"/>
  <c r="J661" i="1"/>
  <c r="B662" i="1"/>
  <c r="C662" i="1"/>
  <c r="D662" i="1"/>
  <c r="E662" i="1"/>
  <c r="F662" i="1"/>
  <c r="G662" i="1"/>
  <c r="H662" i="1"/>
  <c r="I662" i="1"/>
  <c r="J662" i="1"/>
  <c r="B663" i="1"/>
  <c r="C663" i="1"/>
  <c r="D663" i="1"/>
  <c r="E663" i="1"/>
  <c r="F663" i="1"/>
  <c r="G663" i="1"/>
  <c r="H663" i="1"/>
  <c r="I663" i="1"/>
  <c r="J663" i="1"/>
  <c r="B664" i="1"/>
  <c r="C664" i="1"/>
  <c r="D664" i="1"/>
  <c r="E664" i="1"/>
  <c r="F664" i="1"/>
  <c r="G664" i="1"/>
  <c r="H664" i="1"/>
  <c r="I664" i="1"/>
  <c r="J664" i="1"/>
  <c r="B665" i="1"/>
  <c r="C665" i="1"/>
  <c r="D665" i="1"/>
  <c r="E665" i="1"/>
  <c r="F665" i="1"/>
  <c r="G665" i="1"/>
  <c r="H665" i="1"/>
  <c r="I665" i="1"/>
  <c r="J665" i="1"/>
  <c r="B666" i="1"/>
  <c r="C666" i="1"/>
  <c r="D666" i="1"/>
  <c r="E666" i="1"/>
  <c r="F666" i="1"/>
  <c r="G666" i="1"/>
  <c r="H666" i="1"/>
  <c r="I666" i="1"/>
  <c r="J666" i="1"/>
  <c r="B667" i="1"/>
  <c r="C667" i="1"/>
  <c r="D667" i="1"/>
  <c r="E667" i="1"/>
  <c r="F667" i="1"/>
  <c r="G667" i="1"/>
  <c r="H667" i="1"/>
  <c r="I667" i="1"/>
  <c r="J667" i="1"/>
  <c r="B668" i="1"/>
  <c r="C668" i="1"/>
  <c r="D668" i="1"/>
  <c r="E668" i="1"/>
  <c r="F668" i="1"/>
  <c r="G668" i="1"/>
  <c r="H668" i="1"/>
  <c r="I668" i="1"/>
  <c r="J668" i="1"/>
  <c r="B669" i="1"/>
  <c r="C669" i="1"/>
  <c r="D669" i="1"/>
  <c r="E669" i="1"/>
  <c r="F669" i="1"/>
  <c r="G669" i="1"/>
  <c r="H669" i="1"/>
  <c r="I669" i="1"/>
  <c r="J669" i="1"/>
  <c r="B670" i="1"/>
  <c r="C670" i="1"/>
  <c r="D670" i="1"/>
  <c r="E670" i="1"/>
  <c r="F670" i="1"/>
  <c r="G670" i="1"/>
  <c r="H670" i="1"/>
  <c r="I670" i="1"/>
  <c r="J670" i="1"/>
  <c r="B671" i="1"/>
  <c r="C671" i="1"/>
  <c r="D671" i="1"/>
  <c r="E671" i="1"/>
  <c r="F671" i="1"/>
  <c r="G671" i="1"/>
  <c r="H671" i="1"/>
  <c r="I671" i="1"/>
  <c r="J671" i="1"/>
  <c r="B672" i="1"/>
  <c r="C672" i="1"/>
  <c r="D672" i="1"/>
  <c r="E672" i="1"/>
  <c r="F672" i="1"/>
  <c r="G672" i="1"/>
  <c r="H672" i="1"/>
  <c r="I672" i="1"/>
  <c r="J672" i="1"/>
  <c r="B673" i="1"/>
  <c r="C673" i="1"/>
  <c r="D673" i="1"/>
  <c r="E673" i="1"/>
  <c r="F673" i="1"/>
  <c r="G673" i="1"/>
  <c r="H673" i="1"/>
  <c r="I673" i="1"/>
  <c r="J673" i="1"/>
  <c r="B674" i="1"/>
  <c r="C674" i="1"/>
  <c r="D674" i="1"/>
  <c r="E674" i="1"/>
  <c r="F674" i="1"/>
  <c r="G674" i="1"/>
  <c r="H674" i="1"/>
  <c r="I674" i="1"/>
  <c r="J674" i="1"/>
  <c r="B675" i="1"/>
  <c r="C675" i="1"/>
  <c r="D675" i="1"/>
  <c r="E675" i="1"/>
  <c r="F675" i="1"/>
  <c r="G675" i="1"/>
  <c r="H675" i="1"/>
  <c r="I675" i="1"/>
  <c r="J675" i="1"/>
  <c r="B676" i="1"/>
  <c r="C676" i="1"/>
  <c r="D676" i="1"/>
  <c r="E676" i="1"/>
  <c r="F676" i="1"/>
  <c r="G676" i="1"/>
  <c r="H676" i="1"/>
  <c r="I676" i="1"/>
  <c r="J676" i="1"/>
  <c r="B677" i="1"/>
  <c r="C677" i="1"/>
  <c r="D677" i="1"/>
  <c r="E677" i="1"/>
  <c r="F677" i="1"/>
  <c r="G677" i="1"/>
  <c r="H677" i="1"/>
  <c r="I677" i="1"/>
  <c r="J677" i="1"/>
  <c r="B678" i="1"/>
  <c r="C678" i="1"/>
  <c r="D678" i="1"/>
  <c r="E678" i="1"/>
  <c r="F678" i="1"/>
  <c r="G678" i="1"/>
  <c r="H678" i="1"/>
  <c r="I678" i="1"/>
  <c r="J678" i="1"/>
  <c r="B679" i="1"/>
  <c r="C679" i="1"/>
  <c r="D679" i="1"/>
  <c r="E679" i="1"/>
  <c r="F679" i="1"/>
  <c r="G679" i="1"/>
  <c r="H679" i="1"/>
  <c r="I679" i="1"/>
  <c r="J679" i="1"/>
  <c r="B680" i="1"/>
  <c r="C680" i="1"/>
  <c r="D680" i="1"/>
  <c r="E680" i="1"/>
  <c r="F680" i="1"/>
  <c r="G680" i="1"/>
  <c r="H680" i="1"/>
  <c r="I680" i="1"/>
  <c r="J680" i="1"/>
  <c r="B681" i="1"/>
  <c r="C681" i="1"/>
  <c r="D681" i="1"/>
  <c r="E681" i="1"/>
  <c r="F681" i="1"/>
  <c r="G681" i="1"/>
  <c r="H681" i="1"/>
  <c r="I681" i="1"/>
  <c r="J681" i="1"/>
  <c r="B682" i="1"/>
  <c r="C682" i="1"/>
  <c r="D682" i="1"/>
  <c r="E682" i="1"/>
  <c r="F682" i="1"/>
  <c r="G682" i="1"/>
  <c r="H682" i="1"/>
  <c r="I682" i="1"/>
  <c r="J682" i="1"/>
  <c r="B683" i="1"/>
  <c r="C683" i="1"/>
  <c r="D683" i="1"/>
  <c r="E683" i="1"/>
  <c r="F683" i="1"/>
  <c r="G683" i="1"/>
  <c r="H683" i="1"/>
  <c r="I683" i="1"/>
  <c r="J683" i="1"/>
  <c r="B684" i="1"/>
  <c r="C684" i="1"/>
  <c r="D684" i="1"/>
  <c r="E684" i="1"/>
  <c r="F684" i="1"/>
  <c r="G684" i="1"/>
  <c r="H684" i="1"/>
  <c r="I684" i="1"/>
  <c r="J684" i="1"/>
  <c r="B685" i="1"/>
  <c r="C685" i="1"/>
  <c r="D685" i="1"/>
  <c r="E685" i="1"/>
  <c r="F685" i="1"/>
  <c r="G685" i="1"/>
  <c r="H685" i="1"/>
  <c r="I685" i="1"/>
  <c r="J685" i="1"/>
  <c r="B686" i="1"/>
  <c r="C686" i="1"/>
  <c r="D686" i="1"/>
  <c r="E686" i="1"/>
  <c r="F686" i="1"/>
  <c r="G686" i="1"/>
  <c r="H686" i="1"/>
  <c r="I686" i="1"/>
  <c r="J686" i="1"/>
  <c r="B687" i="1"/>
  <c r="C687" i="1"/>
  <c r="D687" i="1"/>
  <c r="E687" i="1"/>
  <c r="F687" i="1"/>
  <c r="G687" i="1"/>
  <c r="H687" i="1"/>
  <c r="I687" i="1"/>
  <c r="J687" i="1"/>
  <c r="B688" i="1"/>
  <c r="C688" i="1"/>
  <c r="D688" i="1"/>
  <c r="E688" i="1"/>
  <c r="F688" i="1"/>
  <c r="G688" i="1"/>
  <c r="H688" i="1"/>
  <c r="I688" i="1"/>
  <c r="J688" i="1"/>
  <c r="B689" i="1"/>
  <c r="C689" i="1"/>
  <c r="D689" i="1"/>
  <c r="E689" i="1"/>
  <c r="F689" i="1"/>
  <c r="G689" i="1"/>
  <c r="H689" i="1"/>
  <c r="I689" i="1"/>
  <c r="J689" i="1"/>
  <c r="B690" i="1"/>
  <c r="C690" i="1"/>
  <c r="D690" i="1"/>
  <c r="E690" i="1"/>
  <c r="F690" i="1"/>
  <c r="G690" i="1"/>
  <c r="H690" i="1"/>
  <c r="I690" i="1"/>
  <c r="J690" i="1"/>
  <c r="B691" i="1"/>
  <c r="C691" i="1"/>
  <c r="D691" i="1"/>
  <c r="E691" i="1"/>
  <c r="F691" i="1"/>
  <c r="G691" i="1"/>
  <c r="H691" i="1"/>
  <c r="I691" i="1"/>
  <c r="J691" i="1"/>
  <c r="B692" i="1"/>
  <c r="C692" i="1"/>
  <c r="D692" i="1"/>
  <c r="E692" i="1"/>
  <c r="F692" i="1"/>
  <c r="G692" i="1"/>
  <c r="H692" i="1"/>
  <c r="I692" i="1"/>
  <c r="J692" i="1"/>
  <c r="B693" i="1"/>
  <c r="C693" i="1"/>
  <c r="D693" i="1"/>
  <c r="E693" i="1"/>
  <c r="F693" i="1"/>
  <c r="G693" i="1"/>
  <c r="H693" i="1"/>
  <c r="I693" i="1"/>
  <c r="J693" i="1"/>
  <c r="B694" i="1"/>
  <c r="C694" i="1"/>
  <c r="D694" i="1"/>
  <c r="E694" i="1"/>
  <c r="F694" i="1"/>
  <c r="G694" i="1"/>
  <c r="H694" i="1"/>
  <c r="I694" i="1"/>
  <c r="J694" i="1"/>
  <c r="B695" i="1"/>
  <c r="C695" i="1"/>
  <c r="D695" i="1"/>
  <c r="E695" i="1"/>
  <c r="F695" i="1"/>
  <c r="G695" i="1"/>
  <c r="H695" i="1"/>
  <c r="I695" i="1"/>
  <c r="J695" i="1"/>
  <c r="B696" i="1"/>
  <c r="C696" i="1"/>
  <c r="D696" i="1"/>
  <c r="E696" i="1"/>
  <c r="F696" i="1"/>
  <c r="G696" i="1"/>
  <c r="H696" i="1"/>
  <c r="I696" i="1"/>
  <c r="J696" i="1"/>
  <c r="B697" i="1"/>
  <c r="C697" i="1"/>
  <c r="D697" i="1"/>
  <c r="E697" i="1"/>
  <c r="F697" i="1"/>
  <c r="G697" i="1"/>
  <c r="H697" i="1"/>
  <c r="I697" i="1"/>
  <c r="J697" i="1"/>
  <c r="B698" i="1"/>
  <c r="C698" i="1"/>
  <c r="D698" i="1"/>
  <c r="E698" i="1"/>
  <c r="F698" i="1"/>
  <c r="G698" i="1"/>
  <c r="H698" i="1"/>
  <c r="I698" i="1"/>
  <c r="J698" i="1"/>
  <c r="B699" i="1"/>
  <c r="C699" i="1"/>
  <c r="D699" i="1"/>
  <c r="E699" i="1"/>
  <c r="F699" i="1"/>
  <c r="G699" i="1"/>
  <c r="H699" i="1"/>
  <c r="I699" i="1"/>
  <c r="J699" i="1"/>
  <c r="B700" i="1"/>
  <c r="C700" i="1"/>
  <c r="D700" i="1"/>
  <c r="E700" i="1"/>
  <c r="F700" i="1"/>
  <c r="G700" i="1"/>
  <c r="H700" i="1"/>
  <c r="I700" i="1"/>
  <c r="J700" i="1"/>
  <c r="B701" i="1"/>
  <c r="C701" i="1"/>
  <c r="D701" i="1"/>
  <c r="E701" i="1"/>
  <c r="F701" i="1"/>
  <c r="G701" i="1"/>
  <c r="H701" i="1"/>
  <c r="I701" i="1"/>
  <c r="J701" i="1"/>
  <c r="B702" i="1"/>
  <c r="C702" i="1"/>
  <c r="D702" i="1"/>
  <c r="E702" i="1"/>
  <c r="F702" i="1"/>
  <c r="G702" i="1"/>
  <c r="H702" i="1"/>
  <c r="I702" i="1"/>
  <c r="J702" i="1"/>
  <c r="B703" i="1"/>
  <c r="C703" i="1"/>
  <c r="D703" i="1"/>
  <c r="E703" i="1"/>
  <c r="F703" i="1"/>
  <c r="G703" i="1"/>
  <c r="H703" i="1"/>
  <c r="I703" i="1"/>
  <c r="J703" i="1"/>
  <c r="B704" i="1"/>
  <c r="C704" i="1"/>
  <c r="D704" i="1"/>
  <c r="E704" i="1"/>
  <c r="F704" i="1"/>
  <c r="G704" i="1"/>
  <c r="H704" i="1"/>
  <c r="I704" i="1"/>
  <c r="J704" i="1"/>
  <c r="B705" i="1"/>
  <c r="C705" i="1"/>
  <c r="D705" i="1"/>
  <c r="E705" i="1"/>
  <c r="F705" i="1"/>
  <c r="G705" i="1"/>
  <c r="H705" i="1"/>
  <c r="I705" i="1"/>
  <c r="J705" i="1"/>
  <c r="B706" i="1"/>
  <c r="C706" i="1"/>
  <c r="D706" i="1"/>
  <c r="E706" i="1"/>
  <c r="F706" i="1"/>
  <c r="G706" i="1"/>
  <c r="H706" i="1"/>
  <c r="I706" i="1"/>
  <c r="J706" i="1"/>
  <c r="B707" i="1"/>
  <c r="C707" i="1"/>
  <c r="D707" i="1"/>
  <c r="E707" i="1"/>
  <c r="F707" i="1"/>
  <c r="G707" i="1"/>
  <c r="H707" i="1"/>
  <c r="I707" i="1"/>
  <c r="J707" i="1"/>
  <c r="B708" i="1"/>
  <c r="C708" i="1"/>
  <c r="D708" i="1"/>
  <c r="E708" i="1"/>
  <c r="F708" i="1"/>
  <c r="G708" i="1"/>
  <c r="H708" i="1"/>
  <c r="I708" i="1"/>
  <c r="J708" i="1"/>
  <c r="B709" i="1"/>
  <c r="C709" i="1"/>
  <c r="D709" i="1"/>
  <c r="E709" i="1"/>
  <c r="F709" i="1"/>
  <c r="G709" i="1"/>
  <c r="H709" i="1"/>
  <c r="I709" i="1"/>
  <c r="J709" i="1"/>
  <c r="B710" i="1"/>
  <c r="C710" i="1"/>
  <c r="D710" i="1"/>
  <c r="E710" i="1"/>
  <c r="F710" i="1"/>
  <c r="G710" i="1"/>
  <c r="H710" i="1"/>
  <c r="I710" i="1"/>
  <c r="J710" i="1"/>
  <c r="B711" i="1"/>
  <c r="C711" i="1"/>
  <c r="D711" i="1"/>
  <c r="E711" i="1"/>
  <c r="F711" i="1"/>
  <c r="G711" i="1"/>
  <c r="H711" i="1"/>
  <c r="I711" i="1"/>
  <c r="J711" i="1"/>
  <c r="B712" i="1"/>
  <c r="C712" i="1"/>
  <c r="D712" i="1"/>
  <c r="E712" i="1"/>
  <c r="F712" i="1"/>
  <c r="G712" i="1"/>
  <c r="H712" i="1"/>
  <c r="I712" i="1"/>
  <c r="J712" i="1"/>
  <c r="B713" i="1"/>
  <c r="C713" i="1"/>
  <c r="D713" i="1"/>
  <c r="E713" i="1"/>
  <c r="F713" i="1"/>
  <c r="G713" i="1"/>
  <c r="H713" i="1"/>
  <c r="I713" i="1"/>
  <c r="J713" i="1"/>
  <c r="B714" i="1"/>
  <c r="C714" i="1"/>
  <c r="D714" i="1"/>
  <c r="E714" i="1"/>
  <c r="F714" i="1"/>
  <c r="G714" i="1"/>
  <c r="H714" i="1"/>
  <c r="I714" i="1"/>
  <c r="J714" i="1"/>
  <c r="B715" i="1"/>
  <c r="C715" i="1"/>
  <c r="D715" i="1"/>
  <c r="E715" i="1"/>
  <c r="F715" i="1"/>
  <c r="G715" i="1"/>
  <c r="H715" i="1"/>
  <c r="I715" i="1"/>
  <c r="J715" i="1"/>
  <c r="B716" i="1"/>
  <c r="C716" i="1"/>
  <c r="D716" i="1"/>
  <c r="E716" i="1"/>
  <c r="F716" i="1"/>
  <c r="G716" i="1"/>
  <c r="H716" i="1"/>
  <c r="I716" i="1"/>
  <c r="J716" i="1"/>
  <c r="B717" i="1"/>
  <c r="C717" i="1"/>
  <c r="D717" i="1"/>
  <c r="E717" i="1"/>
  <c r="F717" i="1"/>
  <c r="G717" i="1"/>
  <c r="H717" i="1"/>
  <c r="I717" i="1"/>
  <c r="J717" i="1"/>
  <c r="B718" i="1"/>
  <c r="C718" i="1"/>
  <c r="D718" i="1"/>
  <c r="E718" i="1"/>
  <c r="F718" i="1"/>
  <c r="G718" i="1"/>
  <c r="H718" i="1"/>
  <c r="I718" i="1"/>
  <c r="J718" i="1"/>
  <c r="B719" i="1"/>
  <c r="C719" i="1"/>
  <c r="D719" i="1"/>
  <c r="E719" i="1"/>
  <c r="F719" i="1"/>
  <c r="G719" i="1"/>
  <c r="H719" i="1"/>
  <c r="I719" i="1"/>
  <c r="J719" i="1"/>
  <c r="B720" i="1"/>
  <c r="C720" i="1"/>
  <c r="D720" i="1"/>
  <c r="E720" i="1"/>
  <c r="F720" i="1"/>
  <c r="G720" i="1"/>
  <c r="H720" i="1"/>
  <c r="I720" i="1"/>
  <c r="J720" i="1"/>
  <c r="B721" i="1"/>
  <c r="C721" i="1"/>
  <c r="D721" i="1"/>
  <c r="E721" i="1"/>
  <c r="F721" i="1"/>
  <c r="G721" i="1"/>
  <c r="H721" i="1"/>
  <c r="I721" i="1"/>
  <c r="J721" i="1"/>
  <c r="B722" i="1"/>
  <c r="C722" i="1"/>
  <c r="D722" i="1"/>
  <c r="E722" i="1"/>
  <c r="F722" i="1"/>
  <c r="G722" i="1"/>
  <c r="H722" i="1"/>
  <c r="I722" i="1"/>
  <c r="J722" i="1"/>
  <c r="B723" i="1"/>
  <c r="C723" i="1"/>
  <c r="D723" i="1"/>
  <c r="E723" i="1"/>
  <c r="F723" i="1"/>
  <c r="G723" i="1"/>
  <c r="H723" i="1"/>
  <c r="I723" i="1"/>
  <c r="J723" i="1"/>
  <c r="B724" i="1"/>
  <c r="C724" i="1"/>
  <c r="D724" i="1"/>
  <c r="E724" i="1"/>
  <c r="F724" i="1"/>
  <c r="G724" i="1"/>
  <c r="H724" i="1"/>
  <c r="I724" i="1"/>
  <c r="J724" i="1"/>
  <c r="B725" i="1"/>
  <c r="C725" i="1"/>
  <c r="D725" i="1"/>
  <c r="E725" i="1"/>
  <c r="F725" i="1"/>
  <c r="G725" i="1"/>
  <c r="H725" i="1"/>
  <c r="I725" i="1"/>
  <c r="J725" i="1"/>
  <c r="B726" i="1"/>
  <c r="C726" i="1"/>
  <c r="D726" i="1"/>
  <c r="E726" i="1"/>
  <c r="F726" i="1"/>
  <c r="G726" i="1"/>
  <c r="H726" i="1"/>
  <c r="I726" i="1"/>
  <c r="J726" i="1"/>
  <c r="B727" i="1"/>
  <c r="C727" i="1"/>
  <c r="D727" i="1"/>
  <c r="E727" i="1"/>
  <c r="F727" i="1"/>
  <c r="G727" i="1"/>
  <c r="H727" i="1"/>
  <c r="I727" i="1"/>
  <c r="J727" i="1"/>
  <c r="B728" i="1"/>
  <c r="C728" i="1"/>
  <c r="D728" i="1"/>
  <c r="E728" i="1"/>
  <c r="F728" i="1"/>
  <c r="G728" i="1"/>
  <c r="H728" i="1"/>
  <c r="I728" i="1"/>
  <c r="J728" i="1"/>
  <c r="B729" i="1"/>
  <c r="C729" i="1"/>
  <c r="D729" i="1"/>
  <c r="E729" i="1"/>
  <c r="F729" i="1"/>
  <c r="G729" i="1"/>
  <c r="H729" i="1"/>
  <c r="I729" i="1"/>
  <c r="J729" i="1"/>
  <c r="B730" i="1"/>
  <c r="C730" i="1"/>
  <c r="D730" i="1"/>
  <c r="E730" i="1"/>
  <c r="F730" i="1"/>
  <c r="G730" i="1"/>
  <c r="H730" i="1"/>
  <c r="I730" i="1"/>
  <c r="J730" i="1"/>
  <c r="B731" i="1"/>
  <c r="C731" i="1"/>
  <c r="D731" i="1"/>
  <c r="E731" i="1"/>
  <c r="F731" i="1"/>
  <c r="G731" i="1"/>
  <c r="H731" i="1"/>
  <c r="I731" i="1"/>
  <c r="J731" i="1"/>
  <c r="B732" i="1"/>
  <c r="C732" i="1"/>
  <c r="D732" i="1"/>
  <c r="E732" i="1"/>
  <c r="F732" i="1"/>
  <c r="G732" i="1"/>
  <c r="H732" i="1"/>
  <c r="I732" i="1"/>
  <c r="J732" i="1"/>
  <c r="B733" i="1"/>
  <c r="C733" i="1"/>
  <c r="D733" i="1"/>
  <c r="E733" i="1"/>
  <c r="F733" i="1"/>
  <c r="G733" i="1"/>
  <c r="H733" i="1"/>
  <c r="I733" i="1"/>
  <c r="J733" i="1"/>
  <c r="B734" i="1"/>
  <c r="C734" i="1"/>
  <c r="D734" i="1"/>
  <c r="E734" i="1"/>
  <c r="F734" i="1"/>
  <c r="G734" i="1"/>
  <c r="H734" i="1"/>
  <c r="I734" i="1"/>
  <c r="J734" i="1"/>
  <c r="B735" i="1"/>
  <c r="C735" i="1"/>
  <c r="D735" i="1"/>
  <c r="E735" i="1"/>
  <c r="F735" i="1"/>
  <c r="G735" i="1"/>
  <c r="H735" i="1"/>
  <c r="I735" i="1"/>
  <c r="J735" i="1"/>
  <c r="B736" i="1"/>
  <c r="C736" i="1"/>
  <c r="D736" i="1"/>
  <c r="E736" i="1"/>
  <c r="F736" i="1"/>
  <c r="G736" i="1"/>
  <c r="H736" i="1"/>
  <c r="I736" i="1"/>
  <c r="J736" i="1"/>
  <c r="B737" i="1"/>
  <c r="C737" i="1"/>
  <c r="D737" i="1"/>
  <c r="E737" i="1"/>
  <c r="F737" i="1"/>
  <c r="G737" i="1"/>
  <c r="H737" i="1"/>
  <c r="I737" i="1"/>
  <c r="J737" i="1"/>
  <c r="B738" i="1"/>
  <c r="C738" i="1"/>
  <c r="D738" i="1"/>
  <c r="E738" i="1"/>
  <c r="F738" i="1"/>
  <c r="G738" i="1"/>
  <c r="H738" i="1"/>
  <c r="I738" i="1"/>
  <c r="J738" i="1"/>
  <c r="B739" i="1"/>
  <c r="C739" i="1"/>
  <c r="D739" i="1"/>
  <c r="E739" i="1"/>
  <c r="F739" i="1"/>
  <c r="G739" i="1"/>
  <c r="H739" i="1"/>
  <c r="I739" i="1"/>
  <c r="J739" i="1"/>
  <c r="B740" i="1"/>
  <c r="C740" i="1"/>
  <c r="D740" i="1"/>
  <c r="E740" i="1"/>
  <c r="F740" i="1"/>
  <c r="G740" i="1"/>
  <c r="H740" i="1"/>
  <c r="I740" i="1"/>
  <c r="J740" i="1"/>
  <c r="B741" i="1"/>
  <c r="C741" i="1"/>
  <c r="D741" i="1"/>
  <c r="E741" i="1"/>
  <c r="F741" i="1"/>
  <c r="G741" i="1"/>
  <c r="H741" i="1"/>
  <c r="I741" i="1"/>
  <c r="J741" i="1"/>
  <c r="B742" i="1"/>
  <c r="C742" i="1"/>
  <c r="D742" i="1"/>
  <c r="E742" i="1"/>
  <c r="F742" i="1"/>
  <c r="G742" i="1"/>
  <c r="H742" i="1"/>
  <c r="I742" i="1"/>
  <c r="J742" i="1"/>
  <c r="B743" i="1"/>
  <c r="C743" i="1"/>
  <c r="D743" i="1"/>
  <c r="E743" i="1"/>
  <c r="F743" i="1"/>
  <c r="G743" i="1"/>
  <c r="H743" i="1"/>
  <c r="I743" i="1"/>
  <c r="J743" i="1"/>
  <c r="B744" i="1"/>
  <c r="C744" i="1"/>
  <c r="D744" i="1"/>
  <c r="E744" i="1"/>
  <c r="F744" i="1"/>
  <c r="G744" i="1"/>
  <c r="H744" i="1"/>
  <c r="I744" i="1"/>
  <c r="J744" i="1"/>
  <c r="B745" i="1"/>
  <c r="C745" i="1"/>
  <c r="D745" i="1"/>
  <c r="E745" i="1"/>
  <c r="F745" i="1"/>
  <c r="G745" i="1"/>
  <c r="H745" i="1"/>
  <c r="I745" i="1"/>
  <c r="J745" i="1"/>
  <c r="B746" i="1"/>
  <c r="C746" i="1"/>
  <c r="D746" i="1"/>
  <c r="E746" i="1"/>
  <c r="F746" i="1"/>
  <c r="G746" i="1"/>
  <c r="H746" i="1"/>
  <c r="I746" i="1"/>
  <c r="J746" i="1"/>
  <c r="B747" i="1"/>
  <c r="C747" i="1"/>
  <c r="D747" i="1"/>
  <c r="E747" i="1"/>
  <c r="F747" i="1"/>
  <c r="G747" i="1"/>
  <c r="H747" i="1"/>
  <c r="I747" i="1"/>
  <c r="J747" i="1"/>
  <c r="B748" i="1"/>
  <c r="C748" i="1"/>
  <c r="D748" i="1"/>
  <c r="E748" i="1"/>
  <c r="F748" i="1"/>
  <c r="G748" i="1"/>
  <c r="H748" i="1"/>
  <c r="I748" i="1"/>
  <c r="J748" i="1"/>
  <c r="B749" i="1"/>
  <c r="C749" i="1"/>
  <c r="D749" i="1"/>
  <c r="E749" i="1"/>
  <c r="F749" i="1"/>
  <c r="G749" i="1"/>
  <c r="H749" i="1"/>
  <c r="I749" i="1"/>
  <c r="J749" i="1"/>
  <c r="B750" i="1"/>
  <c r="C750" i="1"/>
  <c r="D750" i="1"/>
  <c r="E750" i="1"/>
  <c r="F750" i="1"/>
  <c r="G750" i="1"/>
  <c r="H750" i="1"/>
  <c r="I750" i="1"/>
  <c r="J750" i="1"/>
  <c r="B751" i="1"/>
  <c r="C751" i="1"/>
  <c r="D751" i="1"/>
  <c r="E751" i="1"/>
  <c r="F751" i="1"/>
  <c r="G751" i="1"/>
  <c r="H751" i="1"/>
  <c r="I751" i="1"/>
  <c r="J751" i="1"/>
  <c r="B752" i="1"/>
  <c r="C752" i="1"/>
  <c r="D752" i="1"/>
  <c r="E752" i="1"/>
  <c r="F752" i="1"/>
  <c r="G752" i="1"/>
  <c r="H752" i="1"/>
  <c r="I752" i="1"/>
  <c r="J752" i="1"/>
  <c r="B753" i="1"/>
  <c r="C753" i="1"/>
  <c r="D753" i="1"/>
  <c r="E753" i="1"/>
  <c r="F753" i="1"/>
  <c r="G753" i="1"/>
  <c r="H753" i="1"/>
  <c r="I753" i="1"/>
  <c r="J753" i="1"/>
  <c r="B754" i="1"/>
  <c r="C754" i="1"/>
  <c r="D754" i="1"/>
  <c r="E754" i="1"/>
  <c r="F754" i="1"/>
  <c r="G754" i="1"/>
  <c r="H754" i="1"/>
  <c r="I754" i="1"/>
  <c r="J754" i="1"/>
  <c r="B755" i="1"/>
  <c r="C755" i="1"/>
  <c r="D755" i="1"/>
  <c r="E755" i="1"/>
  <c r="F755" i="1"/>
  <c r="G755" i="1"/>
  <c r="H755" i="1"/>
  <c r="I755" i="1"/>
  <c r="J755" i="1"/>
  <c r="B756" i="1"/>
  <c r="C756" i="1"/>
  <c r="D756" i="1"/>
  <c r="E756" i="1"/>
  <c r="F756" i="1"/>
  <c r="G756" i="1"/>
  <c r="H756" i="1"/>
  <c r="I756" i="1"/>
  <c r="J756" i="1"/>
  <c r="B757" i="1"/>
  <c r="C757" i="1"/>
  <c r="D757" i="1"/>
  <c r="E757" i="1"/>
  <c r="F757" i="1"/>
  <c r="G757" i="1"/>
  <c r="H757" i="1"/>
  <c r="I757" i="1"/>
  <c r="J757" i="1"/>
  <c r="B758" i="1"/>
  <c r="C758" i="1"/>
  <c r="D758" i="1"/>
  <c r="E758" i="1"/>
  <c r="F758" i="1"/>
  <c r="G758" i="1"/>
  <c r="H758" i="1"/>
  <c r="I758" i="1"/>
  <c r="J758" i="1"/>
  <c r="B759" i="1"/>
  <c r="C759" i="1"/>
  <c r="D759" i="1"/>
  <c r="E759" i="1"/>
  <c r="F759" i="1"/>
  <c r="G759" i="1"/>
  <c r="H759" i="1"/>
  <c r="I759" i="1"/>
  <c r="J759" i="1"/>
  <c r="B760" i="1"/>
  <c r="C760" i="1"/>
  <c r="D760" i="1"/>
  <c r="E760" i="1"/>
  <c r="F760" i="1"/>
  <c r="G760" i="1"/>
  <c r="H760" i="1"/>
  <c r="I760" i="1"/>
  <c r="J760" i="1"/>
  <c r="B761" i="1"/>
  <c r="C761" i="1"/>
  <c r="D761" i="1"/>
  <c r="E761" i="1"/>
  <c r="F761" i="1"/>
  <c r="G761" i="1"/>
  <c r="H761" i="1"/>
  <c r="I761" i="1"/>
  <c r="J761" i="1"/>
  <c r="B762" i="1"/>
  <c r="C762" i="1"/>
  <c r="D762" i="1"/>
  <c r="E762" i="1"/>
  <c r="F762" i="1"/>
  <c r="G762" i="1"/>
  <c r="H762" i="1"/>
  <c r="I762" i="1"/>
  <c r="J762" i="1"/>
  <c r="B763" i="1"/>
  <c r="C763" i="1"/>
  <c r="D763" i="1"/>
  <c r="E763" i="1"/>
  <c r="F763" i="1"/>
  <c r="G763" i="1"/>
  <c r="H763" i="1"/>
  <c r="I763" i="1"/>
  <c r="J763" i="1"/>
  <c r="B764" i="1"/>
  <c r="C764" i="1"/>
  <c r="D764" i="1"/>
  <c r="E764" i="1"/>
  <c r="F764" i="1"/>
  <c r="G764" i="1"/>
  <c r="H764" i="1"/>
  <c r="I764" i="1"/>
  <c r="J764" i="1"/>
  <c r="B765" i="1"/>
  <c r="C765" i="1"/>
  <c r="D765" i="1"/>
  <c r="E765" i="1"/>
  <c r="F765" i="1"/>
  <c r="G765" i="1"/>
  <c r="H765" i="1"/>
  <c r="I765" i="1"/>
  <c r="J765" i="1"/>
  <c r="B766" i="1"/>
  <c r="C766" i="1"/>
  <c r="D766" i="1"/>
  <c r="E766" i="1"/>
  <c r="F766" i="1"/>
  <c r="G766" i="1"/>
  <c r="H766" i="1"/>
  <c r="I766" i="1"/>
  <c r="J766" i="1"/>
  <c r="B767" i="1"/>
  <c r="C767" i="1"/>
  <c r="D767" i="1"/>
  <c r="E767" i="1"/>
  <c r="F767" i="1"/>
  <c r="G767" i="1"/>
  <c r="H767" i="1"/>
  <c r="I767" i="1"/>
  <c r="J767" i="1"/>
  <c r="B768" i="1"/>
  <c r="C768" i="1"/>
  <c r="D768" i="1"/>
  <c r="E768" i="1"/>
  <c r="F768" i="1"/>
  <c r="G768" i="1"/>
  <c r="H768" i="1"/>
  <c r="I768" i="1"/>
  <c r="J768" i="1"/>
  <c r="B769" i="1"/>
  <c r="C769" i="1"/>
  <c r="D769" i="1"/>
  <c r="E769" i="1"/>
  <c r="F769" i="1"/>
  <c r="G769" i="1"/>
  <c r="H769" i="1"/>
  <c r="I769" i="1"/>
  <c r="J769" i="1"/>
  <c r="B770" i="1"/>
  <c r="C770" i="1"/>
  <c r="D770" i="1"/>
  <c r="E770" i="1"/>
  <c r="F770" i="1"/>
  <c r="G770" i="1"/>
  <c r="H770" i="1"/>
  <c r="I770" i="1"/>
  <c r="J770" i="1"/>
  <c r="B771" i="1"/>
  <c r="C771" i="1"/>
  <c r="D771" i="1"/>
  <c r="E771" i="1"/>
  <c r="F771" i="1"/>
  <c r="G771" i="1"/>
  <c r="H771" i="1"/>
  <c r="I771" i="1"/>
  <c r="J771" i="1"/>
  <c r="B772" i="1"/>
  <c r="C772" i="1"/>
  <c r="D772" i="1"/>
  <c r="E772" i="1"/>
  <c r="F772" i="1"/>
  <c r="G772" i="1"/>
  <c r="H772" i="1"/>
  <c r="I772" i="1"/>
  <c r="J772" i="1"/>
  <c r="B773" i="1"/>
  <c r="C773" i="1"/>
  <c r="D773" i="1"/>
  <c r="E773" i="1"/>
  <c r="F773" i="1"/>
  <c r="G773" i="1"/>
  <c r="H773" i="1"/>
  <c r="I773" i="1"/>
  <c r="J773" i="1"/>
  <c r="B774" i="1"/>
  <c r="C774" i="1"/>
  <c r="D774" i="1"/>
  <c r="E774" i="1"/>
  <c r="F774" i="1"/>
  <c r="G774" i="1"/>
  <c r="H774" i="1"/>
  <c r="I774" i="1"/>
  <c r="J774" i="1"/>
  <c r="B775" i="1"/>
  <c r="C775" i="1"/>
  <c r="D775" i="1"/>
  <c r="E775" i="1"/>
  <c r="F775" i="1"/>
  <c r="G775" i="1"/>
  <c r="H775" i="1"/>
  <c r="I775" i="1"/>
  <c r="J775" i="1"/>
  <c r="B776" i="1"/>
  <c r="C776" i="1"/>
  <c r="D776" i="1"/>
  <c r="E776" i="1"/>
  <c r="F776" i="1"/>
  <c r="G776" i="1"/>
  <c r="H776" i="1"/>
  <c r="I776" i="1"/>
  <c r="J776" i="1"/>
  <c r="B777" i="1"/>
  <c r="C777" i="1"/>
  <c r="D777" i="1"/>
  <c r="E777" i="1"/>
  <c r="F777" i="1"/>
  <c r="G777" i="1"/>
  <c r="H777" i="1"/>
  <c r="I777" i="1"/>
  <c r="J777" i="1"/>
  <c r="B778" i="1"/>
  <c r="C778" i="1"/>
  <c r="D778" i="1"/>
  <c r="E778" i="1"/>
  <c r="F778" i="1"/>
  <c r="G778" i="1"/>
  <c r="H778" i="1"/>
  <c r="I778" i="1"/>
  <c r="J778" i="1"/>
  <c r="B779" i="1"/>
  <c r="C779" i="1"/>
  <c r="D779" i="1"/>
  <c r="E779" i="1"/>
  <c r="F779" i="1"/>
  <c r="G779" i="1"/>
  <c r="H779" i="1"/>
  <c r="I779" i="1"/>
  <c r="J779" i="1"/>
  <c r="B780" i="1"/>
  <c r="C780" i="1"/>
  <c r="D780" i="1"/>
  <c r="E780" i="1"/>
  <c r="F780" i="1"/>
  <c r="G780" i="1"/>
  <c r="H780" i="1"/>
  <c r="I780" i="1"/>
  <c r="J780" i="1"/>
  <c r="B781" i="1"/>
  <c r="C781" i="1"/>
  <c r="D781" i="1"/>
  <c r="E781" i="1"/>
  <c r="F781" i="1"/>
  <c r="G781" i="1"/>
  <c r="H781" i="1"/>
  <c r="I781" i="1"/>
  <c r="J781" i="1"/>
  <c r="B782" i="1"/>
  <c r="C782" i="1"/>
  <c r="D782" i="1"/>
  <c r="E782" i="1"/>
  <c r="F782" i="1"/>
  <c r="G782" i="1"/>
  <c r="H782" i="1"/>
  <c r="I782" i="1"/>
  <c r="J782" i="1"/>
  <c r="B783" i="1"/>
  <c r="C783" i="1"/>
  <c r="D783" i="1"/>
  <c r="E783" i="1"/>
  <c r="F783" i="1"/>
  <c r="G783" i="1"/>
  <c r="H783" i="1"/>
  <c r="I783" i="1"/>
  <c r="J783" i="1"/>
  <c r="B784" i="1"/>
  <c r="C784" i="1"/>
  <c r="D784" i="1"/>
  <c r="E784" i="1"/>
  <c r="F784" i="1"/>
  <c r="G784" i="1"/>
  <c r="H784" i="1"/>
  <c r="I784" i="1"/>
  <c r="J784" i="1"/>
  <c r="B785" i="1"/>
  <c r="C785" i="1"/>
  <c r="D785" i="1"/>
  <c r="E785" i="1"/>
  <c r="F785" i="1"/>
  <c r="G785" i="1"/>
  <c r="H785" i="1"/>
  <c r="I785" i="1"/>
  <c r="J785" i="1"/>
  <c r="B786" i="1"/>
  <c r="C786" i="1"/>
  <c r="D786" i="1"/>
  <c r="E786" i="1"/>
  <c r="F786" i="1"/>
  <c r="G786" i="1"/>
  <c r="H786" i="1"/>
  <c r="I786" i="1"/>
  <c r="J786" i="1"/>
  <c r="B787" i="1"/>
  <c r="C787" i="1"/>
  <c r="D787" i="1"/>
  <c r="E787" i="1"/>
  <c r="F787" i="1"/>
  <c r="G787" i="1"/>
  <c r="H787" i="1"/>
  <c r="I787" i="1"/>
  <c r="J787" i="1"/>
  <c r="B788" i="1"/>
  <c r="C788" i="1"/>
  <c r="D788" i="1"/>
  <c r="E788" i="1"/>
  <c r="F788" i="1"/>
  <c r="G788" i="1"/>
  <c r="H788" i="1"/>
  <c r="I788" i="1"/>
  <c r="J788" i="1"/>
  <c r="B789" i="1"/>
  <c r="C789" i="1"/>
  <c r="D789" i="1"/>
  <c r="E789" i="1"/>
  <c r="F789" i="1"/>
  <c r="G789" i="1"/>
  <c r="H789" i="1"/>
  <c r="I789" i="1"/>
  <c r="J789" i="1"/>
  <c r="B790" i="1"/>
  <c r="C790" i="1"/>
  <c r="D790" i="1"/>
  <c r="E790" i="1"/>
  <c r="F790" i="1"/>
  <c r="G790" i="1"/>
  <c r="H790" i="1"/>
  <c r="I790" i="1"/>
  <c r="J790" i="1"/>
  <c r="B791" i="1"/>
  <c r="C791" i="1"/>
  <c r="D791" i="1"/>
  <c r="E791" i="1"/>
  <c r="F791" i="1"/>
  <c r="G791" i="1"/>
  <c r="H791" i="1"/>
  <c r="I791" i="1"/>
  <c r="J791" i="1"/>
  <c r="B792" i="1"/>
  <c r="C792" i="1"/>
  <c r="D792" i="1"/>
  <c r="E792" i="1"/>
  <c r="F792" i="1"/>
  <c r="G792" i="1"/>
  <c r="H792" i="1"/>
  <c r="I792" i="1"/>
  <c r="J792" i="1"/>
  <c r="B793" i="1"/>
  <c r="C793" i="1"/>
  <c r="D793" i="1"/>
  <c r="E793" i="1"/>
  <c r="F793" i="1"/>
  <c r="G793" i="1"/>
  <c r="H793" i="1"/>
  <c r="I793" i="1"/>
  <c r="J793" i="1"/>
  <c r="B794" i="1"/>
  <c r="C794" i="1"/>
  <c r="D794" i="1"/>
  <c r="E794" i="1"/>
  <c r="F794" i="1"/>
  <c r="G794" i="1"/>
  <c r="H794" i="1"/>
  <c r="I794" i="1"/>
  <c r="J794" i="1"/>
  <c r="B795" i="1"/>
  <c r="C795" i="1"/>
  <c r="D795" i="1"/>
  <c r="E795" i="1"/>
  <c r="F795" i="1"/>
  <c r="G795" i="1"/>
  <c r="H795" i="1"/>
  <c r="I795" i="1"/>
  <c r="J795" i="1"/>
  <c r="B796" i="1"/>
  <c r="C796" i="1"/>
  <c r="D796" i="1"/>
  <c r="E796" i="1"/>
  <c r="F796" i="1"/>
  <c r="G796" i="1"/>
  <c r="H796" i="1"/>
  <c r="I796" i="1"/>
  <c r="J796" i="1"/>
  <c r="B797" i="1"/>
  <c r="C797" i="1"/>
  <c r="D797" i="1"/>
  <c r="E797" i="1"/>
  <c r="F797" i="1"/>
  <c r="G797" i="1"/>
  <c r="H797" i="1"/>
  <c r="I797" i="1"/>
  <c r="J797" i="1"/>
  <c r="B798" i="1"/>
  <c r="C798" i="1"/>
  <c r="D798" i="1"/>
  <c r="E798" i="1"/>
  <c r="F798" i="1"/>
  <c r="G798" i="1"/>
  <c r="H798" i="1"/>
  <c r="I798" i="1"/>
  <c r="J798" i="1"/>
  <c r="B799" i="1"/>
  <c r="C799" i="1"/>
  <c r="D799" i="1"/>
  <c r="E799" i="1"/>
  <c r="F799" i="1"/>
  <c r="G799" i="1"/>
  <c r="H799" i="1"/>
  <c r="I799" i="1"/>
  <c r="J799" i="1"/>
  <c r="B800" i="1"/>
  <c r="C800" i="1"/>
  <c r="D800" i="1"/>
  <c r="E800" i="1"/>
  <c r="F800" i="1"/>
  <c r="G800" i="1"/>
  <c r="H800" i="1"/>
  <c r="I800" i="1"/>
  <c r="J800" i="1"/>
  <c r="B801" i="1"/>
  <c r="C801" i="1"/>
  <c r="D801" i="1"/>
  <c r="E801" i="1"/>
  <c r="F801" i="1"/>
  <c r="G801" i="1"/>
  <c r="H801" i="1"/>
  <c r="I801" i="1"/>
  <c r="J801" i="1"/>
  <c r="B802" i="1"/>
  <c r="C802" i="1"/>
  <c r="D802" i="1"/>
  <c r="E802" i="1"/>
  <c r="F802" i="1"/>
  <c r="G802" i="1"/>
  <c r="H802" i="1"/>
  <c r="I802" i="1"/>
  <c r="J802" i="1"/>
  <c r="B803" i="1"/>
  <c r="C803" i="1"/>
  <c r="D803" i="1"/>
  <c r="E803" i="1"/>
  <c r="F803" i="1"/>
  <c r="G803" i="1"/>
  <c r="H803" i="1"/>
  <c r="I803" i="1"/>
  <c r="J803" i="1"/>
  <c r="B804" i="1"/>
  <c r="C804" i="1"/>
  <c r="D804" i="1"/>
  <c r="E804" i="1"/>
  <c r="F804" i="1"/>
  <c r="G804" i="1"/>
  <c r="H804" i="1"/>
  <c r="I804" i="1"/>
  <c r="J804" i="1"/>
  <c r="B805" i="1"/>
  <c r="C805" i="1"/>
  <c r="D805" i="1"/>
  <c r="E805" i="1"/>
  <c r="F805" i="1"/>
  <c r="G805" i="1"/>
  <c r="H805" i="1"/>
  <c r="I805" i="1"/>
  <c r="J805" i="1"/>
  <c r="B806" i="1"/>
  <c r="C806" i="1"/>
  <c r="D806" i="1"/>
  <c r="E806" i="1"/>
  <c r="F806" i="1"/>
  <c r="G806" i="1"/>
  <c r="H806" i="1"/>
  <c r="I806" i="1"/>
  <c r="J806" i="1"/>
  <c r="B807" i="1"/>
  <c r="C807" i="1"/>
  <c r="D807" i="1"/>
  <c r="E807" i="1"/>
  <c r="F807" i="1"/>
  <c r="G807" i="1"/>
  <c r="H807" i="1"/>
  <c r="I807" i="1"/>
  <c r="J807" i="1"/>
  <c r="B808" i="1"/>
  <c r="C808" i="1"/>
  <c r="D808" i="1"/>
  <c r="E808" i="1"/>
  <c r="F808" i="1"/>
  <c r="G808" i="1"/>
  <c r="H808" i="1"/>
  <c r="I808" i="1"/>
  <c r="J808" i="1"/>
  <c r="B809" i="1"/>
  <c r="C809" i="1"/>
  <c r="D809" i="1"/>
  <c r="E809" i="1"/>
  <c r="F809" i="1"/>
  <c r="G809" i="1"/>
  <c r="H809" i="1"/>
  <c r="I809" i="1"/>
  <c r="J809" i="1"/>
  <c r="B810" i="1"/>
  <c r="C810" i="1"/>
  <c r="D810" i="1"/>
  <c r="E810" i="1"/>
  <c r="F810" i="1"/>
  <c r="G810" i="1"/>
  <c r="H810" i="1"/>
  <c r="I810" i="1"/>
  <c r="J810" i="1"/>
  <c r="B811" i="1"/>
  <c r="C811" i="1"/>
  <c r="D811" i="1"/>
  <c r="E811" i="1"/>
  <c r="F811" i="1"/>
  <c r="G811" i="1"/>
  <c r="H811" i="1"/>
  <c r="I811" i="1"/>
  <c r="J811" i="1"/>
  <c r="B812" i="1"/>
  <c r="C812" i="1"/>
  <c r="D812" i="1"/>
  <c r="E812" i="1"/>
  <c r="F812" i="1"/>
  <c r="G812" i="1"/>
  <c r="H812" i="1"/>
  <c r="I812" i="1"/>
  <c r="J812" i="1"/>
  <c r="B813" i="1"/>
  <c r="C813" i="1"/>
  <c r="D813" i="1"/>
  <c r="E813" i="1"/>
  <c r="F813" i="1"/>
  <c r="G813" i="1"/>
  <c r="H813" i="1"/>
  <c r="I813" i="1"/>
  <c r="J813" i="1"/>
  <c r="B814" i="1"/>
  <c r="C814" i="1"/>
  <c r="D814" i="1"/>
  <c r="E814" i="1"/>
  <c r="F814" i="1"/>
  <c r="G814" i="1"/>
  <c r="H814" i="1"/>
  <c r="I814" i="1"/>
  <c r="J814" i="1"/>
  <c r="B815" i="1"/>
  <c r="C815" i="1"/>
  <c r="D815" i="1"/>
  <c r="E815" i="1"/>
  <c r="F815" i="1"/>
  <c r="G815" i="1"/>
  <c r="H815" i="1"/>
  <c r="I815" i="1"/>
  <c r="J815" i="1"/>
  <c r="B816" i="1"/>
  <c r="C816" i="1"/>
  <c r="D816" i="1"/>
  <c r="E816" i="1"/>
  <c r="F816" i="1"/>
  <c r="G816" i="1"/>
  <c r="H816" i="1"/>
  <c r="I816" i="1"/>
  <c r="J816" i="1"/>
  <c r="B817" i="1"/>
  <c r="C817" i="1"/>
  <c r="D817" i="1"/>
  <c r="E817" i="1"/>
  <c r="F817" i="1"/>
  <c r="G817" i="1"/>
  <c r="H817" i="1"/>
  <c r="I817" i="1"/>
  <c r="J817" i="1"/>
  <c r="B818" i="1"/>
  <c r="C818" i="1"/>
  <c r="D818" i="1"/>
  <c r="E818" i="1"/>
  <c r="F818" i="1"/>
  <c r="G818" i="1"/>
  <c r="H818" i="1"/>
  <c r="I818" i="1"/>
  <c r="J818" i="1"/>
  <c r="B819" i="1"/>
  <c r="C819" i="1"/>
  <c r="D819" i="1"/>
  <c r="E819" i="1"/>
  <c r="F819" i="1"/>
  <c r="G819" i="1"/>
  <c r="H819" i="1"/>
  <c r="I819" i="1"/>
  <c r="J819" i="1"/>
  <c r="B820" i="1"/>
  <c r="C820" i="1"/>
  <c r="D820" i="1"/>
  <c r="E820" i="1"/>
  <c r="F820" i="1"/>
  <c r="G820" i="1"/>
  <c r="H820" i="1"/>
  <c r="I820" i="1"/>
  <c r="J820" i="1"/>
  <c r="B821" i="1"/>
  <c r="C821" i="1"/>
  <c r="D821" i="1"/>
  <c r="E821" i="1"/>
  <c r="F821" i="1"/>
  <c r="G821" i="1"/>
  <c r="H821" i="1"/>
  <c r="I821" i="1"/>
  <c r="J821" i="1"/>
  <c r="B822" i="1"/>
  <c r="C822" i="1"/>
  <c r="D822" i="1"/>
  <c r="E822" i="1"/>
  <c r="F822" i="1"/>
  <c r="G822" i="1"/>
  <c r="H822" i="1"/>
  <c r="I822" i="1"/>
  <c r="J822" i="1"/>
  <c r="B823" i="1"/>
  <c r="C823" i="1"/>
  <c r="D823" i="1"/>
  <c r="E823" i="1"/>
  <c r="F823" i="1"/>
  <c r="G823" i="1"/>
  <c r="H823" i="1"/>
  <c r="I823" i="1"/>
  <c r="J823" i="1"/>
  <c r="B824" i="1"/>
  <c r="C824" i="1"/>
  <c r="D824" i="1"/>
  <c r="E824" i="1"/>
  <c r="F824" i="1"/>
  <c r="G824" i="1"/>
  <c r="H824" i="1"/>
  <c r="I824" i="1"/>
  <c r="J824" i="1"/>
  <c r="B825" i="1"/>
  <c r="C825" i="1"/>
  <c r="D825" i="1"/>
  <c r="E825" i="1"/>
  <c r="F825" i="1"/>
  <c r="G825" i="1"/>
  <c r="H825" i="1"/>
  <c r="I825" i="1"/>
  <c r="J825" i="1"/>
  <c r="B826" i="1"/>
  <c r="C826" i="1"/>
  <c r="D826" i="1"/>
  <c r="E826" i="1"/>
  <c r="F826" i="1"/>
  <c r="G826" i="1"/>
  <c r="H826" i="1"/>
  <c r="I826" i="1"/>
  <c r="J826" i="1"/>
  <c r="B827" i="1"/>
  <c r="C827" i="1"/>
  <c r="D827" i="1"/>
  <c r="E827" i="1"/>
  <c r="F827" i="1"/>
  <c r="G827" i="1"/>
  <c r="H827" i="1"/>
  <c r="I827" i="1"/>
  <c r="J827" i="1"/>
  <c r="B828" i="1"/>
  <c r="C828" i="1"/>
  <c r="D828" i="1"/>
  <c r="E828" i="1"/>
  <c r="F828" i="1"/>
  <c r="G828" i="1"/>
  <c r="H828" i="1"/>
  <c r="I828" i="1"/>
  <c r="J828" i="1"/>
  <c r="B829" i="1"/>
  <c r="C829" i="1"/>
  <c r="D829" i="1"/>
  <c r="E829" i="1"/>
  <c r="F829" i="1"/>
  <c r="G829" i="1"/>
  <c r="H829" i="1"/>
  <c r="I829" i="1"/>
  <c r="J829" i="1"/>
  <c r="B830" i="1"/>
  <c r="C830" i="1"/>
  <c r="D830" i="1"/>
  <c r="E830" i="1"/>
  <c r="F830" i="1"/>
  <c r="G830" i="1"/>
  <c r="H830" i="1"/>
  <c r="I830" i="1"/>
  <c r="J830" i="1"/>
  <c r="B831" i="1"/>
  <c r="C831" i="1"/>
  <c r="D831" i="1"/>
  <c r="E831" i="1"/>
  <c r="F831" i="1"/>
  <c r="G831" i="1"/>
  <c r="H831" i="1"/>
  <c r="I831" i="1"/>
  <c r="J831" i="1"/>
  <c r="B832" i="1"/>
  <c r="C832" i="1"/>
  <c r="D832" i="1"/>
  <c r="E832" i="1"/>
  <c r="F832" i="1"/>
  <c r="G832" i="1"/>
  <c r="H832" i="1"/>
  <c r="I832" i="1"/>
  <c r="J832" i="1"/>
  <c r="B833" i="1"/>
  <c r="C833" i="1"/>
  <c r="D833" i="1"/>
  <c r="E833" i="1"/>
  <c r="F833" i="1"/>
  <c r="G833" i="1"/>
  <c r="H833" i="1"/>
  <c r="I833" i="1"/>
  <c r="J833" i="1"/>
  <c r="B834" i="1"/>
  <c r="C834" i="1"/>
  <c r="D834" i="1"/>
  <c r="E834" i="1"/>
  <c r="F834" i="1"/>
  <c r="G834" i="1"/>
  <c r="H834" i="1"/>
  <c r="I834" i="1"/>
  <c r="J834" i="1"/>
  <c r="B835" i="1"/>
  <c r="C835" i="1"/>
  <c r="D835" i="1"/>
  <c r="E835" i="1"/>
  <c r="F835" i="1"/>
  <c r="G835" i="1"/>
  <c r="H835" i="1"/>
  <c r="I835" i="1"/>
  <c r="J835" i="1"/>
  <c r="B836" i="1"/>
  <c r="C836" i="1"/>
  <c r="D836" i="1"/>
  <c r="E836" i="1"/>
  <c r="F836" i="1"/>
  <c r="G836" i="1"/>
  <c r="H836" i="1"/>
  <c r="I836" i="1"/>
  <c r="J836" i="1"/>
  <c r="B837" i="1"/>
  <c r="C837" i="1"/>
  <c r="D837" i="1"/>
  <c r="E837" i="1"/>
  <c r="F837" i="1"/>
  <c r="G837" i="1"/>
  <c r="H837" i="1"/>
  <c r="I837" i="1"/>
  <c r="J837" i="1"/>
  <c r="B838" i="1"/>
  <c r="C838" i="1"/>
  <c r="D838" i="1"/>
  <c r="E838" i="1"/>
  <c r="F838" i="1"/>
  <c r="G838" i="1"/>
  <c r="H838" i="1"/>
  <c r="I838" i="1"/>
  <c r="J838" i="1"/>
  <c r="B839" i="1"/>
  <c r="C839" i="1"/>
  <c r="D839" i="1"/>
  <c r="E839" i="1"/>
  <c r="F839" i="1"/>
  <c r="G839" i="1"/>
  <c r="H839" i="1"/>
  <c r="I839" i="1"/>
  <c r="J839" i="1"/>
  <c r="B840" i="1"/>
  <c r="C840" i="1"/>
  <c r="D840" i="1"/>
  <c r="E840" i="1"/>
  <c r="F840" i="1"/>
  <c r="G840" i="1"/>
  <c r="H840" i="1"/>
  <c r="I840" i="1"/>
  <c r="J840" i="1"/>
  <c r="B841" i="1"/>
  <c r="C841" i="1"/>
  <c r="D841" i="1"/>
  <c r="E841" i="1"/>
  <c r="F841" i="1"/>
  <c r="G841" i="1"/>
  <c r="H841" i="1"/>
  <c r="I841" i="1"/>
  <c r="J841" i="1"/>
  <c r="B842" i="1"/>
  <c r="C842" i="1"/>
  <c r="D842" i="1"/>
  <c r="E842" i="1"/>
  <c r="F842" i="1"/>
  <c r="G842" i="1"/>
  <c r="H842" i="1"/>
  <c r="I842" i="1"/>
  <c r="J842" i="1"/>
  <c r="B843" i="1"/>
  <c r="C843" i="1"/>
  <c r="D843" i="1"/>
  <c r="E843" i="1"/>
  <c r="F843" i="1"/>
  <c r="G843" i="1"/>
  <c r="H843" i="1"/>
  <c r="I843" i="1"/>
  <c r="J843" i="1"/>
  <c r="B844" i="1"/>
  <c r="C844" i="1"/>
  <c r="D844" i="1"/>
  <c r="E844" i="1"/>
  <c r="F844" i="1"/>
  <c r="G844" i="1"/>
  <c r="H844" i="1"/>
  <c r="I844" i="1"/>
  <c r="J844" i="1"/>
  <c r="B845" i="1"/>
  <c r="C845" i="1"/>
  <c r="D845" i="1"/>
  <c r="E845" i="1"/>
  <c r="F845" i="1"/>
  <c r="G845" i="1"/>
  <c r="H845" i="1"/>
  <c r="I845" i="1"/>
  <c r="J845" i="1"/>
  <c r="B846" i="1"/>
  <c r="C846" i="1"/>
  <c r="D846" i="1"/>
  <c r="E846" i="1"/>
  <c r="F846" i="1"/>
  <c r="G846" i="1"/>
  <c r="H846" i="1"/>
  <c r="I846" i="1"/>
  <c r="J846" i="1"/>
  <c r="B847" i="1"/>
  <c r="C847" i="1"/>
  <c r="D847" i="1"/>
  <c r="E847" i="1"/>
  <c r="F847" i="1"/>
  <c r="G847" i="1"/>
  <c r="H847" i="1"/>
  <c r="I847" i="1"/>
  <c r="J847" i="1"/>
  <c r="B848" i="1"/>
  <c r="C848" i="1"/>
  <c r="D848" i="1"/>
  <c r="E848" i="1"/>
  <c r="F848" i="1"/>
  <c r="G848" i="1"/>
  <c r="H848" i="1"/>
  <c r="I848" i="1"/>
  <c r="J848" i="1"/>
  <c r="B849" i="1"/>
  <c r="C849" i="1"/>
  <c r="D849" i="1"/>
  <c r="E849" i="1"/>
  <c r="F849" i="1"/>
  <c r="G849" i="1"/>
  <c r="H849" i="1"/>
  <c r="I849" i="1"/>
  <c r="J849" i="1"/>
  <c r="B850" i="1"/>
  <c r="C850" i="1"/>
  <c r="D850" i="1"/>
  <c r="E850" i="1"/>
  <c r="F850" i="1"/>
  <c r="G850" i="1"/>
  <c r="H850" i="1"/>
  <c r="I850" i="1"/>
  <c r="J850" i="1"/>
  <c r="B851" i="1"/>
  <c r="C851" i="1"/>
  <c r="D851" i="1"/>
  <c r="E851" i="1"/>
  <c r="F851" i="1"/>
  <c r="G851" i="1"/>
  <c r="H851" i="1"/>
  <c r="I851" i="1"/>
  <c r="J851" i="1"/>
  <c r="B852" i="1"/>
  <c r="C852" i="1"/>
  <c r="D852" i="1"/>
  <c r="E852" i="1"/>
  <c r="F852" i="1"/>
  <c r="G852" i="1"/>
  <c r="H852" i="1"/>
  <c r="I852" i="1"/>
  <c r="J852" i="1"/>
  <c r="B853" i="1"/>
  <c r="C853" i="1"/>
  <c r="D853" i="1"/>
  <c r="E853" i="1"/>
  <c r="F853" i="1"/>
  <c r="G853" i="1"/>
  <c r="H853" i="1"/>
  <c r="I853" i="1"/>
  <c r="J853" i="1"/>
  <c r="B854" i="1"/>
  <c r="C854" i="1"/>
  <c r="D854" i="1"/>
  <c r="E854" i="1"/>
  <c r="F854" i="1"/>
  <c r="G854" i="1"/>
  <c r="H854" i="1"/>
  <c r="I854" i="1"/>
  <c r="J854" i="1"/>
  <c r="B855" i="1"/>
  <c r="C855" i="1"/>
  <c r="D855" i="1"/>
  <c r="E855" i="1"/>
  <c r="F855" i="1"/>
  <c r="G855" i="1"/>
  <c r="H855" i="1"/>
  <c r="I855" i="1"/>
  <c r="J855" i="1"/>
  <c r="B856" i="1"/>
  <c r="C856" i="1"/>
  <c r="D856" i="1"/>
  <c r="E856" i="1"/>
  <c r="F856" i="1"/>
  <c r="G856" i="1"/>
  <c r="H856" i="1"/>
  <c r="I856" i="1"/>
  <c r="J856" i="1"/>
  <c r="B857" i="1"/>
  <c r="C857" i="1"/>
  <c r="D857" i="1"/>
  <c r="E857" i="1"/>
  <c r="F857" i="1"/>
  <c r="G857" i="1"/>
  <c r="H857" i="1"/>
  <c r="I857" i="1"/>
  <c r="J857" i="1"/>
  <c r="B858" i="1"/>
  <c r="C858" i="1"/>
  <c r="D858" i="1"/>
  <c r="E858" i="1"/>
  <c r="F858" i="1"/>
  <c r="G858" i="1"/>
  <c r="H858" i="1"/>
  <c r="I858" i="1"/>
  <c r="J858" i="1"/>
  <c r="B859" i="1"/>
  <c r="C859" i="1"/>
  <c r="D859" i="1"/>
  <c r="E859" i="1"/>
  <c r="F859" i="1"/>
  <c r="G859" i="1"/>
  <c r="H859" i="1"/>
  <c r="I859" i="1"/>
  <c r="J859" i="1"/>
  <c r="B860" i="1"/>
  <c r="C860" i="1"/>
  <c r="D860" i="1"/>
  <c r="E860" i="1"/>
  <c r="F860" i="1"/>
  <c r="G860" i="1"/>
  <c r="H860" i="1"/>
  <c r="I860" i="1"/>
  <c r="J860" i="1"/>
  <c r="B861" i="1"/>
  <c r="C861" i="1"/>
  <c r="D861" i="1"/>
  <c r="E861" i="1"/>
  <c r="F861" i="1"/>
  <c r="G861" i="1"/>
  <c r="H861" i="1"/>
  <c r="I861" i="1"/>
  <c r="J861" i="1"/>
  <c r="B862" i="1"/>
  <c r="C862" i="1"/>
  <c r="D862" i="1"/>
  <c r="E862" i="1"/>
  <c r="F862" i="1"/>
  <c r="G862" i="1"/>
  <c r="H862" i="1"/>
  <c r="I862" i="1"/>
  <c r="J862" i="1"/>
  <c r="B863" i="1"/>
  <c r="C863" i="1"/>
  <c r="D863" i="1"/>
  <c r="E863" i="1"/>
  <c r="F863" i="1"/>
  <c r="G863" i="1"/>
  <c r="H863" i="1"/>
  <c r="I863" i="1"/>
  <c r="J863" i="1"/>
  <c r="B864" i="1"/>
  <c r="C864" i="1"/>
  <c r="D864" i="1"/>
  <c r="E864" i="1"/>
  <c r="F864" i="1"/>
  <c r="G864" i="1"/>
  <c r="H864" i="1"/>
  <c r="I864" i="1"/>
  <c r="J864" i="1"/>
  <c r="B865" i="1"/>
  <c r="C865" i="1"/>
  <c r="D865" i="1"/>
  <c r="E865" i="1"/>
  <c r="F865" i="1"/>
  <c r="G865" i="1"/>
  <c r="H865" i="1"/>
  <c r="I865" i="1"/>
  <c r="J865" i="1"/>
  <c r="B866" i="1"/>
  <c r="C866" i="1"/>
  <c r="D866" i="1"/>
  <c r="E866" i="1"/>
  <c r="F866" i="1"/>
  <c r="G866" i="1"/>
  <c r="H866" i="1"/>
  <c r="I866" i="1"/>
  <c r="J866" i="1"/>
  <c r="B867" i="1"/>
  <c r="C867" i="1"/>
  <c r="D867" i="1"/>
  <c r="E867" i="1"/>
  <c r="F867" i="1"/>
  <c r="G867" i="1"/>
  <c r="H867" i="1"/>
  <c r="I867" i="1"/>
  <c r="J867" i="1"/>
  <c r="B868" i="1"/>
  <c r="C868" i="1"/>
  <c r="D868" i="1"/>
  <c r="E868" i="1"/>
  <c r="F868" i="1"/>
  <c r="G868" i="1"/>
  <c r="H868" i="1"/>
  <c r="I868" i="1"/>
  <c r="J868" i="1"/>
  <c r="B869" i="1"/>
  <c r="C869" i="1"/>
  <c r="D869" i="1"/>
  <c r="E869" i="1"/>
  <c r="F869" i="1"/>
  <c r="G869" i="1"/>
  <c r="H869" i="1"/>
  <c r="I869" i="1"/>
  <c r="J869" i="1"/>
  <c r="B870" i="1"/>
  <c r="C870" i="1"/>
  <c r="D870" i="1"/>
  <c r="E870" i="1"/>
  <c r="F870" i="1"/>
  <c r="G870" i="1"/>
  <c r="H870" i="1"/>
  <c r="I870" i="1"/>
  <c r="J870" i="1"/>
  <c r="B871" i="1"/>
  <c r="C871" i="1"/>
  <c r="D871" i="1"/>
  <c r="E871" i="1"/>
  <c r="F871" i="1"/>
  <c r="G871" i="1"/>
  <c r="H871" i="1"/>
  <c r="I871" i="1"/>
  <c r="J871" i="1"/>
  <c r="B872" i="1"/>
  <c r="C872" i="1"/>
  <c r="D872" i="1"/>
  <c r="E872" i="1"/>
  <c r="F872" i="1"/>
  <c r="G872" i="1"/>
  <c r="H872" i="1"/>
  <c r="I872" i="1"/>
  <c r="J872" i="1"/>
  <c r="B873" i="1"/>
  <c r="C873" i="1"/>
  <c r="D873" i="1"/>
  <c r="E873" i="1"/>
  <c r="F873" i="1"/>
  <c r="G873" i="1"/>
  <c r="H873" i="1"/>
  <c r="I873" i="1"/>
  <c r="J873" i="1"/>
  <c r="B874" i="1"/>
  <c r="C874" i="1"/>
  <c r="D874" i="1"/>
  <c r="E874" i="1"/>
  <c r="F874" i="1"/>
  <c r="G874" i="1"/>
  <c r="H874" i="1"/>
  <c r="I874" i="1"/>
  <c r="J874" i="1"/>
  <c r="B875" i="1"/>
  <c r="C875" i="1"/>
  <c r="D875" i="1"/>
  <c r="E875" i="1"/>
  <c r="F875" i="1"/>
  <c r="G875" i="1"/>
  <c r="H875" i="1"/>
  <c r="I875" i="1"/>
  <c r="J875" i="1"/>
  <c r="B876" i="1"/>
  <c r="C876" i="1"/>
  <c r="D876" i="1"/>
  <c r="E876" i="1"/>
  <c r="F876" i="1"/>
  <c r="G876" i="1"/>
  <c r="H876" i="1"/>
  <c r="I876" i="1"/>
  <c r="J876" i="1"/>
  <c r="B877" i="1"/>
  <c r="C877" i="1"/>
  <c r="D877" i="1"/>
  <c r="E877" i="1"/>
  <c r="F877" i="1"/>
  <c r="G877" i="1"/>
  <c r="H877" i="1"/>
  <c r="I877" i="1"/>
  <c r="J877" i="1"/>
  <c r="B878" i="1"/>
  <c r="C878" i="1"/>
  <c r="D878" i="1"/>
  <c r="E878" i="1"/>
  <c r="F878" i="1"/>
  <c r="G878" i="1"/>
  <c r="H878" i="1"/>
  <c r="I878" i="1"/>
  <c r="J878" i="1"/>
  <c r="B879" i="1"/>
  <c r="C879" i="1"/>
  <c r="D879" i="1"/>
  <c r="E879" i="1"/>
  <c r="F879" i="1"/>
  <c r="G879" i="1"/>
  <c r="H879" i="1"/>
  <c r="I879" i="1"/>
  <c r="J879" i="1"/>
  <c r="B880" i="1"/>
  <c r="C880" i="1"/>
  <c r="D880" i="1"/>
  <c r="E880" i="1"/>
  <c r="F880" i="1"/>
  <c r="G880" i="1"/>
  <c r="H880" i="1"/>
  <c r="I880" i="1"/>
  <c r="J880" i="1"/>
  <c r="B881" i="1"/>
  <c r="C881" i="1"/>
  <c r="D881" i="1"/>
  <c r="E881" i="1"/>
  <c r="F881" i="1"/>
  <c r="G881" i="1"/>
  <c r="H881" i="1"/>
  <c r="I881" i="1"/>
  <c r="J881" i="1"/>
  <c r="B882" i="1"/>
  <c r="C882" i="1"/>
  <c r="D882" i="1"/>
  <c r="E882" i="1"/>
  <c r="F882" i="1"/>
  <c r="G882" i="1"/>
  <c r="H882" i="1"/>
  <c r="I882" i="1"/>
  <c r="J882" i="1"/>
  <c r="B883" i="1"/>
  <c r="C883" i="1"/>
  <c r="D883" i="1"/>
  <c r="E883" i="1"/>
  <c r="F883" i="1"/>
  <c r="G883" i="1"/>
  <c r="H883" i="1"/>
  <c r="I883" i="1"/>
  <c r="J883" i="1"/>
  <c r="B884" i="1"/>
  <c r="C884" i="1"/>
  <c r="D884" i="1"/>
  <c r="E884" i="1"/>
  <c r="F884" i="1"/>
  <c r="G884" i="1"/>
  <c r="H884" i="1"/>
  <c r="I884" i="1"/>
  <c r="J884" i="1"/>
  <c r="B885" i="1"/>
  <c r="C885" i="1"/>
  <c r="D885" i="1"/>
  <c r="E885" i="1"/>
  <c r="F885" i="1"/>
  <c r="G885" i="1"/>
  <c r="H885" i="1"/>
  <c r="I885" i="1"/>
  <c r="J885" i="1"/>
  <c r="B886" i="1"/>
  <c r="C886" i="1"/>
  <c r="D886" i="1"/>
  <c r="E886" i="1"/>
  <c r="F886" i="1"/>
  <c r="G886" i="1"/>
  <c r="H886" i="1"/>
  <c r="I886" i="1"/>
  <c r="J886" i="1"/>
  <c r="B887" i="1"/>
  <c r="C887" i="1"/>
  <c r="D887" i="1"/>
  <c r="E887" i="1"/>
  <c r="F887" i="1"/>
  <c r="G887" i="1"/>
  <c r="H887" i="1"/>
  <c r="I887" i="1"/>
  <c r="J887" i="1"/>
  <c r="B888" i="1"/>
  <c r="C888" i="1"/>
  <c r="D888" i="1"/>
  <c r="E888" i="1"/>
  <c r="F888" i="1"/>
  <c r="G888" i="1"/>
  <c r="H888" i="1"/>
  <c r="I888" i="1"/>
  <c r="J888" i="1"/>
  <c r="B889" i="1"/>
  <c r="C889" i="1"/>
  <c r="D889" i="1"/>
  <c r="E889" i="1"/>
  <c r="F889" i="1"/>
  <c r="G889" i="1"/>
  <c r="H889" i="1"/>
  <c r="I889" i="1"/>
  <c r="J889" i="1"/>
  <c r="B890" i="1"/>
  <c r="C890" i="1"/>
  <c r="D890" i="1"/>
  <c r="E890" i="1"/>
  <c r="F890" i="1"/>
  <c r="G890" i="1"/>
  <c r="H890" i="1"/>
  <c r="I890" i="1"/>
  <c r="J890" i="1"/>
  <c r="B891" i="1"/>
  <c r="C891" i="1"/>
  <c r="D891" i="1"/>
  <c r="E891" i="1"/>
  <c r="F891" i="1"/>
  <c r="G891" i="1"/>
  <c r="H891" i="1"/>
  <c r="I891" i="1"/>
  <c r="J891" i="1"/>
  <c r="B892" i="1"/>
  <c r="C892" i="1"/>
  <c r="D892" i="1"/>
  <c r="E892" i="1"/>
  <c r="F892" i="1"/>
  <c r="G892" i="1"/>
  <c r="H892" i="1"/>
  <c r="I892" i="1"/>
  <c r="J892" i="1"/>
  <c r="B893" i="1"/>
  <c r="C893" i="1"/>
  <c r="D893" i="1"/>
  <c r="E893" i="1"/>
  <c r="F893" i="1"/>
  <c r="G893" i="1"/>
  <c r="H893" i="1"/>
  <c r="I893" i="1"/>
  <c r="J893" i="1"/>
  <c r="B894" i="1"/>
  <c r="C894" i="1"/>
  <c r="D894" i="1"/>
  <c r="E894" i="1"/>
  <c r="F894" i="1"/>
  <c r="G894" i="1"/>
  <c r="H894" i="1"/>
  <c r="I894" i="1"/>
  <c r="J894" i="1"/>
  <c r="B895" i="1"/>
  <c r="C895" i="1"/>
  <c r="D895" i="1"/>
  <c r="E895" i="1"/>
  <c r="F895" i="1"/>
  <c r="G895" i="1"/>
  <c r="H895" i="1"/>
  <c r="I895" i="1"/>
  <c r="J895" i="1"/>
  <c r="B896" i="1"/>
  <c r="C896" i="1"/>
  <c r="D896" i="1"/>
  <c r="E896" i="1"/>
  <c r="F896" i="1"/>
  <c r="G896" i="1"/>
  <c r="H896" i="1"/>
  <c r="I896" i="1"/>
  <c r="J896" i="1"/>
  <c r="B897" i="1"/>
  <c r="C897" i="1"/>
  <c r="D897" i="1"/>
  <c r="E897" i="1"/>
  <c r="F897" i="1"/>
  <c r="G897" i="1"/>
  <c r="H897" i="1"/>
  <c r="I897" i="1"/>
  <c r="J897" i="1"/>
  <c r="B898" i="1"/>
  <c r="C898" i="1"/>
  <c r="D898" i="1"/>
  <c r="E898" i="1"/>
  <c r="F898" i="1"/>
  <c r="G898" i="1"/>
  <c r="H898" i="1"/>
  <c r="I898" i="1"/>
  <c r="J898" i="1"/>
  <c r="B899" i="1"/>
  <c r="C899" i="1"/>
  <c r="D899" i="1"/>
  <c r="E899" i="1"/>
  <c r="F899" i="1"/>
  <c r="G899" i="1"/>
  <c r="H899" i="1"/>
  <c r="I899" i="1"/>
  <c r="J899" i="1"/>
  <c r="B900" i="1"/>
  <c r="C900" i="1"/>
  <c r="D900" i="1"/>
  <c r="E900" i="1"/>
  <c r="F900" i="1"/>
  <c r="G900" i="1"/>
  <c r="H900" i="1"/>
  <c r="I900" i="1"/>
  <c r="J900" i="1"/>
  <c r="B901" i="1"/>
  <c r="C901" i="1"/>
  <c r="D901" i="1"/>
  <c r="E901" i="1"/>
  <c r="F901" i="1"/>
  <c r="G901" i="1"/>
  <c r="H901" i="1"/>
  <c r="I901" i="1"/>
  <c r="J901" i="1"/>
  <c r="B902" i="1"/>
  <c r="C902" i="1"/>
  <c r="D902" i="1"/>
  <c r="E902" i="1"/>
  <c r="F902" i="1"/>
  <c r="G902" i="1"/>
  <c r="H902" i="1"/>
  <c r="I902" i="1"/>
  <c r="J902" i="1"/>
  <c r="B903" i="1"/>
  <c r="C903" i="1"/>
  <c r="D903" i="1"/>
  <c r="E903" i="1"/>
  <c r="F903" i="1"/>
  <c r="G903" i="1"/>
  <c r="H903" i="1"/>
  <c r="I903" i="1"/>
  <c r="J903" i="1"/>
  <c r="B904" i="1"/>
  <c r="C904" i="1"/>
  <c r="D904" i="1"/>
  <c r="E904" i="1"/>
  <c r="F904" i="1"/>
  <c r="G904" i="1"/>
  <c r="H904" i="1"/>
  <c r="I904" i="1"/>
  <c r="J904" i="1"/>
  <c r="B905" i="1"/>
  <c r="C905" i="1"/>
  <c r="D905" i="1"/>
  <c r="E905" i="1"/>
  <c r="F905" i="1"/>
  <c r="G905" i="1"/>
  <c r="H905" i="1"/>
  <c r="I905" i="1"/>
  <c r="J905" i="1"/>
  <c r="B906" i="1"/>
  <c r="C906" i="1"/>
  <c r="D906" i="1"/>
  <c r="E906" i="1"/>
  <c r="F906" i="1"/>
  <c r="G906" i="1"/>
  <c r="H906" i="1"/>
  <c r="I906" i="1"/>
  <c r="J906" i="1"/>
  <c r="B907" i="1"/>
  <c r="C907" i="1"/>
  <c r="D907" i="1"/>
  <c r="E907" i="1"/>
  <c r="F907" i="1"/>
  <c r="G907" i="1"/>
  <c r="H907" i="1"/>
  <c r="I907" i="1"/>
  <c r="J907" i="1"/>
  <c r="B908" i="1"/>
  <c r="C908" i="1"/>
  <c r="D908" i="1"/>
  <c r="E908" i="1"/>
  <c r="F908" i="1"/>
  <c r="G908" i="1"/>
  <c r="H908" i="1"/>
  <c r="I908" i="1"/>
  <c r="J908" i="1"/>
  <c r="B909" i="1"/>
  <c r="C909" i="1"/>
  <c r="D909" i="1"/>
  <c r="E909" i="1"/>
  <c r="F909" i="1"/>
  <c r="G909" i="1"/>
  <c r="H909" i="1"/>
  <c r="I909" i="1"/>
  <c r="J909" i="1"/>
  <c r="B910" i="1"/>
  <c r="C910" i="1"/>
  <c r="D910" i="1"/>
  <c r="E910" i="1"/>
  <c r="F910" i="1"/>
  <c r="G910" i="1"/>
  <c r="H910" i="1"/>
  <c r="I910" i="1"/>
  <c r="J910" i="1"/>
  <c r="B911" i="1"/>
  <c r="C911" i="1"/>
  <c r="D911" i="1"/>
  <c r="E911" i="1"/>
  <c r="F911" i="1"/>
  <c r="G911" i="1"/>
  <c r="H911" i="1"/>
  <c r="I911" i="1"/>
  <c r="J911" i="1"/>
  <c r="B912" i="1"/>
  <c r="C912" i="1"/>
  <c r="D912" i="1"/>
  <c r="E912" i="1"/>
  <c r="F912" i="1"/>
  <c r="G912" i="1"/>
  <c r="H912" i="1"/>
  <c r="I912" i="1"/>
  <c r="J912" i="1"/>
  <c r="B913" i="1"/>
  <c r="C913" i="1"/>
  <c r="D913" i="1"/>
  <c r="E913" i="1"/>
  <c r="F913" i="1"/>
  <c r="G913" i="1"/>
  <c r="H913" i="1"/>
  <c r="I913" i="1"/>
  <c r="J913" i="1"/>
  <c r="B914" i="1"/>
  <c r="C914" i="1"/>
  <c r="D914" i="1"/>
  <c r="E914" i="1"/>
  <c r="F914" i="1"/>
  <c r="G914" i="1"/>
  <c r="H914" i="1"/>
  <c r="I914" i="1"/>
  <c r="J914" i="1"/>
  <c r="B915" i="1"/>
  <c r="C915" i="1"/>
  <c r="D915" i="1"/>
  <c r="E915" i="1"/>
  <c r="F915" i="1"/>
  <c r="G915" i="1"/>
  <c r="H915" i="1"/>
  <c r="I915" i="1"/>
  <c r="J915" i="1"/>
  <c r="B916" i="1"/>
  <c r="C916" i="1"/>
  <c r="D916" i="1"/>
  <c r="E916" i="1"/>
  <c r="F916" i="1"/>
  <c r="G916" i="1"/>
  <c r="H916" i="1"/>
  <c r="I916" i="1"/>
  <c r="J916" i="1"/>
  <c r="B917" i="1"/>
  <c r="C917" i="1"/>
  <c r="D917" i="1"/>
  <c r="E917" i="1"/>
  <c r="F917" i="1"/>
  <c r="G917" i="1"/>
  <c r="H917" i="1"/>
  <c r="I917" i="1"/>
  <c r="J917" i="1"/>
  <c r="B918" i="1"/>
  <c r="C918" i="1"/>
  <c r="D918" i="1"/>
  <c r="E918" i="1"/>
  <c r="F918" i="1"/>
  <c r="G918" i="1"/>
  <c r="H918" i="1"/>
  <c r="I918" i="1"/>
  <c r="J918" i="1"/>
  <c r="B919" i="1"/>
  <c r="C919" i="1"/>
  <c r="D919" i="1"/>
  <c r="E919" i="1"/>
  <c r="F919" i="1"/>
  <c r="G919" i="1"/>
  <c r="H919" i="1"/>
  <c r="I919" i="1"/>
  <c r="J919" i="1"/>
  <c r="B920" i="1"/>
  <c r="C920" i="1"/>
  <c r="D920" i="1"/>
  <c r="E920" i="1"/>
  <c r="F920" i="1"/>
  <c r="G920" i="1"/>
  <c r="H920" i="1"/>
  <c r="I920" i="1"/>
  <c r="J920" i="1"/>
  <c r="B921" i="1"/>
  <c r="C921" i="1"/>
  <c r="D921" i="1"/>
  <c r="E921" i="1"/>
  <c r="F921" i="1"/>
  <c r="G921" i="1"/>
  <c r="H921" i="1"/>
  <c r="I921" i="1"/>
  <c r="J921" i="1"/>
  <c r="B922" i="1"/>
  <c r="C922" i="1"/>
  <c r="D922" i="1"/>
  <c r="E922" i="1"/>
  <c r="F922" i="1"/>
  <c r="G922" i="1"/>
  <c r="H922" i="1"/>
  <c r="I922" i="1"/>
  <c r="J922" i="1"/>
  <c r="B923" i="1"/>
  <c r="C923" i="1"/>
  <c r="D923" i="1"/>
  <c r="E923" i="1"/>
  <c r="F923" i="1"/>
  <c r="G923" i="1"/>
  <c r="H923" i="1"/>
  <c r="I923" i="1"/>
  <c r="J923" i="1"/>
  <c r="B924" i="1"/>
  <c r="C924" i="1"/>
  <c r="D924" i="1"/>
  <c r="E924" i="1"/>
  <c r="F924" i="1"/>
  <c r="G924" i="1"/>
  <c r="H924" i="1"/>
  <c r="I924" i="1"/>
  <c r="J924" i="1"/>
  <c r="B925" i="1"/>
  <c r="C925" i="1"/>
  <c r="D925" i="1"/>
  <c r="E925" i="1"/>
  <c r="F925" i="1"/>
  <c r="G925" i="1"/>
  <c r="H925" i="1"/>
  <c r="I925" i="1"/>
  <c r="J925" i="1"/>
  <c r="B926" i="1"/>
  <c r="C926" i="1"/>
  <c r="D926" i="1"/>
  <c r="E926" i="1"/>
  <c r="F926" i="1"/>
  <c r="G926" i="1"/>
  <c r="H926" i="1"/>
  <c r="I926" i="1"/>
  <c r="J926" i="1"/>
  <c r="B927" i="1"/>
  <c r="C927" i="1"/>
  <c r="D927" i="1"/>
  <c r="E927" i="1"/>
  <c r="F927" i="1"/>
  <c r="G927" i="1"/>
  <c r="H927" i="1"/>
  <c r="I927" i="1"/>
  <c r="J927" i="1"/>
  <c r="B928" i="1"/>
  <c r="C928" i="1"/>
  <c r="D928" i="1"/>
  <c r="E928" i="1"/>
  <c r="F928" i="1"/>
  <c r="G928" i="1"/>
  <c r="H928" i="1"/>
  <c r="I928" i="1"/>
  <c r="J928" i="1"/>
  <c r="B929" i="1"/>
  <c r="C929" i="1"/>
  <c r="D929" i="1"/>
  <c r="E929" i="1"/>
  <c r="F929" i="1"/>
  <c r="G929" i="1"/>
  <c r="H929" i="1"/>
  <c r="I929" i="1"/>
  <c r="J929" i="1"/>
  <c r="B930" i="1"/>
  <c r="C930" i="1"/>
  <c r="D930" i="1"/>
  <c r="E930" i="1"/>
  <c r="F930" i="1"/>
  <c r="G930" i="1"/>
  <c r="H930" i="1"/>
  <c r="I930" i="1"/>
  <c r="J930" i="1"/>
  <c r="B931" i="1"/>
  <c r="C931" i="1"/>
  <c r="D931" i="1"/>
  <c r="E931" i="1"/>
  <c r="F931" i="1"/>
  <c r="G931" i="1"/>
  <c r="H931" i="1"/>
  <c r="I931" i="1"/>
  <c r="J931" i="1"/>
  <c r="B932" i="1"/>
  <c r="C932" i="1"/>
  <c r="D932" i="1"/>
  <c r="E932" i="1"/>
  <c r="F932" i="1"/>
  <c r="G932" i="1"/>
  <c r="H932" i="1"/>
  <c r="I932" i="1"/>
  <c r="J932" i="1"/>
  <c r="B933" i="1"/>
  <c r="C933" i="1"/>
  <c r="D933" i="1"/>
  <c r="E933" i="1"/>
  <c r="F933" i="1"/>
  <c r="G933" i="1"/>
  <c r="H933" i="1"/>
  <c r="I933" i="1"/>
  <c r="J933" i="1"/>
  <c r="B934" i="1"/>
  <c r="C934" i="1"/>
  <c r="D934" i="1"/>
  <c r="E934" i="1"/>
  <c r="F934" i="1"/>
  <c r="G934" i="1"/>
  <c r="H934" i="1"/>
  <c r="I934" i="1"/>
  <c r="J934" i="1"/>
  <c r="B935" i="1"/>
  <c r="C935" i="1"/>
  <c r="D935" i="1"/>
  <c r="E935" i="1"/>
  <c r="F935" i="1"/>
  <c r="G935" i="1"/>
  <c r="H935" i="1"/>
  <c r="I935" i="1"/>
  <c r="J935" i="1"/>
  <c r="B936" i="1"/>
  <c r="C936" i="1"/>
  <c r="D936" i="1"/>
  <c r="E936" i="1"/>
  <c r="F936" i="1"/>
  <c r="G936" i="1"/>
  <c r="H936" i="1"/>
  <c r="I936" i="1"/>
  <c r="J936" i="1"/>
  <c r="B937" i="1"/>
  <c r="C937" i="1"/>
  <c r="D937" i="1"/>
  <c r="E937" i="1"/>
  <c r="F937" i="1"/>
  <c r="G937" i="1"/>
  <c r="H937" i="1"/>
  <c r="I937" i="1"/>
  <c r="J937" i="1"/>
  <c r="B938" i="1"/>
  <c r="C938" i="1"/>
  <c r="D938" i="1"/>
  <c r="E938" i="1"/>
  <c r="F938" i="1"/>
  <c r="G938" i="1"/>
  <c r="H938" i="1"/>
  <c r="I938" i="1"/>
  <c r="J938" i="1"/>
  <c r="B939" i="1"/>
  <c r="C939" i="1"/>
  <c r="D939" i="1"/>
  <c r="E939" i="1"/>
  <c r="F939" i="1"/>
  <c r="G939" i="1"/>
  <c r="H939" i="1"/>
  <c r="I939" i="1"/>
  <c r="J939" i="1"/>
  <c r="B940" i="1"/>
  <c r="C940" i="1"/>
  <c r="D940" i="1"/>
  <c r="E940" i="1"/>
  <c r="F940" i="1"/>
  <c r="G940" i="1"/>
  <c r="H940" i="1"/>
  <c r="I940" i="1"/>
  <c r="J940" i="1"/>
  <c r="B941" i="1"/>
  <c r="C941" i="1"/>
  <c r="D941" i="1"/>
  <c r="E941" i="1"/>
  <c r="F941" i="1"/>
  <c r="G941" i="1"/>
  <c r="H941" i="1"/>
  <c r="I941" i="1"/>
  <c r="J941" i="1"/>
  <c r="B942" i="1"/>
  <c r="C942" i="1"/>
  <c r="D942" i="1"/>
  <c r="E942" i="1"/>
  <c r="F942" i="1"/>
  <c r="G942" i="1"/>
  <c r="H942" i="1"/>
  <c r="I942" i="1"/>
  <c r="J942" i="1"/>
  <c r="B943" i="1"/>
  <c r="C943" i="1"/>
  <c r="D943" i="1"/>
  <c r="E943" i="1"/>
  <c r="F943" i="1"/>
  <c r="G943" i="1"/>
  <c r="H943" i="1"/>
  <c r="I943" i="1"/>
  <c r="J943" i="1"/>
  <c r="B944" i="1"/>
  <c r="C944" i="1"/>
  <c r="D944" i="1"/>
  <c r="E944" i="1"/>
  <c r="F944" i="1"/>
  <c r="G944" i="1"/>
  <c r="H944" i="1"/>
  <c r="I944" i="1"/>
  <c r="J944" i="1"/>
  <c r="B945" i="1"/>
  <c r="C945" i="1"/>
  <c r="D945" i="1"/>
  <c r="E945" i="1"/>
  <c r="F945" i="1"/>
  <c r="G945" i="1"/>
  <c r="H945" i="1"/>
  <c r="I945" i="1"/>
  <c r="J945" i="1"/>
  <c r="B946" i="1"/>
  <c r="C946" i="1"/>
  <c r="D946" i="1"/>
  <c r="E946" i="1"/>
  <c r="F946" i="1"/>
  <c r="G946" i="1"/>
  <c r="H946" i="1"/>
  <c r="I946" i="1"/>
  <c r="J946" i="1"/>
  <c r="B947" i="1"/>
  <c r="C947" i="1"/>
  <c r="D947" i="1"/>
  <c r="E947" i="1"/>
  <c r="F947" i="1"/>
  <c r="G947" i="1"/>
  <c r="H947" i="1"/>
  <c r="I947" i="1"/>
  <c r="J947" i="1"/>
  <c r="B948" i="1"/>
  <c r="C948" i="1"/>
  <c r="D948" i="1"/>
  <c r="E948" i="1"/>
  <c r="F948" i="1"/>
  <c r="G948" i="1"/>
  <c r="H948" i="1"/>
  <c r="I948" i="1"/>
  <c r="J948" i="1"/>
  <c r="B949" i="1"/>
  <c r="C949" i="1"/>
  <c r="D949" i="1"/>
  <c r="E949" i="1"/>
  <c r="F949" i="1"/>
  <c r="G949" i="1"/>
  <c r="H949" i="1"/>
  <c r="I949" i="1"/>
  <c r="J949" i="1"/>
  <c r="B950" i="1"/>
  <c r="C950" i="1"/>
  <c r="D950" i="1"/>
  <c r="E950" i="1"/>
  <c r="F950" i="1"/>
  <c r="G950" i="1"/>
  <c r="H950" i="1"/>
  <c r="I950" i="1"/>
  <c r="J950" i="1"/>
  <c r="B951" i="1"/>
  <c r="C951" i="1"/>
  <c r="D951" i="1"/>
  <c r="E951" i="1"/>
  <c r="F951" i="1"/>
  <c r="G951" i="1"/>
  <c r="H951" i="1"/>
  <c r="I951" i="1"/>
  <c r="J951" i="1"/>
  <c r="B952" i="1"/>
  <c r="C952" i="1"/>
  <c r="D952" i="1"/>
  <c r="E952" i="1"/>
  <c r="F952" i="1"/>
  <c r="G952" i="1"/>
  <c r="H952" i="1"/>
  <c r="I952" i="1"/>
  <c r="J952" i="1"/>
  <c r="B953" i="1"/>
  <c r="C953" i="1"/>
  <c r="D953" i="1"/>
  <c r="E953" i="1"/>
  <c r="F953" i="1"/>
  <c r="G953" i="1"/>
  <c r="H953" i="1"/>
  <c r="I953" i="1"/>
  <c r="J953" i="1"/>
  <c r="B954" i="1"/>
  <c r="C954" i="1"/>
  <c r="D954" i="1"/>
  <c r="E954" i="1"/>
  <c r="F954" i="1"/>
  <c r="G954" i="1"/>
  <c r="H954" i="1"/>
  <c r="I954" i="1"/>
  <c r="J954" i="1"/>
  <c r="B955" i="1"/>
  <c r="C955" i="1"/>
  <c r="D955" i="1"/>
  <c r="E955" i="1"/>
  <c r="F955" i="1"/>
  <c r="G955" i="1"/>
  <c r="H955" i="1"/>
  <c r="I955" i="1"/>
  <c r="J955" i="1"/>
  <c r="B956" i="1"/>
  <c r="C956" i="1"/>
  <c r="D956" i="1"/>
  <c r="E956" i="1"/>
  <c r="F956" i="1"/>
  <c r="G956" i="1"/>
  <c r="H956" i="1"/>
  <c r="I956" i="1"/>
  <c r="J956" i="1"/>
  <c r="B957" i="1"/>
  <c r="C957" i="1"/>
  <c r="D957" i="1"/>
  <c r="E957" i="1"/>
  <c r="F957" i="1"/>
  <c r="G957" i="1"/>
  <c r="H957" i="1"/>
  <c r="I957" i="1"/>
  <c r="J957" i="1"/>
  <c r="B958" i="1"/>
  <c r="C958" i="1"/>
  <c r="D958" i="1"/>
  <c r="E958" i="1"/>
  <c r="F958" i="1"/>
  <c r="G958" i="1"/>
  <c r="H958" i="1"/>
  <c r="I958" i="1"/>
  <c r="J958" i="1"/>
  <c r="B959" i="1"/>
  <c r="C959" i="1"/>
  <c r="D959" i="1"/>
  <c r="E959" i="1"/>
  <c r="F959" i="1"/>
  <c r="G959" i="1"/>
  <c r="H959" i="1"/>
  <c r="I959" i="1"/>
  <c r="J959" i="1"/>
  <c r="B960" i="1"/>
  <c r="C960" i="1"/>
  <c r="D960" i="1"/>
  <c r="E960" i="1"/>
  <c r="F960" i="1"/>
  <c r="G960" i="1"/>
  <c r="H960" i="1"/>
  <c r="I960" i="1"/>
  <c r="J960" i="1"/>
  <c r="B961" i="1"/>
  <c r="C961" i="1"/>
  <c r="D961" i="1"/>
  <c r="E961" i="1"/>
  <c r="F961" i="1"/>
  <c r="G961" i="1"/>
  <c r="H961" i="1"/>
  <c r="I961" i="1"/>
  <c r="J961" i="1"/>
  <c r="B962" i="1"/>
  <c r="C962" i="1"/>
  <c r="D962" i="1"/>
  <c r="E962" i="1"/>
  <c r="F962" i="1"/>
  <c r="G962" i="1"/>
  <c r="H962" i="1"/>
  <c r="I962" i="1"/>
  <c r="J962" i="1"/>
  <c r="B963" i="1"/>
  <c r="C963" i="1"/>
  <c r="D963" i="1"/>
  <c r="E963" i="1"/>
  <c r="F963" i="1"/>
  <c r="G963" i="1"/>
  <c r="H963" i="1"/>
  <c r="I963" i="1"/>
  <c r="J963" i="1"/>
  <c r="B964" i="1"/>
  <c r="C964" i="1"/>
  <c r="D964" i="1"/>
  <c r="E964" i="1"/>
  <c r="F964" i="1"/>
  <c r="G964" i="1"/>
  <c r="H964" i="1"/>
  <c r="I964" i="1"/>
  <c r="J964" i="1"/>
  <c r="B965" i="1"/>
  <c r="C965" i="1"/>
  <c r="D965" i="1"/>
  <c r="E965" i="1"/>
  <c r="F965" i="1"/>
  <c r="G965" i="1"/>
  <c r="H965" i="1"/>
  <c r="I965" i="1"/>
  <c r="J965" i="1"/>
  <c r="B966" i="1"/>
  <c r="C966" i="1"/>
  <c r="D966" i="1"/>
  <c r="E966" i="1"/>
  <c r="F966" i="1"/>
  <c r="G966" i="1"/>
  <c r="H966" i="1"/>
  <c r="I966" i="1"/>
  <c r="J966" i="1"/>
  <c r="B967" i="1"/>
  <c r="C967" i="1"/>
  <c r="D967" i="1"/>
  <c r="E967" i="1"/>
  <c r="F967" i="1"/>
  <c r="G967" i="1"/>
  <c r="H967" i="1"/>
  <c r="I967" i="1"/>
  <c r="J967" i="1"/>
  <c r="B968" i="1"/>
  <c r="C968" i="1"/>
  <c r="D968" i="1"/>
  <c r="E968" i="1"/>
  <c r="F968" i="1"/>
  <c r="G968" i="1"/>
  <c r="H968" i="1"/>
  <c r="I968" i="1"/>
  <c r="J968" i="1"/>
  <c r="B969" i="1"/>
  <c r="C969" i="1"/>
  <c r="D969" i="1"/>
  <c r="E969" i="1"/>
  <c r="F969" i="1"/>
  <c r="G969" i="1"/>
  <c r="H969" i="1"/>
  <c r="I969" i="1"/>
  <c r="J969" i="1"/>
  <c r="B970" i="1"/>
  <c r="C970" i="1"/>
  <c r="D970" i="1"/>
  <c r="E970" i="1"/>
  <c r="F970" i="1"/>
  <c r="G970" i="1"/>
  <c r="H970" i="1"/>
  <c r="I970" i="1"/>
  <c r="J970" i="1"/>
  <c r="B971" i="1"/>
  <c r="C971" i="1"/>
  <c r="D971" i="1"/>
  <c r="E971" i="1"/>
  <c r="F971" i="1"/>
  <c r="G971" i="1"/>
  <c r="H971" i="1"/>
  <c r="I971" i="1"/>
  <c r="J971" i="1"/>
  <c r="B972" i="1"/>
  <c r="C972" i="1"/>
  <c r="D972" i="1"/>
  <c r="E972" i="1"/>
  <c r="F972" i="1"/>
  <c r="G972" i="1"/>
  <c r="H972" i="1"/>
  <c r="I972" i="1"/>
  <c r="J972" i="1"/>
  <c r="B973" i="1"/>
  <c r="C973" i="1"/>
  <c r="D973" i="1"/>
  <c r="E973" i="1"/>
  <c r="F973" i="1"/>
  <c r="G973" i="1"/>
  <c r="H973" i="1"/>
  <c r="I973" i="1"/>
  <c r="J973" i="1"/>
  <c r="B974" i="1"/>
  <c r="C974" i="1"/>
  <c r="D974" i="1"/>
  <c r="E974" i="1"/>
  <c r="F974" i="1"/>
  <c r="G974" i="1"/>
  <c r="H974" i="1"/>
  <c r="I974" i="1"/>
  <c r="J974" i="1"/>
  <c r="B975" i="1"/>
  <c r="C975" i="1"/>
  <c r="D975" i="1"/>
  <c r="E975" i="1"/>
  <c r="F975" i="1"/>
  <c r="G975" i="1"/>
  <c r="H975" i="1"/>
  <c r="I975" i="1"/>
  <c r="J975" i="1"/>
  <c r="B976" i="1"/>
  <c r="C976" i="1"/>
  <c r="D976" i="1"/>
  <c r="E976" i="1"/>
  <c r="F976" i="1"/>
  <c r="G976" i="1"/>
  <c r="H976" i="1"/>
  <c r="I976" i="1"/>
  <c r="J976" i="1"/>
  <c r="B977" i="1"/>
  <c r="C977" i="1"/>
  <c r="D977" i="1"/>
  <c r="E977" i="1"/>
  <c r="F977" i="1"/>
  <c r="G977" i="1"/>
  <c r="H977" i="1"/>
  <c r="I977" i="1"/>
  <c r="J977" i="1"/>
  <c r="B978" i="1"/>
  <c r="C978" i="1"/>
  <c r="D978" i="1"/>
  <c r="E978" i="1"/>
  <c r="F978" i="1"/>
  <c r="G978" i="1"/>
  <c r="H978" i="1"/>
  <c r="I978" i="1"/>
  <c r="J978" i="1"/>
  <c r="B979" i="1"/>
  <c r="C979" i="1"/>
  <c r="D979" i="1"/>
  <c r="E979" i="1"/>
  <c r="F979" i="1"/>
  <c r="G979" i="1"/>
  <c r="H979" i="1"/>
  <c r="I979" i="1"/>
  <c r="J979" i="1"/>
  <c r="B980" i="1"/>
  <c r="C980" i="1"/>
  <c r="D980" i="1"/>
  <c r="E980" i="1"/>
  <c r="F980" i="1"/>
  <c r="G980" i="1"/>
  <c r="H980" i="1"/>
  <c r="I980" i="1"/>
  <c r="J980" i="1"/>
  <c r="B981" i="1"/>
  <c r="C981" i="1"/>
  <c r="D981" i="1"/>
  <c r="E981" i="1"/>
  <c r="F981" i="1"/>
  <c r="G981" i="1"/>
  <c r="H981" i="1"/>
  <c r="I981" i="1"/>
  <c r="J981" i="1"/>
  <c r="B982" i="1"/>
  <c r="C982" i="1"/>
  <c r="D982" i="1"/>
  <c r="E982" i="1"/>
  <c r="F982" i="1"/>
  <c r="G982" i="1"/>
  <c r="H982" i="1"/>
  <c r="I982" i="1"/>
  <c r="J982" i="1"/>
  <c r="B983" i="1"/>
  <c r="C983" i="1"/>
  <c r="D983" i="1"/>
  <c r="E983" i="1"/>
  <c r="F983" i="1"/>
  <c r="G983" i="1"/>
  <c r="H983" i="1"/>
  <c r="I983" i="1"/>
  <c r="J983" i="1"/>
  <c r="B984" i="1"/>
  <c r="C984" i="1"/>
  <c r="D984" i="1"/>
  <c r="E984" i="1"/>
  <c r="F984" i="1"/>
  <c r="G984" i="1"/>
  <c r="H984" i="1"/>
  <c r="I984" i="1"/>
  <c r="J984" i="1"/>
  <c r="B985" i="1"/>
  <c r="C985" i="1"/>
  <c r="D985" i="1"/>
  <c r="E985" i="1"/>
  <c r="F985" i="1"/>
  <c r="G985" i="1"/>
  <c r="H985" i="1"/>
  <c r="I985" i="1"/>
  <c r="J985" i="1"/>
  <c r="B986" i="1"/>
  <c r="C986" i="1"/>
  <c r="D986" i="1"/>
  <c r="E986" i="1"/>
  <c r="F986" i="1"/>
  <c r="G986" i="1"/>
  <c r="H986" i="1"/>
  <c r="I986" i="1"/>
  <c r="J986" i="1"/>
  <c r="B987" i="1"/>
  <c r="C987" i="1"/>
  <c r="D987" i="1"/>
  <c r="E987" i="1"/>
  <c r="F987" i="1"/>
  <c r="G987" i="1"/>
  <c r="H987" i="1"/>
  <c r="I987" i="1"/>
  <c r="J987" i="1"/>
  <c r="B988" i="1"/>
  <c r="C988" i="1"/>
  <c r="D988" i="1"/>
  <c r="E988" i="1"/>
  <c r="F988" i="1"/>
  <c r="G988" i="1"/>
  <c r="H988" i="1"/>
  <c r="I988" i="1"/>
  <c r="J988" i="1"/>
  <c r="B989" i="1"/>
  <c r="C989" i="1"/>
  <c r="D989" i="1"/>
  <c r="E989" i="1"/>
  <c r="F989" i="1"/>
  <c r="G989" i="1"/>
  <c r="H989" i="1"/>
  <c r="I989" i="1"/>
  <c r="J989" i="1"/>
  <c r="B990" i="1"/>
  <c r="C990" i="1"/>
  <c r="D990" i="1"/>
  <c r="E990" i="1"/>
  <c r="F990" i="1"/>
  <c r="G990" i="1"/>
  <c r="H990" i="1"/>
  <c r="I990" i="1"/>
  <c r="J990" i="1"/>
  <c r="B991" i="1"/>
  <c r="C991" i="1"/>
  <c r="D991" i="1"/>
  <c r="E991" i="1"/>
  <c r="F991" i="1"/>
  <c r="G991" i="1"/>
  <c r="H991" i="1"/>
  <c r="I991" i="1"/>
  <c r="J991" i="1"/>
  <c r="B992" i="1"/>
  <c r="C992" i="1"/>
  <c r="D992" i="1"/>
  <c r="E992" i="1"/>
  <c r="F992" i="1"/>
  <c r="G992" i="1"/>
  <c r="H992" i="1"/>
  <c r="I992" i="1"/>
  <c r="J992" i="1"/>
  <c r="B993" i="1"/>
  <c r="C993" i="1"/>
  <c r="D993" i="1"/>
  <c r="E993" i="1"/>
  <c r="F993" i="1"/>
  <c r="G993" i="1"/>
  <c r="H993" i="1"/>
  <c r="I993" i="1"/>
  <c r="J993" i="1"/>
  <c r="B994" i="1"/>
  <c r="C994" i="1"/>
  <c r="D994" i="1"/>
  <c r="E994" i="1"/>
  <c r="F994" i="1"/>
  <c r="G994" i="1"/>
  <c r="H994" i="1"/>
  <c r="I994" i="1"/>
  <c r="J994" i="1"/>
  <c r="B995" i="1"/>
  <c r="C995" i="1"/>
  <c r="D995" i="1"/>
  <c r="E995" i="1"/>
  <c r="F995" i="1"/>
  <c r="G995" i="1"/>
  <c r="H995" i="1"/>
  <c r="I995" i="1"/>
  <c r="J995" i="1"/>
  <c r="B996" i="1"/>
  <c r="C996" i="1"/>
  <c r="D996" i="1"/>
  <c r="E996" i="1"/>
  <c r="F996" i="1"/>
  <c r="G996" i="1"/>
  <c r="H996" i="1"/>
  <c r="I996" i="1"/>
  <c r="J996" i="1"/>
  <c r="B997" i="1"/>
  <c r="C997" i="1"/>
  <c r="D997" i="1"/>
  <c r="E997" i="1"/>
  <c r="F997" i="1"/>
  <c r="G997" i="1"/>
  <c r="H997" i="1"/>
  <c r="I997" i="1"/>
  <c r="J997" i="1"/>
  <c r="B998" i="1"/>
  <c r="C998" i="1"/>
  <c r="D998" i="1"/>
  <c r="E998" i="1"/>
  <c r="F998" i="1"/>
  <c r="G998" i="1"/>
  <c r="H998" i="1"/>
  <c r="I998" i="1"/>
  <c r="J998" i="1"/>
  <c r="B999" i="1"/>
  <c r="C999" i="1"/>
  <c r="D999" i="1"/>
  <c r="E999" i="1"/>
  <c r="F999" i="1"/>
  <c r="G999" i="1"/>
  <c r="H999" i="1"/>
  <c r="I999" i="1"/>
  <c r="J999" i="1"/>
  <c r="B1000" i="1"/>
  <c r="C1000" i="1"/>
  <c r="D1000" i="1"/>
  <c r="E1000" i="1"/>
  <c r="F1000" i="1"/>
  <c r="G1000" i="1"/>
  <c r="H1000" i="1"/>
  <c r="I1000" i="1"/>
  <c r="J1000" i="1"/>
  <c r="B1001" i="1"/>
  <c r="C1001" i="1"/>
  <c r="D1001" i="1"/>
  <c r="E1001" i="1"/>
  <c r="F1001" i="1"/>
  <c r="G1001" i="1"/>
  <c r="H1001" i="1"/>
  <c r="I1001" i="1"/>
  <c r="J1001" i="1"/>
  <c r="B1002" i="1"/>
  <c r="C1002" i="1"/>
  <c r="D1002" i="1"/>
  <c r="E1002" i="1"/>
  <c r="F1002" i="1"/>
  <c r="G1002" i="1"/>
  <c r="H1002" i="1"/>
  <c r="I1002" i="1"/>
  <c r="J1002" i="1"/>
  <c r="B1003" i="1"/>
  <c r="C1003" i="1"/>
  <c r="D1003" i="1"/>
  <c r="E1003" i="1"/>
  <c r="F1003" i="1"/>
  <c r="G1003" i="1"/>
  <c r="H1003" i="1"/>
  <c r="I1003" i="1"/>
  <c r="J1003" i="1"/>
  <c r="B1004" i="1"/>
  <c r="C1004" i="1"/>
  <c r="D1004" i="1"/>
  <c r="E1004" i="1"/>
  <c r="F1004" i="1"/>
  <c r="G1004" i="1"/>
  <c r="H1004" i="1"/>
  <c r="I1004" i="1"/>
  <c r="J1004" i="1"/>
  <c r="B1005" i="1"/>
  <c r="C1005" i="1"/>
  <c r="D1005" i="1"/>
  <c r="E1005" i="1"/>
  <c r="F1005" i="1"/>
  <c r="G1005" i="1"/>
  <c r="H1005" i="1"/>
  <c r="I1005" i="1"/>
  <c r="J1005" i="1"/>
  <c r="B1006" i="1"/>
  <c r="C1006" i="1"/>
  <c r="D1006" i="1"/>
  <c r="E1006" i="1"/>
  <c r="F1006" i="1"/>
  <c r="G1006" i="1"/>
  <c r="H1006" i="1"/>
  <c r="I1006" i="1"/>
  <c r="J1006" i="1"/>
  <c r="B1007" i="1"/>
  <c r="C1007" i="1"/>
  <c r="D1007" i="1"/>
  <c r="E1007" i="1"/>
  <c r="F1007" i="1"/>
  <c r="G1007" i="1"/>
  <c r="H1007" i="1"/>
  <c r="I1007" i="1"/>
  <c r="J1007" i="1"/>
  <c r="B1008" i="1"/>
  <c r="C1008" i="1"/>
  <c r="D1008" i="1"/>
  <c r="E1008" i="1"/>
  <c r="F1008" i="1"/>
  <c r="G1008" i="1"/>
  <c r="H1008" i="1"/>
  <c r="I1008" i="1"/>
  <c r="J1008" i="1"/>
  <c r="B1009" i="1"/>
  <c r="C1009" i="1"/>
  <c r="D1009" i="1"/>
  <c r="E1009" i="1"/>
  <c r="F1009" i="1"/>
  <c r="G1009" i="1"/>
  <c r="H1009" i="1"/>
  <c r="I1009" i="1"/>
  <c r="J1009" i="1"/>
  <c r="B1010" i="1"/>
  <c r="C1010" i="1"/>
  <c r="D1010" i="1"/>
  <c r="E1010" i="1"/>
  <c r="F1010" i="1"/>
  <c r="G1010" i="1"/>
  <c r="H1010" i="1"/>
  <c r="I1010" i="1"/>
  <c r="J1010" i="1"/>
  <c r="B1011" i="1"/>
  <c r="C1011" i="1"/>
  <c r="D1011" i="1"/>
  <c r="E1011" i="1"/>
  <c r="F1011" i="1"/>
  <c r="G1011" i="1"/>
  <c r="H1011" i="1"/>
  <c r="I1011" i="1"/>
  <c r="J1011" i="1"/>
  <c r="B1012" i="1"/>
  <c r="C1012" i="1"/>
  <c r="D1012" i="1"/>
  <c r="E1012" i="1"/>
  <c r="F1012" i="1"/>
  <c r="G1012" i="1"/>
  <c r="H1012" i="1"/>
  <c r="I1012" i="1"/>
  <c r="J1012" i="1"/>
  <c r="B1013" i="1"/>
  <c r="C1013" i="1"/>
  <c r="D1013" i="1"/>
  <c r="E1013" i="1"/>
  <c r="F1013" i="1"/>
  <c r="G1013" i="1"/>
  <c r="H1013" i="1"/>
  <c r="I1013" i="1"/>
  <c r="J1013" i="1"/>
  <c r="B1014" i="1"/>
  <c r="C1014" i="1"/>
  <c r="D1014" i="1"/>
  <c r="E1014" i="1"/>
  <c r="F1014" i="1"/>
  <c r="G1014" i="1"/>
  <c r="H1014" i="1"/>
  <c r="I1014" i="1"/>
  <c r="J1014" i="1"/>
  <c r="B1015" i="1"/>
  <c r="C1015" i="1"/>
  <c r="D1015" i="1"/>
  <c r="E1015" i="1"/>
  <c r="F1015" i="1"/>
  <c r="G1015" i="1"/>
  <c r="H1015" i="1"/>
  <c r="I1015" i="1"/>
  <c r="J1015" i="1"/>
  <c r="B1016" i="1"/>
  <c r="C1016" i="1"/>
  <c r="D1016" i="1"/>
  <c r="E1016" i="1"/>
  <c r="F1016" i="1"/>
  <c r="G1016" i="1"/>
  <c r="H1016" i="1"/>
  <c r="I1016" i="1"/>
  <c r="J1016" i="1"/>
  <c r="B1017" i="1"/>
  <c r="C1017" i="1"/>
  <c r="D1017" i="1"/>
  <c r="E1017" i="1"/>
  <c r="F1017" i="1"/>
  <c r="G1017" i="1"/>
  <c r="H1017" i="1"/>
  <c r="I1017" i="1"/>
  <c r="J1017" i="1"/>
  <c r="B1018" i="1"/>
  <c r="C1018" i="1"/>
  <c r="D1018" i="1"/>
  <c r="E1018" i="1"/>
  <c r="F1018" i="1"/>
  <c r="G1018" i="1"/>
  <c r="H1018" i="1"/>
  <c r="I1018" i="1"/>
  <c r="J1018" i="1"/>
  <c r="B1019" i="1"/>
  <c r="C1019" i="1"/>
  <c r="D1019" i="1"/>
  <c r="E1019" i="1"/>
  <c r="F1019" i="1"/>
  <c r="G1019" i="1"/>
  <c r="H1019" i="1"/>
  <c r="I1019" i="1"/>
  <c r="J1019" i="1"/>
  <c r="B1020" i="1"/>
  <c r="C1020" i="1"/>
  <c r="D1020" i="1"/>
  <c r="E1020" i="1"/>
  <c r="F1020" i="1"/>
  <c r="G1020" i="1"/>
  <c r="H1020" i="1"/>
  <c r="I1020" i="1"/>
  <c r="J1020" i="1"/>
  <c r="B1021" i="1"/>
  <c r="C1021" i="1"/>
  <c r="D1021" i="1"/>
  <c r="E1021" i="1"/>
  <c r="F1021" i="1"/>
  <c r="G1021" i="1"/>
  <c r="H1021" i="1"/>
  <c r="I1021" i="1"/>
  <c r="J1021" i="1"/>
  <c r="B1022" i="1"/>
  <c r="C1022" i="1"/>
  <c r="D1022" i="1"/>
  <c r="E1022" i="1"/>
  <c r="F1022" i="1"/>
  <c r="G1022" i="1"/>
  <c r="H1022" i="1"/>
  <c r="I1022" i="1"/>
  <c r="J1022" i="1"/>
  <c r="B1023" i="1"/>
  <c r="C1023" i="1"/>
  <c r="D1023" i="1"/>
  <c r="E1023" i="1"/>
  <c r="F1023" i="1"/>
  <c r="G1023" i="1"/>
  <c r="H1023" i="1"/>
  <c r="I1023" i="1"/>
  <c r="J1023" i="1"/>
  <c r="B1024" i="1"/>
  <c r="C1024" i="1"/>
  <c r="D1024" i="1"/>
  <c r="E1024" i="1"/>
  <c r="F1024" i="1"/>
  <c r="G1024" i="1"/>
  <c r="H1024" i="1"/>
  <c r="I1024" i="1"/>
  <c r="J1024" i="1"/>
  <c r="B1025" i="1"/>
  <c r="C1025" i="1"/>
  <c r="D1025" i="1"/>
  <c r="E1025" i="1"/>
  <c r="F1025" i="1"/>
  <c r="G1025" i="1"/>
  <c r="H1025" i="1"/>
  <c r="I1025" i="1"/>
  <c r="J1025" i="1"/>
  <c r="B1026" i="1"/>
  <c r="C1026" i="1"/>
  <c r="D1026" i="1"/>
  <c r="E1026" i="1"/>
  <c r="F1026" i="1"/>
  <c r="G1026" i="1"/>
  <c r="H1026" i="1"/>
  <c r="I1026" i="1"/>
  <c r="J1026" i="1"/>
  <c r="B1027" i="1"/>
  <c r="C1027" i="1"/>
  <c r="D1027" i="1"/>
  <c r="E1027" i="1"/>
  <c r="F1027" i="1"/>
  <c r="G1027" i="1"/>
  <c r="H1027" i="1"/>
  <c r="I1027" i="1"/>
  <c r="J1027" i="1"/>
  <c r="B1028" i="1"/>
  <c r="C1028" i="1"/>
  <c r="D1028" i="1"/>
  <c r="E1028" i="1"/>
  <c r="F1028" i="1"/>
  <c r="G1028" i="1"/>
  <c r="H1028" i="1"/>
  <c r="I1028" i="1"/>
  <c r="J1028" i="1"/>
  <c r="B1029" i="1"/>
  <c r="C1029" i="1"/>
  <c r="D1029" i="1"/>
  <c r="E1029" i="1"/>
  <c r="F1029" i="1"/>
  <c r="G1029" i="1"/>
  <c r="H1029" i="1"/>
  <c r="I1029" i="1"/>
  <c r="J1029" i="1"/>
  <c r="B1030" i="1"/>
  <c r="C1030" i="1"/>
  <c r="D1030" i="1"/>
  <c r="E1030" i="1"/>
  <c r="F1030" i="1"/>
  <c r="G1030" i="1"/>
  <c r="H1030" i="1"/>
  <c r="I1030" i="1"/>
  <c r="J1030" i="1"/>
  <c r="B1031" i="1"/>
  <c r="C1031" i="1"/>
  <c r="D1031" i="1"/>
  <c r="E1031" i="1"/>
  <c r="F1031" i="1"/>
  <c r="G1031" i="1"/>
  <c r="H1031" i="1"/>
  <c r="I1031" i="1"/>
  <c r="J1031" i="1"/>
  <c r="B1032" i="1"/>
  <c r="C1032" i="1"/>
  <c r="D1032" i="1"/>
  <c r="E1032" i="1"/>
  <c r="F1032" i="1"/>
  <c r="G1032" i="1"/>
  <c r="H1032" i="1"/>
  <c r="I1032" i="1"/>
  <c r="J1032" i="1"/>
  <c r="B1033" i="1"/>
  <c r="C1033" i="1"/>
  <c r="D1033" i="1"/>
  <c r="E1033" i="1"/>
  <c r="F1033" i="1"/>
  <c r="G1033" i="1"/>
  <c r="H1033" i="1"/>
  <c r="I1033" i="1"/>
  <c r="J1033" i="1"/>
  <c r="B1034" i="1"/>
  <c r="C1034" i="1"/>
  <c r="D1034" i="1"/>
  <c r="E1034" i="1"/>
  <c r="F1034" i="1"/>
  <c r="G1034" i="1"/>
  <c r="H1034" i="1"/>
  <c r="I1034" i="1"/>
  <c r="J1034" i="1"/>
  <c r="B1035" i="1"/>
  <c r="C1035" i="1"/>
  <c r="D1035" i="1"/>
  <c r="E1035" i="1"/>
  <c r="F1035" i="1"/>
  <c r="G1035" i="1"/>
  <c r="H1035" i="1"/>
  <c r="I1035" i="1"/>
  <c r="J1035" i="1"/>
  <c r="B1036" i="1"/>
  <c r="C1036" i="1"/>
  <c r="D1036" i="1"/>
  <c r="E1036" i="1"/>
  <c r="F1036" i="1"/>
  <c r="G1036" i="1"/>
  <c r="H1036" i="1"/>
  <c r="I1036" i="1"/>
  <c r="J1036" i="1"/>
  <c r="B1037" i="1"/>
  <c r="C1037" i="1"/>
  <c r="D1037" i="1"/>
  <c r="E1037" i="1"/>
  <c r="F1037" i="1"/>
  <c r="G1037" i="1"/>
  <c r="H1037" i="1"/>
  <c r="I1037" i="1"/>
  <c r="J1037" i="1"/>
  <c r="B1038" i="1"/>
  <c r="C1038" i="1"/>
  <c r="D1038" i="1"/>
  <c r="E1038" i="1"/>
  <c r="F1038" i="1"/>
  <c r="G1038" i="1"/>
  <c r="H1038" i="1"/>
  <c r="I1038" i="1"/>
  <c r="J1038" i="1"/>
  <c r="B1039" i="1"/>
  <c r="C1039" i="1"/>
  <c r="D1039" i="1"/>
  <c r="E1039" i="1"/>
  <c r="F1039" i="1"/>
  <c r="G1039" i="1"/>
  <c r="H1039" i="1"/>
  <c r="I1039" i="1"/>
  <c r="J1039" i="1"/>
  <c r="B1040" i="1"/>
  <c r="C1040" i="1"/>
  <c r="D1040" i="1"/>
  <c r="E1040" i="1"/>
  <c r="F1040" i="1"/>
  <c r="G1040" i="1"/>
  <c r="H1040" i="1"/>
  <c r="I1040" i="1"/>
  <c r="J1040" i="1"/>
  <c r="B1041" i="1"/>
  <c r="C1041" i="1"/>
  <c r="D1041" i="1"/>
  <c r="E1041" i="1"/>
  <c r="F1041" i="1"/>
  <c r="G1041" i="1"/>
  <c r="H1041" i="1"/>
  <c r="I1041" i="1"/>
  <c r="J1041" i="1"/>
  <c r="B1042" i="1"/>
  <c r="C1042" i="1"/>
  <c r="D1042" i="1"/>
  <c r="E1042" i="1"/>
  <c r="F1042" i="1"/>
  <c r="G1042" i="1"/>
  <c r="H1042" i="1"/>
  <c r="I1042" i="1"/>
  <c r="J1042" i="1"/>
  <c r="B1043" i="1"/>
  <c r="C1043" i="1"/>
  <c r="D1043" i="1"/>
  <c r="E1043" i="1"/>
  <c r="F1043" i="1"/>
  <c r="G1043" i="1"/>
  <c r="H1043" i="1"/>
  <c r="I1043" i="1"/>
  <c r="J1043" i="1"/>
  <c r="B1044" i="1"/>
  <c r="C1044" i="1"/>
  <c r="D1044" i="1"/>
  <c r="E1044" i="1"/>
  <c r="F1044" i="1"/>
  <c r="G1044" i="1"/>
  <c r="H1044" i="1"/>
  <c r="I1044" i="1"/>
  <c r="J1044" i="1"/>
  <c r="B1045" i="1"/>
  <c r="C1045" i="1"/>
  <c r="D1045" i="1"/>
  <c r="E1045" i="1"/>
  <c r="F1045" i="1"/>
  <c r="G1045" i="1"/>
  <c r="H1045" i="1"/>
  <c r="I1045" i="1"/>
  <c r="J1045" i="1"/>
  <c r="B1046" i="1"/>
  <c r="C1046" i="1"/>
  <c r="D1046" i="1"/>
  <c r="E1046" i="1"/>
  <c r="F1046" i="1"/>
  <c r="G1046" i="1"/>
  <c r="H1046" i="1"/>
  <c r="I1046" i="1"/>
  <c r="J1046" i="1"/>
  <c r="B1047" i="1"/>
  <c r="C1047" i="1"/>
  <c r="D1047" i="1"/>
  <c r="E1047" i="1"/>
  <c r="F1047" i="1"/>
  <c r="G1047" i="1"/>
  <c r="H1047" i="1"/>
  <c r="I1047" i="1"/>
  <c r="J1047" i="1"/>
  <c r="B1048" i="1"/>
  <c r="C1048" i="1"/>
  <c r="D1048" i="1"/>
  <c r="E1048" i="1"/>
  <c r="F1048" i="1"/>
  <c r="G1048" i="1"/>
  <c r="H1048" i="1"/>
  <c r="I1048" i="1"/>
  <c r="J1048" i="1"/>
  <c r="B1049" i="1"/>
  <c r="C1049" i="1"/>
  <c r="D1049" i="1"/>
  <c r="E1049" i="1"/>
  <c r="F1049" i="1"/>
  <c r="G1049" i="1"/>
  <c r="H1049" i="1"/>
  <c r="I1049" i="1"/>
  <c r="J1049" i="1"/>
  <c r="B1050" i="1"/>
  <c r="C1050" i="1"/>
  <c r="D1050" i="1"/>
  <c r="E1050" i="1"/>
  <c r="F1050" i="1"/>
  <c r="G1050" i="1"/>
  <c r="H1050" i="1"/>
  <c r="I1050" i="1"/>
  <c r="J1050" i="1"/>
  <c r="B1051" i="1"/>
  <c r="C1051" i="1"/>
  <c r="D1051" i="1"/>
  <c r="E1051" i="1"/>
  <c r="F1051" i="1"/>
  <c r="G1051" i="1"/>
  <c r="H1051" i="1"/>
  <c r="I1051" i="1"/>
  <c r="J1051" i="1"/>
  <c r="B1052" i="1"/>
  <c r="C1052" i="1"/>
  <c r="D1052" i="1"/>
  <c r="E1052" i="1"/>
  <c r="F1052" i="1"/>
  <c r="G1052" i="1"/>
  <c r="H1052" i="1"/>
  <c r="I1052" i="1"/>
  <c r="J1052" i="1"/>
  <c r="B1053" i="1"/>
  <c r="C1053" i="1"/>
  <c r="D1053" i="1"/>
  <c r="E1053" i="1"/>
  <c r="F1053" i="1"/>
  <c r="G1053" i="1"/>
  <c r="H1053" i="1"/>
  <c r="I1053" i="1"/>
  <c r="J1053" i="1"/>
  <c r="B1054" i="1"/>
  <c r="C1054" i="1"/>
  <c r="D1054" i="1"/>
  <c r="E1054" i="1"/>
  <c r="F1054" i="1"/>
  <c r="G1054" i="1"/>
  <c r="H1054" i="1"/>
  <c r="I1054" i="1"/>
  <c r="J1054" i="1"/>
  <c r="B1055" i="1"/>
  <c r="C1055" i="1"/>
  <c r="D1055" i="1"/>
  <c r="E1055" i="1"/>
  <c r="F1055" i="1"/>
  <c r="G1055" i="1"/>
  <c r="H1055" i="1"/>
  <c r="I1055" i="1"/>
  <c r="J1055" i="1"/>
  <c r="B1056" i="1"/>
  <c r="C1056" i="1"/>
  <c r="D1056" i="1"/>
  <c r="E1056" i="1"/>
  <c r="F1056" i="1"/>
  <c r="G1056" i="1"/>
  <c r="H1056" i="1"/>
  <c r="I1056" i="1"/>
  <c r="J1056" i="1"/>
  <c r="B1057" i="1"/>
  <c r="C1057" i="1"/>
  <c r="D1057" i="1"/>
  <c r="E1057" i="1"/>
  <c r="F1057" i="1"/>
  <c r="G1057" i="1"/>
  <c r="H1057" i="1"/>
  <c r="I1057" i="1"/>
  <c r="J1057" i="1"/>
  <c r="B1058" i="1"/>
  <c r="C1058" i="1"/>
  <c r="D1058" i="1"/>
  <c r="E1058" i="1"/>
  <c r="F1058" i="1"/>
  <c r="G1058" i="1"/>
  <c r="H1058" i="1"/>
  <c r="I1058" i="1"/>
  <c r="J1058" i="1"/>
  <c r="B1059" i="1"/>
  <c r="C1059" i="1"/>
  <c r="D1059" i="1"/>
  <c r="E1059" i="1"/>
  <c r="F1059" i="1"/>
  <c r="G1059" i="1"/>
  <c r="H1059" i="1"/>
  <c r="I1059" i="1"/>
  <c r="J1059" i="1"/>
  <c r="B1060" i="1"/>
  <c r="C1060" i="1"/>
  <c r="D1060" i="1"/>
  <c r="E1060" i="1"/>
  <c r="F1060" i="1"/>
  <c r="G1060" i="1"/>
  <c r="H1060" i="1"/>
  <c r="I1060" i="1"/>
  <c r="J1060" i="1"/>
  <c r="E1062" i="1"/>
  <c r="G1062" i="1"/>
  <c r="H1062" i="1"/>
  <c r="J1062" i="1"/>
  <c r="L1062" i="1"/>
  <c r="M1062" i="1"/>
  <c r="N1062" i="1"/>
  <c r="O1062" i="1"/>
  <c r="P1062" i="1"/>
  <c r="R1062" i="1"/>
  <c r="S1062" i="1"/>
  <c r="C1063" i="1"/>
  <c r="G1063" i="1"/>
  <c r="H1063" i="1"/>
  <c r="J1063" i="1"/>
  <c r="L1063" i="1"/>
  <c r="M1063" i="1"/>
  <c r="N1063" i="1"/>
  <c r="O1063" i="1"/>
  <c r="P1063" i="1"/>
  <c r="R1063" i="1"/>
  <c r="S1063" i="1"/>
  <c r="C1064" i="1"/>
  <c r="D1064" i="1"/>
  <c r="E1064" i="1"/>
  <c r="G1064" i="1"/>
  <c r="J1064" i="1"/>
  <c r="L1064" i="1"/>
  <c r="M1064" i="1"/>
  <c r="N1064" i="1"/>
  <c r="O1064" i="1"/>
  <c r="P1064" i="1"/>
  <c r="R1064" i="1"/>
  <c r="C1065" i="1"/>
  <c r="E1065" i="1"/>
  <c r="F1065" i="1"/>
  <c r="G1065" i="1"/>
  <c r="H1065" i="1"/>
  <c r="L1065" i="1"/>
  <c r="M1065" i="1"/>
  <c r="N1065" i="1"/>
  <c r="O1065" i="1"/>
  <c r="P1065" i="1"/>
  <c r="Q1065" i="1"/>
  <c r="F1066" i="1"/>
  <c r="G1066" i="1"/>
  <c r="H1066" i="1"/>
  <c r="I1066" i="1"/>
  <c r="L1066" i="1"/>
  <c r="M1066" i="1"/>
  <c r="N1066" i="1"/>
  <c r="O1066" i="1"/>
  <c r="P1066" i="1"/>
  <c r="Q1066" i="1"/>
  <c r="B1067" i="1"/>
  <c r="H1067" i="1"/>
  <c r="I1067" i="1"/>
  <c r="J1067" i="1"/>
  <c r="L1067" i="1"/>
  <c r="M1067" i="1"/>
  <c r="N1067" i="1"/>
  <c r="O1067" i="1"/>
  <c r="P1067" i="1"/>
  <c r="Q1067" i="1"/>
  <c r="B1068" i="1"/>
  <c r="C1068" i="1"/>
  <c r="D1068" i="1"/>
  <c r="E1068" i="1"/>
  <c r="J1068" i="1"/>
  <c r="L1068" i="1"/>
  <c r="M1068" i="1"/>
  <c r="N1068" i="1"/>
  <c r="O1068" i="1"/>
  <c r="P1068" i="1"/>
  <c r="Q1068" i="1"/>
  <c r="C1069" i="1"/>
  <c r="D1069" i="1"/>
  <c r="E1069" i="1"/>
  <c r="G1069" i="1"/>
  <c r="L1069" i="1"/>
  <c r="M1069" i="1"/>
  <c r="N1069" i="1"/>
  <c r="O1069" i="1"/>
  <c r="P1069" i="1"/>
  <c r="Q1069" i="1"/>
  <c r="F1070" i="1"/>
  <c r="G1070" i="1"/>
  <c r="H1070" i="1"/>
  <c r="J1070" i="1"/>
  <c r="L1070" i="1"/>
  <c r="M1070" i="1"/>
  <c r="N1070" i="1"/>
  <c r="O1070" i="1"/>
  <c r="P1070" i="1"/>
  <c r="Q1070" i="1"/>
  <c r="C1071" i="1"/>
  <c r="D1071" i="1"/>
  <c r="H1071" i="1"/>
  <c r="I1071" i="1"/>
  <c r="L1071" i="1"/>
  <c r="M1071" i="1"/>
  <c r="N1071" i="1"/>
  <c r="O1071" i="1"/>
  <c r="P1071" i="1"/>
  <c r="Q1071" i="1"/>
  <c r="B1072" i="1"/>
  <c r="D1072" i="1"/>
  <c r="E1072" i="1"/>
  <c r="G1072" i="1"/>
  <c r="L1072" i="1"/>
  <c r="M1072" i="1"/>
  <c r="N1072" i="1"/>
  <c r="O1072" i="1"/>
  <c r="P1072" i="1"/>
  <c r="Q1072" i="1"/>
  <c r="F1073" i="1"/>
  <c r="G1073" i="1"/>
  <c r="H1073" i="1"/>
  <c r="I1073" i="1"/>
  <c r="L1073" i="1"/>
  <c r="M1073" i="1"/>
  <c r="N1073" i="1"/>
  <c r="O1073" i="1"/>
  <c r="P1073" i="1"/>
  <c r="Q1073" i="1"/>
  <c r="B1074" i="1"/>
  <c r="G1074" i="1"/>
  <c r="H1074" i="1"/>
  <c r="I1074" i="1"/>
  <c r="J1074" i="1"/>
  <c r="L1074" i="1"/>
  <c r="M1074" i="1"/>
  <c r="N1074" i="1"/>
  <c r="O1074" i="1"/>
  <c r="P1074" i="1"/>
  <c r="Q1074" i="1"/>
  <c r="I1075" i="1"/>
  <c r="J1075" i="1"/>
  <c r="L1075" i="1"/>
  <c r="M1075" i="1"/>
  <c r="N1075" i="1"/>
  <c r="O1075" i="1"/>
  <c r="P1075" i="1"/>
  <c r="Q1075" i="1"/>
  <c r="B1076" i="1"/>
  <c r="C1076" i="1"/>
  <c r="D1076" i="1"/>
  <c r="E1076" i="1"/>
  <c r="F1076" i="1"/>
  <c r="L1076" i="1"/>
  <c r="M1076" i="1"/>
  <c r="N1076" i="1"/>
  <c r="O1076" i="1"/>
  <c r="P1076" i="1"/>
  <c r="Q1076" i="1"/>
  <c r="D1077" i="1"/>
  <c r="E1077" i="1"/>
  <c r="F1077" i="1"/>
  <c r="L1077" i="1"/>
  <c r="M1077" i="1"/>
  <c r="N1077" i="1"/>
  <c r="O1077" i="1"/>
  <c r="P1077" i="1"/>
  <c r="Q1077" i="1"/>
  <c r="B1078" i="1"/>
  <c r="J1078" i="1"/>
  <c r="L1078" i="1"/>
  <c r="M1078" i="1"/>
  <c r="N1078" i="1"/>
  <c r="O1078" i="1"/>
  <c r="P1078" i="1"/>
  <c r="Q1078" i="1"/>
  <c r="D1079" i="1"/>
  <c r="E1079" i="1"/>
  <c r="I1079" i="1"/>
  <c r="L1079" i="1"/>
  <c r="M1079" i="1"/>
  <c r="N1079" i="1"/>
  <c r="O1079" i="1"/>
  <c r="P1079" i="1"/>
  <c r="Q1079" i="1"/>
  <c r="D1080" i="1"/>
  <c r="E1080" i="1"/>
  <c r="F1080" i="1"/>
  <c r="G1080" i="1"/>
  <c r="L1080" i="1"/>
  <c r="M1080" i="1"/>
  <c r="N1080" i="1"/>
  <c r="O1080" i="1"/>
  <c r="P1080" i="1"/>
  <c r="Q1080" i="1"/>
  <c r="F1081" i="1"/>
  <c r="H1081" i="1"/>
  <c r="I1081" i="1"/>
  <c r="L1081" i="1"/>
  <c r="M1081" i="1"/>
  <c r="N1081" i="1"/>
  <c r="O1081" i="1"/>
  <c r="P1081" i="1"/>
  <c r="Q1081" i="1"/>
  <c r="B1082" i="1"/>
  <c r="I1082" i="1"/>
  <c r="J1082" i="1"/>
  <c r="L1082" i="1"/>
  <c r="M1082" i="1"/>
  <c r="N1082" i="1"/>
  <c r="O1082" i="1"/>
  <c r="P1082" i="1"/>
  <c r="Q1082" i="1"/>
  <c r="B1083" i="1"/>
  <c r="C1083" i="1"/>
  <c r="D1083" i="1"/>
  <c r="J1083" i="1"/>
  <c r="L1083" i="1"/>
  <c r="M1083" i="1"/>
  <c r="N1083" i="1"/>
  <c r="O1083" i="1"/>
  <c r="P1083" i="1"/>
  <c r="Q1083" i="1"/>
  <c r="D1084" i="1"/>
  <c r="E1084" i="1"/>
  <c r="F1084" i="1"/>
  <c r="H1084" i="1"/>
  <c r="L1084" i="1"/>
  <c r="M1084" i="1"/>
  <c r="N1084" i="1"/>
  <c r="O1084" i="1"/>
  <c r="P1084" i="1"/>
  <c r="Q1084" i="1"/>
  <c r="E1085" i="1"/>
  <c r="F1085" i="1"/>
  <c r="J1085" i="1"/>
  <c r="L1085" i="1"/>
  <c r="M1085" i="1"/>
  <c r="N1085" i="1"/>
  <c r="O1085" i="1"/>
  <c r="P1085" i="1"/>
  <c r="Q1085" i="1"/>
  <c r="A1086" i="1"/>
  <c r="B1086" i="1"/>
  <c r="G1086" i="1"/>
  <c r="I1086" i="1"/>
  <c r="J1086" i="1"/>
  <c r="L1086" i="1"/>
  <c r="M1086" i="1"/>
  <c r="N1086" i="1"/>
  <c r="O1086" i="1"/>
  <c r="P1086" i="1"/>
  <c r="Q1086" i="1"/>
  <c r="A1087" i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B1087" i="1"/>
  <c r="C1087" i="1"/>
  <c r="G1087" i="1"/>
  <c r="L1087" i="1"/>
  <c r="M1087" i="1"/>
  <c r="N1087" i="1"/>
  <c r="O1087" i="1"/>
  <c r="P1087" i="1"/>
  <c r="Q1087" i="1"/>
  <c r="D1088" i="1"/>
  <c r="I1088" i="1"/>
  <c r="J1088" i="1"/>
  <c r="L1088" i="1"/>
  <c r="M1088" i="1"/>
  <c r="N1088" i="1"/>
  <c r="O1088" i="1"/>
  <c r="P1088" i="1"/>
  <c r="Q1088" i="1"/>
  <c r="B1089" i="1"/>
  <c r="C1089" i="1"/>
  <c r="D1089" i="1"/>
  <c r="E1089" i="1"/>
  <c r="L1089" i="1"/>
  <c r="M1089" i="1"/>
  <c r="N1089" i="1"/>
  <c r="O1089" i="1"/>
  <c r="P1089" i="1"/>
  <c r="Q1089" i="1"/>
  <c r="B1090" i="1"/>
  <c r="F1090" i="1"/>
  <c r="L1090" i="1"/>
  <c r="M1090" i="1"/>
  <c r="N1090" i="1"/>
  <c r="O1090" i="1"/>
  <c r="P1090" i="1"/>
  <c r="Q1090" i="1"/>
  <c r="D1091" i="1"/>
  <c r="E1091" i="1"/>
  <c r="F1091" i="1"/>
  <c r="G1091" i="1"/>
  <c r="L1091" i="1"/>
  <c r="M1091" i="1"/>
  <c r="N1091" i="1"/>
  <c r="O1091" i="1"/>
  <c r="P1091" i="1"/>
  <c r="Q1091" i="1"/>
  <c r="D1092" i="1"/>
  <c r="E1092" i="1"/>
  <c r="F1092" i="1"/>
  <c r="G1092" i="1"/>
  <c r="L1092" i="1"/>
  <c r="M1092" i="1"/>
  <c r="N1092" i="1"/>
  <c r="O1092" i="1"/>
  <c r="P1092" i="1"/>
  <c r="Q1092" i="1"/>
  <c r="F1093" i="1"/>
  <c r="J1093" i="1"/>
  <c r="L1093" i="1"/>
  <c r="M1093" i="1"/>
  <c r="N1093" i="1"/>
  <c r="O1093" i="1"/>
  <c r="P1093" i="1"/>
  <c r="Q1093" i="1"/>
  <c r="B1094" i="1"/>
  <c r="F1094" i="1"/>
  <c r="G1094" i="1"/>
  <c r="I1094" i="1"/>
  <c r="L1094" i="1"/>
  <c r="M1094" i="1"/>
  <c r="N1094" i="1"/>
  <c r="O1094" i="1"/>
  <c r="P1094" i="1"/>
  <c r="Q1094" i="1"/>
  <c r="C1095" i="1"/>
  <c r="G1095" i="1"/>
  <c r="I1095" i="1"/>
  <c r="L1095" i="1"/>
  <c r="M1095" i="1"/>
  <c r="N1095" i="1"/>
  <c r="O1095" i="1"/>
  <c r="P1095" i="1"/>
  <c r="Q1095" i="1"/>
  <c r="I1096" i="1"/>
  <c r="L1096" i="1"/>
  <c r="M1096" i="1"/>
  <c r="N1096" i="1"/>
  <c r="O1096" i="1"/>
  <c r="P1096" i="1"/>
  <c r="Q1096" i="1"/>
  <c r="C1097" i="1"/>
  <c r="D1097" i="1"/>
  <c r="E1097" i="1"/>
  <c r="J1097" i="1"/>
  <c r="L1097" i="1"/>
  <c r="M1097" i="1"/>
  <c r="N1097" i="1"/>
  <c r="O1097" i="1"/>
  <c r="P1097" i="1"/>
  <c r="Q1097" i="1"/>
  <c r="B1098" i="1"/>
  <c r="C1098" i="1"/>
  <c r="D1098" i="1"/>
  <c r="L1098" i="1"/>
  <c r="M1098" i="1"/>
  <c r="N1098" i="1"/>
  <c r="O1098" i="1"/>
  <c r="P1098" i="1"/>
  <c r="Q1098" i="1"/>
  <c r="G1099" i="1"/>
  <c r="L1099" i="1"/>
  <c r="M1099" i="1"/>
  <c r="N1099" i="1"/>
  <c r="O1099" i="1"/>
  <c r="P1099" i="1"/>
  <c r="Q1099" i="1"/>
  <c r="E1100" i="1"/>
  <c r="F1100" i="1"/>
  <c r="G1100" i="1"/>
  <c r="I1100" i="1"/>
  <c r="L1100" i="1"/>
  <c r="M1100" i="1"/>
  <c r="N1100" i="1"/>
  <c r="O1100" i="1"/>
  <c r="P1100" i="1"/>
  <c r="Q1100" i="1"/>
  <c r="E1101" i="1"/>
  <c r="F1101" i="1"/>
  <c r="L1101" i="1"/>
  <c r="M1101" i="1"/>
  <c r="N1101" i="1"/>
  <c r="O1101" i="1"/>
  <c r="P1101" i="1"/>
  <c r="Q1101" i="1"/>
  <c r="I1102" i="1"/>
  <c r="J1102" i="1"/>
  <c r="L1102" i="1"/>
  <c r="M1102" i="1"/>
  <c r="N1102" i="1"/>
  <c r="O1102" i="1"/>
  <c r="P1102" i="1"/>
  <c r="Q1102" i="1"/>
  <c r="B1103" i="1"/>
  <c r="C1103" i="1"/>
  <c r="G1103" i="1"/>
  <c r="J1103" i="1"/>
  <c r="L1103" i="1"/>
  <c r="M1103" i="1"/>
  <c r="N1103" i="1"/>
  <c r="O1103" i="1"/>
  <c r="P1103" i="1"/>
  <c r="Q1103" i="1"/>
  <c r="B1104" i="1"/>
  <c r="C1104" i="1"/>
  <c r="L1104" i="1"/>
  <c r="M1104" i="1"/>
  <c r="N1104" i="1"/>
  <c r="O1104" i="1"/>
  <c r="P1104" i="1"/>
  <c r="Q1104" i="1"/>
  <c r="C1105" i="1"/>
  <c r="D1105" i="1"/>
  <c r="J1105" i="1"/>
  <c r="L1105" i="1"/>
  <c r="M1105" i="1"/>
  <c r="N1105" i="1"/>
  <c r="O1105" i="1"/>
  <c r="P1105" i="1"/>
  <c r="Q1105" i="1"/>
  <c r="C1106" i="1"/>
  <c r="D1106" i="1"/>
  <c r="E1106" i="1"/>
  <c r="F1106" i="1"/>
  <c r="L1106" i="1"/>
  <c r="M1106" i="1"/>
  <c r="N1106" i="1"/>
  <c r="O1106" i="1"/>
  <c r="P1106" i="1"/>
  <c r="Q1106" i="1"/>
  <c r="C1107" i="1"/>
  <c r="D1107" i="1"/>
  <c r="L1107" i="1"/>
  <c r="M1107" i="1"/>
  <c r="N1107" i="1"/>
  <c r="O1107" i="1"/>
  <c r="P1107" i="1"/>
  <c r="Q1107" i="1"/>
  <c r="G1108" i="1"/>
  <c r="I1108" i="1"/>
  <c r="L1108" i="1"/>
  <c r="M1108" i="1"/>
  <c r="N1108" i="1"/>
  <c r="O1108" i="1"/>
  <c r="P1108" i="1"/>
  <c r="Q1108" i="1"/>
  <c r="E1109" i="1"/>
  <c r="F1109" i="1"/>
  <c r="G1109" i="1"/>
  <c r="I1109" i="1"/>
  <c r="L1109" i="1"/>
  <c r="M1109" i="1"/>
  <c r="N1109" i="1"/>
  <c r="O1109" i="1"/>
  <c r="P1109" i="1"/>
  <c r="Q1109" i="1"/>
  <c r="P1110" i="1"/>
  <c r="J1109" i="1" l="1"/>
  <c r="E1108" i="1"/>
  <c r="D1108" i="1"/>
  <c r="E1107" i="1"/>
  <c r="F1107" i="1"/>
  <c r="G1107" i="1"/>
  <c r="B1105" i="1"/>
  <c r="I1104" i="1"/>
  <c r="J1104" i="1"/>
  <c r="B1108" i="1"/>
  <c r="I1106" i="1"/>
  <c r="G1105" i="1"/>
  <c r="K1138" i="4"/>
  <c r="I1123" i="4"/>
  <c r="G1105" i="4"/>
  <c r="G1087" i="4"/>
  <c r="D1109" i="3"/>
  <c r="D1105" i="3"/>
  <c r="D1102" i="3"/>
  <c r="D1101" i="3"/>
  <c r="D1097" i="3"/>
  <c r="D1094" i="3"/>
  <c r="D1093" i="3"/>
  <c r="D1081" i="3"/>
  <c r="D1075" i="3"/>
  <c r="D1065" i="3"/>
  <c r="D1104" i="1"/>
  <c r="F1102" i="1"/>
  <c r="G1102" i="1"/>
  <c r="B1102" i="1"/>
  <c r="J1101" i="1"/>
  <c r="G1101" i="1"/>
  <c r="D1100" i="1"/>
  <c r="C1099" i="1"/>
  <c r="D1099" i="1"/>
  <c r="F1099" i="1"/>
  <c r="E1098" i="1"/>
  <c r="F1098" i="1"/>
  <c r="B1097" i="1"/>
  <c r="D1096" i="1"/>
  <c r="E1096" i="1"/>
  <c r="G1096" i="1"/>
  <c r="B1096" i="1"/>
  <c r="C1096" i="1"/>
  <c r="J1095" i="1"/>
  <c r="B1095" i="1"/>
  <c r="D1095" i="1"/>
  <c r="E1094" i="1"/>
  <c r="I1093" i="1"/>
  <c r="B1093" i="1"/>
  <c r="D1093" i="1"/>
  <c r="G1093" i="1"/>
  <c r="I1091" i="1"/>
  <c r="B1091" i="1"/>
  <c r="C1091" i="1"/>
  <c r="E1090" i="1"/>
  <c r="G1090" i="1"/>
  <c r="C1090" i="1"/>
  <c r="I1089" i="1"/>
  <c r="J1089" i="1"/>
  <c r="E1088" i="1"/>
  <c r="G1088" i="1"/>
  <c r="B1088" i="1"/>
  <c r="I1087" i="1"/>
  <c r="J1087" i="1"/>
  <c r="D1087" i="1"/>
  <c r="E1086" i="1"/>
  <c r="F1086" i="1"/>
  <c r="I1085" i="1"/>
  <c r="B1085" i="1"/>
  <c r="D1085" i="1"/>
  <c r="G1085" i="1"/>
  <c r="I1083" i="1"/>
  <c r="G1082" i="1"/>
  <c r="H1082" i="1"/>
  <c r="C1082" i="1"/>
  <c r="J1081" i="1"/>
  <c r="B1081" i="1"/>
  <c r="H1080" i="1"/>
  <c r="C1079" i="1"/>
  <c r="E1078" i="1"/>
  <c r="F1078" i="1"/>
  <c r="G1078" i="1"/>
  <c r="H1078" i="1"/>
  <c r="I1077" i="1"/>
  <c r="J1077" i="1"/>
  <c r="B1077" i="1"/>
  <c r="C1077" i="1"/>
  <c r="G1077" i="1"/>
  <c r="H1076" i="1"/>
  <c r="B1075" i="1"/>
  <c r="C1075" i="1"/>
  <c r="D1075" i="1"/>
  <c r="F1074" i="1"/>
  <c r="J1073" i="1"/>
  <c r="B1073" i="1"/>
  <c r="C1073" i="1"/>
  <c r="F1072" i="1"/>
  <c r="H1072" i="1"/>
  <c r="E1070" i="1"/>
  <c r="I1069" i="1"/>
  <c r="J1069" i="1"/>
  <c r="B1069" i="1"/>
  <c r="F1068" i="1"/>
  <c r="H1068" i="1"/>
  <c r="C1067" i="1"/>
  <c r="D1067" i="1"/>
  <c r="I1065" i="1"/>
  <c r="F1063" i="1"/>
  <c r="D1063" i="1"/>
  <c r="B1062" i="1"/>
  <c r="E1103" i="1"/>
  <c r="B1100" i="1"/>
  <c r="I1098" i="1"/>
  <c r="G1097" i="1"/>
  <c r="E1095" i="1"/>
  <c r="C1093" i="1"/>
  <c r="B1092" i="1"/>
  <c r="J1091" i="1"/>
  <c r="I1090" i="1"/>
  <c r="G1089" i="1"/>
  <c r="F1088" i="1"/>
  <c r="E1087" i="1"/>
  <c r="C1085" i="1"/>
  <c r="J1084" i="1"/>
  <c r="F1082" i="1"/>
  <c r="C1081" i="1"/>
  <c r="D1144" i="4"/>
  <c r="F1114" i="4"/>
  <c r="J1106" i="4"/>
  <c r="B1075" i="4"/>
  <c r="H1148" i="4"/>
  <c r="B1148" i="4"/>
  <c r="H1147" i="4"/>
  <c r="D1147" i="4"/>
  <c r="F1146" i="4"/>
  <c r="B1146" i="4"/>
  <c r="B1145" i="4"/>
  <c r="F1144" i="4"/>
  <c r="B1144" i="4"/>
  <c r="F1143" i="4"/>
  <c r="J1143" i="4"/>
  <c r="F1148" i="4"/>
  <c r="D1148" i="4"/>
  <c r="J1147" i="4"/>
  <c r="J1146" i="4"/>
  <c r="F1145" i="4"/>
  <c r="J1145" i="4"/>
  <c r="J1144" i="4"/>
  <c r="B1143" i="4"/>
  <c r="H1110" i="1"/>
  <c r="Q1110" i="1"/>
  <c r="C1110" i="1"/>
  <c r="M1110" i="1"/>
  <c r="E1110" i="1"/>
  <c r="D1110" i="1"/>
  <c r="N1110" i="1"/>
  <c r="O1110" i="1"/>
  <c r="G1110" i="1"/>
  <c r="B1110" i="1"/>
  <c r="F1110" i="1"/>
  <c r="I1110" i="1"/>
  <c r="J1110" i="1"/>
  <c r="L1110" i="1"/>
  <c r="J1148" i="4"/>
  <c r="F1147" i="4"/>
  <c r="B1147" i="4"/>
  <c r="H1146" i="4"/>
  <c r="D1146" i="4"/>
  <c r="H1145" i="4"/>
  <c r="D1145" i="4"/>
  <c r="H1144" i="4"/>
  <c r="H1143" i="4"/>
  <c r="D1143" i="4"/>
  <c r="A1111" i="1"/>
  <c r="B1142" i="4"/>
  <c r="F1141" i="4"/>
  <c r="D1141" i="4"/>
  <c r="J1140" i="4"/>
  <c r="H1139" i="4"/>
  <c r="F1138" i="4"/>
  <c r="D1138" i="4"/>
  <c r="J1137" i="4"/>
  <c r="B1136" i="4"/>
  <c r="F1135" i="4"/>
  <c r="B1135" i="4"/>
  <c r="J1134" i="4"/>
  <c r="D1133" i="4"/>
  <c r="E1148" i="4"/>
  <c r="G1148" i="4"/>
  <c r="G1147" i="4"/>
  <c r="G1146" i="4"/>
  <c r="E1145" i="4"/>
  <c r="G1145" i="4"/>
  <c r="E1144" i="4"/>
  <c r="G1144" i="4"/>
  <c r="G1143" i="4"/>
  <c r="G1142" i="4"/>
  <c r="E1141" i="4"/>
  <c r="G1141" i="4"/>
  <c r="E1140" i="4"/>
  <c r="G1140" i="4"/>
  <c r="E1139" i="4"/>
  <c r="G1139" i="4"/>
  <c r="E1138" i="4"/>
  <c r="G1138" i="4"/>
  <c r="E1137" i="4"/>
  <c r="G1137" i="4"/>
  <c r="G1136" i="4"/>
  <c r="G1135" i="4"/>
  <c r="E1134" i="4"/>
  <c r="G1134" i="4"/>
  <c r="G1133" i="4"/>
  <c r="E1132" i="4"/>
  <c r="G1132" i="4"/>
  <c r="E1131" i="4"/>
  <c r="G1131" i="4"/>
  <c r="E1130" i="4"/>
  <c r="G1130" i="4"/>
  <c r="G1129" i="4"/>
  <c r="E1128" i="4"/>
  <c r="G1128" i="4"/>
  <c r="G1127" i="4"/>
  <c r="E1126" i="4"/>
  <c r="G1126" i="4"/>
  <c r="G1125" i="4"/>
  <c r="G1124" i="4"/>
  <c r="E1123" i="4"/>
  <c r="G1123" i="4"/>
  <c r="E1122" i="4"/>
  <c r="G1122" i="4"/>
  <c r="E1121" i="4"/>
  <c r="G1121" i="4"/>
  <c r="E1120" i="4"/>
  <c r="G1120" i="4"/>
  <c r="E1119" i="4"/>
  <c r="G1119" i="4"/>
  <c r="G1118" i="4"/>
  <c r="E1117" i="4"/>
  <c r="G1117" i="4"/>
  <c r="G1116" i="4"/>
  <c r="G1115" i="4"/>
  <c r="G1114" i="4"/>
  <c r="H1142" i="4"/>
  <c r="H1141" i="4"/>
  <c r="B1140" i="4"/>
  <c r="J1139" i="4"/>
  <c r="B1138" i="4"/>
  <c r="H1137" i="4"/>
  <c r="H1136" i="4"/>
  <c r="H1135" i="4"/>
  <c r="B1134" i="4"/>
  <c r="H1133" i="4"/>
  <c r="J1132" i="4"/>
  <c r="H1131" i="4"/>
  <c r="D1131" i="4"/>
  <c r="J1130" i="4"/>
  <c r="B1129" i="4"/>
  <c r="H1128" i="4"/>
  <c r="D1128" i="4"/>
  <c r="H1127" i="4"/>
  <c r="B1127" i="4"/>
  <c r="F1126" i="4"/>
  <c r="B1126" i="4"/>
  <c r="F1125" i="4"/>
  <c r="B1125" i="4"/>
  <c r="F1124" i="4"/>
  <c r="B1124" i="4"/>
  <c r="H1123" i="4"/>
  <c r="D1123" i="4"/>
  <c r="J1122" i="4"/>
  <c r="H1121" i="4"/>
  <c r="D1121" i="4"/>
  <c r="H1120" i="4"/>
  <c r="D1120" i="4"/>
  <c r="F1119" i="4"/>
  <c r="B1119" i="4"/>
  <c r="F1118" i="4"/>
  <c r="B1118" i="4"/>
  <c r="B1117" i="4"/>
  <c r="D1116" i="4"/>
  <c r="D1106" i="4"/>
  <c r="H1105" i="4"/>
  <c r="D1105" i="4"/>
  <c r="H1104" i="4"/>
  <c r="D1104" i="4"/>
  <c r="B1102" i="4"/>
  <c r="H1101" i="4"/>
  <c r="D1101" i="4"/>
  <c r="J1100" i="4"/>
  <c r="B1099" i="4"/>
  <c r="F1098" i="4"/>
  <c r="B1098" i="4"/>
  <c r="J1097" i="4"/>
  <c r="H1096" i="4"/>
  <c r="D1096" i="4"/>
  <c r="F1095" i="4"/>
  <c r="B1095" i="4"/>
  <c r="J1094" i="4"/>
  <c r="B1093" i="4"/>
  <c r="H1092" i="4"/>
  <c r="D1092" i="4"/>
  <c r="J1091" i="4"/>
  <c r="F1090" i="4"/>
  <c r="B1090" i="4"/>
  <c r="F1089" i="4"/>
  <c r="B1089" i="4"/>
  <c r="H1088" i="4"/>
  <c r="D1088" i="4"/>
  <c r="J1087" i="4"/>
  <c r="H1086" i="4"/>
  <c r="D1086" i="4"/>
  <c r="J1085" i="4"/>
  <c r="F1084" i="4"/>
  <c r="D1084" i="4"/>
  <c r="H1083" i="4"/>
  <c r="D1083" i="4"/>
  <c r="J1082" i="4"/>
  <c r="F1081" i="4"/>
  <c r="B1081" i="4"/>
  <c r="J1080" i="4"/>
  <c r="J1079" i="4"/>
  <c r="J1078" i="4"/>
  <c r="H1077" i="4"/>
  <c r="D1077" i="4"/>
  <c r="J1076" i="4"/>
  <c r="F1075" i="4"/>
  <c r="H1074" i="4"/>
  <c r="D1074" i="4"/>
  <c r="F1073" i="4"/>
  <c r="B1073" i="4"/>
  <c r="H1072" i="4"/>
  <c r="D1072" i="4"/>
  <c r="F1071" i="4"/>
  <c r="B1071" i="4"/>
  <c r="J1070" i="4"/>
  <c r="J1069" i="4"/>
  <c r="J1068" i="4"/>
  <c r="F1067" i="4"/>
  <c r="B1067" i="4"/>
  <c r="J1066" i="4"/>
  <c r="B1065" i="4"/>
  <c r="H1064" i="4"/>
  <c r="D1064" i="4"/>
  <c r="H1063" i="4"/>
  <c r="B1063" i="4"/>
  <c r="F1062" i="4"/>
  <c r="F1103" i="4"/>
  <c r="B1062" i="4"/>
  <c r="B1103" i="4"/>
  <c r="K1148" i="4"/>
  <c r="K1147" i="4"/>
  <c r="K1146" i="4"/>
  <c r="C1145" i="4"/>
  <c r="K1144" i="4"/>
  <c r="K1143" i="4"/>
  <c r="I1142" i="4"/>
  <c r="C1142" i="4"/>
  <c r="I1141" i="4"/>
  <c r="C1141" i="4"/>
  <c r="I1140" i="4"/>
  <c r="K1140" i="4"/>
  <c r="I1139" i="4"/>
  <c r="K1139" i="4"/>
  <c r="C1139" i="4"/>
  <c r="I1138" i="4"/>
  <c r="I1137" i="4"/>
  <c r="K1137" i="4"/>
  <c r="F1142" i="4"/>
  <c r="D1142" i="4"/>
  <c r="B1141" i="4"/>
  <c r="H1140" i="4"/>
  <c r="F1139" i="4"/>
  <c r="D1139" i="4"/>
  <c r="H1138" i="4"/>
  <c r="B1137" i="4"/>
  <c r="F1136" i="4"/>
  <c r="D1136" i="4"/>
  <c r="J1135" i="4"/>
  <c r="H1134" i="4"/>
  <c r="F1133" i="4"/>
  <c r="B1133" i="4"/>
  <c r="H1132" i="4"/>
  <c r="D1132" i="4"/>
  <c r="B1131" i="4"/>
  <c r="F1130" i="4"/>
  <c r="B1130" i="4"/>
  <c r="H1129" i="4"/>
  <c r="D1129" i="4"/>
  <c r="B1128" i="4"/>
  <c r="F1127" i="4"/>
  <c r="D1127" i="4"/>
  <c r="J1126" i="4"/>
  <c r="H1125" i="4"/>
  <c r="D1125" i="4"/>
  <c r="H1124" i="4"/>
  <c r="D1124" i="4"/>
  <c r="B1123" i="4"/>
  <c r="F1122" i="4"/>
  <c r="B1122" i="4"/>
  <c r="F1121" i="4"/>
  <c r="B1121" i="4"/>
  <c r="F1120" i="4"/>
  <c r="J1120" i="4"/>
  <c r="J1119" i="4"/>
  <c r="H1118" i="4"/>
  <c r="D1118" i="4"/>
  <c r="H1117" i="4"/>
  <c r="D1117" i="4"/>
  <c r="H1116" i="4"/>
  <c r="B1116" i="4"/>
  <c r="H1115" i="4"/>
  <c r="B1115" i="4"/>
  <c r="J1114" i="4"/>
  <c r="D1114" i="4"/>
  <c r="H1113" i="4"/>
  <c r="B1113" i="4"/>
  <c r="F1112" i="4"/>
  <c r="J1112" i="4"/>
  <c r="D1112" i="4"/>
  <c r="H1111" i="4"/>
  <c r="B1111" i="4"/>
  <c r="F1110" i="4"/>
  <c r="J1110" i="4"/>
  <c r="D1110" i="4"/>
  <c r="H1109" i="4"/>
  <c r="B1109" i="4"/>
  <c r="F1108" i="4"/>
  <c r="J1108" i="4"/>
  <c r="D1108" i="4"/>
  <c r="F1107" i="4"/>
  <c r="J1107" i="4"/>
  <c r="D1107" i="4"/>
  <c r="F1106" i="4"/>
  <c r="H1106" i="4"/>
  <c r="B1106" i="4"/>
  <c r="F1105" i="4"/>
  <c r="B1105" i="4"/>
  <c r="J1104" i="4"/>
  <c r="H1102" i="4"/>
  <c r="D1102" i="4"/>
  <c r="F1101" i="4"/>
  <c r="B1101" i="4"/>
  <c r="F1100" i="4"/>
  <c r="B1100" i="4"/>
  <c r="H1099" i="4"/>
  <c r="D1099" i="4"/>
  <c r="H1098" i="4"/>
  <c r="D1098" i="4"/>
  <c r="F1097" i="4"/>
  <c r="B1097" i="4"/>
  <c r="J1096" i="4"/>
  <c r="J1095" i="4"/>
  <c r="F1094" i="4"/>
  <c r="D1094" i="4"/>
  <c r="F1093" i="4"/>
  <c r="J1093" i="4"/>
  <c r="J1092" i="4"/>
  <c r="F1091" i="4"/>
  <c r="D1091" i="4"/>
  <c r="J1090" i="4"/>
  <c r="J1089" i="4"/>
  <c r="F1088" i="4"/>
  <c r="B1088" i="4"/>
  <c r="H1087" i="4"/>
  <c r="D1087" i="4"/>
  <c r="F1086" i="4"/>
  <c r="B1086" i="4"/>
  <c r="F1085" i="4"/>
  <c r="B1085" i="4"/>
  <c r="J1084" i="4"/>
  <c r="F1083" i="4"/>
  <c r="B1083" i="4"/>
  <c r="F1082" i="4"/>
  <c r="B1082" i="4"/>
  <c r="H1081" i="4"/>
  <c r="D1081" i="4"/>
  <c r="H1080" i="4"/>
  <c r="D1080" i="4"/>
  <c r="H1079" i="4"/>
  <c r="D1079" i="4"/>
  <c r="H1078" i="4"/>
  <c r="D1078" i="4"/>
  <c r="J1077" i="4"/>
  <c r="F1076" i="4"/>
  <c r="B1076" i="4"/>
  <c r="H1075" i="4"/>
  <c r="D1075" i="4"/>
  <c r="F1074" i="4"/>
  <c r="B1074" i="4"/>
  <c r="J1073" i="4"/>
  <c r="B1072" i="4"/>
  <c r="H1071" i="4"/>
  <c r="D1071" i="4"/>
  <c r="F1070" i="4"/>
  <c r="B1070" i="4"/>
  <c r="H1069" i="4"/>
  <c r="D1069" i="4"/>
  <c r="H1068" i="4"/>
  <c r="D1068" i="4"/>
  <c r="H1067" i="4"/>
  <c r="D1067" i="4"/>
  <c r="H1066" i="4"/>
  <c r="D1066" i="4"/>
  <c r="F1065" i="4"/>
  <c r="J1065" i="4"/>
  <c r="F1064" i="4"/>
  <c r="B1064" i="4"/>
  <c r="F1063" i="4"/>
  <c r="J1063" i="4"/>
  <c r="D1063" i="4"/>
  <c r="H1062" i="4"/>
  <c r="H1103" i="4"/>
  <c r="D1103" i="4"/>
  <c r="D1062" i="4"/>
  <c r="I1148" i="4"/>
  <c r="C1148" i="4"/>
  <c r="I1147" i="4"/>
  <c r="C1147" i="4"/>
  <c r="I1146" i="4"/>
  <c r="C1146" i="4"/>
  <c r="I1145" i="4"/>
  <c r="K1145" i="4"/>
  <c r="I1144" i="4"/>
  <c r="C1144" i="4"/>
  <c r="I1143" i="4"/>
  <c r="C1143" i="4"/>
  <c r="K1142" i="4"/>
  <c r="K1141" i="4"/>
  <c r="C1140" i="4"/>
  <c r="J1142" i="4"/>
  <c r="J1141" i="4"/>
  <c r="F1140" i="4"/>
  <c r="D1140" i="4"/>
  <c r="B1139" i="4"/>
  <c r="J1138" i="4"/>
  <c r="F1137" i="4"/>
  <c r="D1137" i="4"/>
  <c r="J1136" i="4"/>
  <c r="D1135" i="4"/>
  <c r="F1134" i="4"/>
  <c r="D1134" i="4"/>
  <c r="J1133" i="4"/>
  <c r="F1132" i="4"/>
  <c r="B1132" i="4"/>
  <c r="F1131" i="4"/>
  <c r="J1131" i="4"/>
  <c r="H1130" i="4"/>
  <c r="D1130" i="4"/>
  <c r="F1129" i="4"/>
  <c r="J1129" i="4"/>
  <c r="F1128" i="4"/>
  <c r="J1128" i="4"/>
  <c r="J1127" i="4"/>
  <c r="H1126" i="4"/>
  <c r="D1126" i="4"/>
  <c r="J1125" i="4"/>
  <c r="J1124" i="4"/>
  <c r="F1123" i="4"/>
  <c r="J1123" i="4"/>
  <c r="H1122" i="4"/>
  <c r="D1122" i="4"/>
  <c r="J1121" i="4"/>
  <c r="B1120" i="4"/>
  <c r="H1119" i="4"/>
  <c r="D1119" i="4"/>
  <c r="J1118" i="4"/>
  <c r="F1117" i="4"/>
  <c r="J1117" i="4"/>
  <c r="F1116" i="4"/>
  <c r="J1116" i="4"/>
  <c r="F1115" i="4"/>
  <c r="J1115" i="4"/>
  <c r="D1115" i="4"/>
  <c r="H1114" i="4"/>
  <c r="B1114" i="4"/>
  <c r="F1113" i="4"/>
  <c r="J1113" i="4"/>
  <c r="D1113" i="4"/>
  <c r="H1112" i="4"/>
  <c r="B1112" i="4"/>
  <c r="F1111" i="4"/>
  <c r="J1111" i="4"/>
  <c r="D1111" i="4"/>
  <c r="H1110" i="4"/>
  <c r="B1110" i="4"/>
  <c r="F1109" i="4"/>
  <c r="J1109" i="4"/>
  <c r="D1109" i="4"/>
  <c r="H1108" i="4"/>
  <c r="B1108" i="4"/>
  <c r="H1107" i="4"/>
  <c r="B1107" i="4"/>
  <c r="J1105" i="4"/>
  <c r="F1104" i="4"/>
  <c r="B1104" i="4"/>
  <c r="F1102" i="4"/>
  <c r="J1102" i="4"/>
  <c r="J1101" i="4"/>
  <c r="H1100" i="4"/>
  <c r="D1100" i="4"/>
  <c r="F1099" i="4"/>
  <c r="J1099" i="4"/>
  <c r="J1098" i="4"/>
  <c r="H1097" i="4"/>
  <c r="D1097" i="4"/>
  <c r="F1096" i="4"/>
  <c r="B1096" i="4"/>
  <c r="H1095" i="4"/>
  <c r="D1095" i="4"/>
  <c r="H1094" i="4"/>
  <c r="B1094" i="4"/>
  <c r="H1093" i="4"/>
  <c r="D1093" i="4"/>
  <c r="F1092" i="4"/>
  <c r="B1092" i="4"/>
  <c r="H1091" i="4"/>
  <c r="B1091" i="4"/>
  <c r="H1090" i="4"/>
  <c r="D1090" i="4"/>
  <c r="H1089" i="4"/>
  <c r="D1089" i="4"/>
  <c r="J1088" i="4"/>
  <c r="F1087" i="4"/>
  <c r="B1087" i="4"/>
  <c r="J1086" i="4"/>
  <c r="H1085" i="4"/>
  <c r="D1085" i="4"/>
  <c r="H1084" i="4"/>
  <c r="B1084" i="4"/>
  <c r="J1083" i="4"/>
  <c r="H1082" i="4"/>
  <c r="D1082" i="4"/>
  <c r="J1081" i="4"/>
  <c r="F1080" i="4"/>
  <c r="B1080" i="4"/>
  <c r="F1079" i="4"/>
  <c r="B1079" i="4"/>
  <c r="F1078" i="4"/>
  <c r="B1078" i="4"/>
  <c r="F1077" i="4"/>
  <c r="B1077" i="4"/>
  <c r="H1076" i="4"/>
  <c r="D1076" i="4"/>
  <c r="J1075" i="4"/>
  <c r="J1074" i="4"/>
  <c r="H1073" i="4"/>
  <c r="D1073" i="4"/>
  <c r="F1072" i="4"/>
  <c r="J1072" i="4"/>
  <c r="J1071" i="4"/>
  <c r="H1070" i="4"/>
  <c r="D1070" i="4"/>
  <c r="F1069" i="4"/>
  <c r="B1069" i="4"/>
  <c r="F1068" i="4"/>
  <c r="B1068" i="4"/>
  <c r="J1067" i="4"/>
  <c r="F1066" i="4"/>
  <c r="B1066" i="4"/>
  <c r="H1065" i="4"/>
  <c r="D1065" i="4"/>
  <c r="J1064" i="4"/>
  <c r="J1062" i="4"/>
  <c r="J1103" i="4"/>
  <c r="C1138" i="4"/>
  <c r="B1110" i="3"/>
  <c r="E1110" i="3"/>
  <c r="C1110" i="3"/>
  <c r="D1110" i="3"/>
  <c r="A1111" i="3"/>
  <c r="H1109" i="1"/>
  <c r="J1108" i="1"/>
  <c r="C1108" i="1"/>
  <c r="H1107" i="1"/>
  <c r="J1106" i="1"/>
  <c r="B1106" i="1"/>
  <c r="E1105" i="1"/>
  <c r="F1105" i="1"/>
  <c r="H1105" i="1"/>
  <c r="F1103" i="1"/>
  <c r="H1103" i="1"/>
  <c r="C1102" i="1"/>
  <c r="D1102" i="1"/>
  <c r="H1101" i="1"/>
  <c r="J1100" i="1"/>
  <c r="C1100" i="1"/>
  <c r="E1099" i="1"/>
  <c r="H1099" i="1"/>
  <c r="J1098" i="1"/>
  <c r="F1097" i="1"/>
  <c r="H1097" i="1"/>
  <c r="J1096" i="1"/>
  <c r="F1095" i="1"/>
  <c r="H1095" i="1"/>
  <c r="J1094" i="1"/>
  <c r="C1094" i="1"/>
  <c r="D1094" i="1"/>
  <c r="E1093" i="1"/>
  <c r="H1093" i="1"/>
  <c r="I1092" i="1"/>
  <c r="J1092" i="1"/>
  <c r="C1092" i="1"/>
  <c r="H1091" i="1"/>
  <c r="J1090" i="1"/>
  <c r="D1090" i="1"/>
  <c r="F1089" i="1"/>
  <c r="H1089" i="1"/>
  <c r="C1088" i="1"/>
  <c r="F1087" i="1"/>
  <c r="H1087" i="1"/>
  <c r="C1086" i="1"/>
  <c r="D1086" i="1"/>
  <c r="H1085" i="1"/>
  <c r="I1084" i="1"/>
  <c r="B1084" i="1"/>
  <c r="C1084" i="1"/>
  <c r="E1083" i="1"/>
  <c r="G1083" i="1"/>
  <c r="H1083" i="1"/>
  <c r="D1082" i="1"/>
  <c r="E1081" i="1"/>
  <c r="G1081" i="1"/>
  <c r="I1080" i="1"/>
  <c r="J1080" i="1"/>
  <c r="B1080" i="1"/>
  <c r="F1079" i="1"/>
  <c r="G1079" i="1"/>
  <c r="H1079" i="1"/>
  <c r="C1078" i="1"/>
  <c r="D1078" i="1"/>
  <c r="H1077" i="1"/>
  <c r="I1076" i="1"/>
  <c r="J1076" i="1"/>
  <c r="E1075" i="1"/>
  <c r="G1075" i="1"/>
  <c r="H1075" i="1"/>
  <c r="C1074" i="1"/>
  <c r="D1074" i="1"/>
  <c r="E1073" i="1"/>
  <c r="I1072" i="1"/>
  <c r="J1072" i="1"/>
  <c r="E1071" i="1"/>
  <c r="F1071" i="1"/>
  <c r="G1071" i="1"/>
  <c r="B1070" i="1"/>
  <c r="C1070" i="1"/>
  <c r="D1070" i="1"/>
  <c r="F1069" i="1"/>
  <c r="H1069" i="1"/>
  <c r="I1068" i="1"/>
  <c r="E1067" i="1"/>
  <c r="G1067" i="1"/>
  <c r="J1066" i="1"/>
  <c r="B1066" i="1"/>
  <c r="C1066" i="1"/>
  <c r="D1066" i="1"/>
  <c r="J1065" i="1"/>
  <c r="B1065" i="1"/>
  <c r="D1065" i="1"/>
  <c r="F1064" i="1"/>
  <c r="H1064" i="1"/>
  <c r="B1064" i="1"/>
  <c r="B1063" i="1"/>
  <c r="E1063" i="1"/>
  <c r="D1062" i="1"/>
  <c r="K1136" i="4"/>
  <c r="C1135" i="4"/>
  <c r="C1134" i="4"/>
  <c r="I1133" i="4"/>
  <c r="I1132" i="4"/>
  <c r="C1131" i="4"/>
  <c r="C1130" i="4"/>
  <c r="I1129" i="4"/>
  <c r="I1128" i="4"/>
  <c r="I1127" i="4"/>
  <c r="I1126" i="4"/>
  <c r="C1125" i="4"/>
  <c r="I1124" i="4"/>
  <c r="C1123" i="4"/>
  <c r="C1122" i="4"/>
  <c r="I1121" i="4"/>
  <c r="I1120" i="4"/>
  <c r="I1119" i="4"/>
  <c r="K1118" i="4"/>
  <c r="C1117" i="4"/>
  <c r="C1116" i="4"/>
  <c r="K1115" i="4"/>
  <c r="I1114" i="4"/>
  <c r="I1113" i="4"/>
  <c r="K1112" i="4"/>
  <c r="C1111" i="4"/>
  <c r="I1110" i="4"/>
  <c r="I1109" i="4"/>
  <c r="K1108" i="4"/>
  <c r="I1107" i="4"/>
  <c r="K1106" i="4"/>
  <c r="K1105" i="4"/>
  <c r="K1104" i="4"/>
  <c r="C1102" i="4"/>
  <c r="C1101" i="4"/>
  <c r="I1100" i="4"/>
  <c r="C1099" i="4"/>
  <c r="C1098" i="4"/>
  <c r="K1097" i="4"/>
  <c r="I1096" i="4"/>
  <c r="K1095" i="4"/>
  <c r="K1094" i="4"/>
  <c r="C1093" i="4"/>
  <c r="K1092" i="4"/>
  <c r="C1091" i="4"/>
  <c r="C1090" i="4"/>
  <c r="C1089" i="4"/>
  <c r="I1088" i="4"/>
  <c r="K1087" i="4"/>
  <c r="K1086" i="4"/>
  <c r="I1085" i="4"/>
  <c r="K1084" i="4"/>
  <c r="K1083" i="4"/>
  <c r="C1082" i="4"/>
  <c r="I1081" i="4"/>
  <c r="I1080" i="4"/>
  <c r="C1079" i="4"/>
  <c r="K1078" i="4"/>
  <c r="C1077" i="4"/>
  <c r="C1076" i="4"/>
  <c r="C1075" i="4"/>
  <c r="K1074" i="4"/>
  <c r="I1073" i="4"/>
  <c r="C1072" i="4"/>
  <c r="I1071" i="4"/>
  <c r="C1070" i="4"/>
  <c r="K1069" i="4"/>
  <c r="I1068" i="4"/>
  <c r="I1067" i="4"/>
  <c r="C1066" i="4"/>
  <c r="I1065" i="4"/>
  <c r="K1064" i="4"/>
  <c r="C1063" i="4"/>
  <c r="I1103" i="4"/>
  <c r="I1062" i="4"/>
  <c r="B1109" i="1"/>
  <c r="D1109" i="1"/>
  <c r="F1108" i="1"/>
  <c r="H1108" i="1"/>
  <c r="I1107" i="1"/>
  <c r="B1107" i="1"/>
  <c r="G1106" i="1"/>
  <c r="H1106" i="1"/>
  <c r="I1105" i="1"/>
  <c r="E1104" i="1"/>
  <c r="G1104" i="1"/>
  <c r="H1104" i="1"/>
  <c r="I1103" i="1"/>
  <c r="D1103" i="1"/>
  <c r="E1102" i="1"/>
  <c r="H1102" i="1"/>
  <c r="I1101" i="1"/>
  <c r="I1136" i="4"/>
  <c r="K1135" i="4"/>
  <c r="K1134" i="4"/>
  <c r="C1133" i="4"/>
  <c r="C1132" i="4"/>
  <c r="I1131" i="4"/>
  <c r="K1130" i="4"/>
  <c r="C1129" i="4"/>
  <c r="K1128" i="4"/>
  <c r="K1127" i="4"/>
  <c r="C1126" i="4"/>
  <c r="I1125" i="4"/>
  <c r="K1124" i="4"/>
  <c r="K1122" i="4"/>
  <c r="K1121" i="4"/>
  <c r="C1120" i="4"/>
  <c r="K1119" i="4"/>
  <c r="C1118" i="4"/>
  <c r="I1117" i="4"/>
  <c r="I1116" i="4"/>
  <c r="I1115" i="4"/>
  <c r="C1114" i="4"/>
  <c r="K1113" i="4"/>
  <c r="C1112" i="4"/>
  <c r="I1111" i="4"/>
  <c r="C1110" i="4"/>
  <c r="C1109" i="4"/>
  <c r="I1108" i="4"/>
  <c r="K1107" i="4"/>
  <c r="I1106" i="4"/>
  <c r="C1105" i="4"/>
  <c r="C1104" i="4"/>
  <c r="I1102" i="4"/>
  <c r="K1101" i="4"/>
  <c r="K1100" i="4"/>
  <c r="K1099" i="4"/>
  <c r="K1098" i="4"/>
  <c r="C1097" i="4"/>
  <c r="C1096" i="4"/>
  <c r="I1095" i="4"/>
  <c r="I1094" i="4"/>
  <c r="I1093" i="4"/>
  <c r="C1092" i="4"/>
  <c r="K1091" i="4"/>
  <c r="I1090" i="4"/>
  <c r="K1089" i="4"/>
  <c r="C1088" i="4"/>
  <c r="I1087" i="4"/>
  <c r="I1086" i="4"/>
  <c r="C1085" i="4"/>
  <c r="I1084" i="4"/>
  <c r="C1083" i="4"/>
  <c r="I1082" i="4"/>
  <c r="K1081" i="4"/>
  <c r="K1080" i="4"/>
  <c r="I1079" i="4"/>
  <c r="C1078" i="4"/>
  <c r="K1077" i="4"/>
  <c r="I1076" i="4"/>
  <c r="K1075" i="4"/>
  <c r="C1074" i="4"/>
  <c r="C1073" i="4"/>
  <c r="K1072" i="4"/>
  <c r="C1071" i="4"/>
  <c r="K1070" i="4"/>
  <c r="K1068" i="4"/>
  <c r="C1067" i="4"/>
  <c r="K1066" i="4"/>
  <c r="C1065" i="4"/>
  <c r="C1064" i="4"/>
  <c r="I1063" i="4"/>
  <c r="C1103" i="4"/>
  <c r="C1062" i="4"/>
  <c r="C1136" i="4"/>
  <c r="I1135" i="4"/>
  <c r="I1134" i="4"/>
  <c r="K1133" i="4"/>
  <c r="K1132" i="4"/>
  <c r="K1131" i="4"/>
  <c r="I1130" i="4"/>
  <c r="K1129" i="4"/>
  <c r="C1128" i="4"/>
  <c r="C1127" i="4"/>
  <c r="K1126" i="4"/>
  <c r="K1125" i="4"/>
  <c r="C1124" i="4"/>
  <c r="K1123" i="4"/>
  <c r="I1122" i="4"/>
  <c r="C1121" i="4"/>
  <c r="K1120" i="4"/>
  <c r="C1119" i="4"/>
  <c r="I1118" i="4"/>
  <c r="K1117" i="4"/>
  <c r="K1116" i="4"/>
  <c r="C1115" i="4"/>
  <c r="K1114" i="4"/>
  <c r="C1113" i="4"/>
  <c r="I1112" i="4"/>
  <c r="K1111" i="4"/>
  <c r="K1110" i="4"/>
  <c r="K1109" i="4"/>
  <c r="C1108" i="4"/>
  <c r="C1106" i="4"/>
  <c r="I1105" i="4"/>
  <c r="I1104" i="4"/>
  <c r="K1102" i="4"/>
  <c r="I1101" i="4"/>
  <c r="C1100" i="4"/>
  <c r="I1099" i="4"/>
  <c r="I1098" i="4"/>
  <c r="I1097" i="4"/>
  <c r="K1096" i="4"/>
  <c r="C1095" i="4"/>
  <c r="C1094" i="4"/>
  <c r="K1093" i="4"/>
  <c r="I1092" i="4"/>
  <c r="I1091" i="4"/>
  <c r="K1090" i="4"/>
  <c r="I1089" i="4"/>
  <c r="K1088" i="4"/>
  <c r="C1087" i="4"/>
  <c r="K1085" i="4"/>
  <c r="C1084" i="4"/>
  <c r="I1083" i="4"/>
  <c r="K1082" i="4"/>
  <c r="C1081" i="4"/>
  <c r="C1080" i="4"/>
  <c r="K1079" i="4"/>
  <c r="I1078" i="4"/>
  <c r="I1077" i="4"/>
  <c r="K1076" i="4"/>
  <c r="I1075" i="4"/>
  <c r="I1074" i="4"/>
  <c r="K1073" i="4"/>
  <c r="I1072" i="4"/>
  <c r="K1071" i="4"/>
  <c r="I1070" i="4"/>
  <c r="I1069" i="4"/>
  <c r="C1068" i="4"/>
  <c r="K1067" i="4"/>
  <c r="I1066" i="4"/>
  <c r="K1065" i="4"/>
  <c r="I1064" i="4"/>
  <c r="K1063" i="4"/>
  <c r="K1062" i="4"/>
  <c r="K1103" i="4"/>
  <c r="G1113" i="4"/>
  <c r="E1112" i="4"/>
  <c r="G1112" i="4"/>
  <c r="G1111" i="4"/>
  <c r="E1110" i="4"/>
  <c r="G1110" i="4"/>
  <c r="E1109" i="4"/>
  <c r="G1109" i="4"/>
  <c r="E1108" i="4"/>
  <c r="G1108" i="4"/>
  <c r="E1107" i="4"/>
  <c r="G1107" i="4"/>
  <c r="E1106" i="4"/>
  <c r="G1106" i="4"/>
  <c r="G1104" i="4"/>
  <c r="G1102" i="4"/>
  <c r="E1101" i="4"/>
  <c r="G1101" i="4"/>
  <c r="G1100" i="4"/>
  <c r="E1099" i="4"/>
  <c r="G1099" i="4"/>
  <c r="E1098" i="4"/>
  <c r="G1098" i="4"/>
  <c r="E1097" i="4"/>
  <c r="G1097" i="4"/>
  <c r="E1096" i="4"/>
  <c r="G1096" i="4"/>
  <c r="G1095" i="4"/>
  <c r="E1094" i="4"/>
  <c r="G1094" i="4"/>
  <c r="G1093" i="4"/>
  <c r="G1092" i="4"/>
  <c r="E1091" i="4"/>
  <c r="G1091" i="4"/>
  <c r="E1090" i="4"/>
  <c r="G1090" i="4"/>
  <c r="E1089" i="4"/>
  <c r="G1089" i="4"/>
  <c r="E1088" i="4"/>
  <c r="G1088" i="4"/>
  <c r="E1087" i="4"/>
  <c r="E1086" i="4"/>
  <c r="G1086" i="4"/>
  <c r="E1085" i="4"/>
  <c r="G1085" i="4"/>
  <c r="G1084" i="4"/>
  <c r="E1083" i="4"/>
  <c r="G1083" i="4"/>
  <c r="E1082" i="4"/>
  <c r="G1082" i="4"/>
  <c r="E1081" i="4"/>
  <c r="G1081" i="4"/>
  <c r="E1080" i="4"/>
  <c r="G1080" i="4"/>
  <c r="E1079" i="4"/>
  <c r="G1079" i="4"/>
  <c r="E1078" i="4"/>
  <c r="G1078" i="4"/>
  <c r="E1077" i="4"/>
  <c r="G1077" i="4"/>
  <c r="E1076" i="4"/>
  <c r="G1076" i="4"/>
  <c r="E1075" i="4"/>
  <c r="G1075" i="4"/>
  <c r="E1074" i="4"/>
  <c r="G1074" i="4"/>
  <c r="E1073" i="4"/>
  <c r="G1073" i="4"/>
  <c r="E1072" i="4"/>
  <c r="G1072" i="4"/>
  <c r="G1071" i="4"/>
  <c r="G1070" i="4"/>
  <c r="G1069" i="4"/>
  <c r="G1068" i="4"/>
  <c r="E1067" i="4"/>
  <c r="G1067" i="4"/>
  <c r="E1066" i="4"/>
  <c r="G1066" i="4"/>
  <c r="E1065" i="4"/>
  <c r="G1065" i="4"/>
  <c r="E1064" i="4"/>
  <c r="G1064" i="4"/>
  <c r="E1063" i="4"/>
  <c r="G1063" i="4"/>
  <c r="E1062" i="4"/>
  <c r="G1103" i="4"/>
  <c r="G1062" i="4"/>
  <c r="B1101" i="1"/>
  <c r="D1101" i="1"/>
  <c r="H1100" i="1"/>
  <c r="I1099" i="1"/>
  <c r="B1099" i="1"/>
  <c r="G1098" i="1"/>
  <c r="H1098" i="1"/>
  <c r="I1097" i="1"/>
  <c r="H1096" i="1"/>
  <c r="H1094" i="1"/>
  <c r="H1092" i="1"/>
  <c r="C1109" i="1"/>
  <c r="J1107" i="1"/>
  <c r="F1104" i="1"/>
  <c r="C1101" i="1"/>
  <c r="J1099" i="1"/>
  <c r="F1096" i="1"/>
  <c r="H1090" i="1"/>
  <c r="H1088" i="1"/>
  <c r="H1086" i="1"/>
  <c r="G1084" i="1"/>
  <c r="F1083" i="1"/>
  <c r="E1082" i="1"/>
  <c r="D1081" i="1"/>
  <c r="C1080" i="1"/>
  <c r="J1079" i="1"/>
  <c r="B1079" i="1"/>
  <c r="I1078" i="1"/>
  <c r="G1076" i="1"/>
  <c r="F1075" i="1"/>
  <c r="E1074" i="1"/>
  <c r="D1073" i="1"/>
  <c r="C1072" i="1"/>
  <c r="J1071" i="1"/>
  <c r="B1071" i="1"/>
  <c r="I1070" i="1"/>
  <c r="G1068" i="1"/>
  <c r="F1067" i="1"/>
  <c r="E1066" i="1"/>
  <c r="K1063" i="1"/>
  <c r="K1062" i="1"/>
  <c r="B1087" i="2"/>
  <c r="A1088" i="2"/>
  <c r="D1086" i="3"/>
  <c r="D1084" i="3"/>
  <c r="D1082" i="3"/>
  <c r="D1080" i="3"/>
  <c r="D1078" i="3"/>
  <c r="D1076" i="3"/>
  <c r="D1074" i="3"/>
  <c r="D1072" i="3"/>
  <c r="D1070" i="3"/>
  <c r="D1068" i="3"/>
  <c r="D1066" i="3"/>
  <c r="D1064" i="3"/>
  <c r="D1062" i="3"/>
  <c r="D1108" i="3"/>
  <c r="D1107" i="3"/>
  <c r="D1106" i="3"/>
  <c r="D1103" i="3"/>
  <c r="D1100" i="3"/>
  <c r="D1099" i="3"/>
  <c r="D1098" i="3"/>
  <c r="D1095" i="3"/>
  <c r="D1092" i="3"/>
  <c r="D1091" i="3"/>
  <c r="D1090" i="3"/>
  <c r="D1087" i="3"/>
  <c r="E1147" i="4"/>
  <c r="E1146" i="4"/>
  <c r="E1143" i="4"/>
  <c r="E1142" i="4"/>
  <c r="E1136" i="4"/>
  <c r="E1135" i="4"/>
  <c r="E1133" i="4"/>
  <c r="E1129" i="4"/>
  <c r="E1127" i="4"/>
  <c r="E1118" i="4"/>
  <c r="E1116" i="4"/>
  <c r="E1111" i="4"/>
  <c r="E1105" i="4"/>
  <c r="E1100" i="4"/>
  <c r="E1095" i="4"/>
  <c r="E1084" i="4"/>
  <c r="E1125" i="4"/>
  <c r="E1124" i="4"/>
  <c r="E1115" i="4"/>
  <c r="E1114" i="4"/>
  <c r="E1113" i="4"/>
  <c r="E1104" i="4"/>
  <c r="E1102" i="4"/>
  <c r="E1093" i="4"/>
  <c r="E1092" i="4"/>
  <c r="E1071" i="4"/>
  <c r="E1070" i="4"/>
  <c r="E1069" i="4"/>
  <c r="E1068" i="4"/>
  <c r="E1103" i="4"/>
  <c r="C1111" i="3" l="1"/>
  <c r="D1111" i="3"/>
  <c r="E1111" i="3"/>
  <c r="B1111" i="3"/>
  <c r="A1112" i="3"/>
  <c r="B1088" i="2"/>
  <c r="A1089" i="2"/>
  <c r="H1111" i="1"/>
  <c r="Q1111" i="1"/>
  <c r="E1111" i="1"/>
  <c r="O1111" i="1"/>
  <c r="G1111" i="1"/>
  <c r="F1111" i="1"/>
  <c r="P1111" i="1"/>
  <c r="A1112" i="1"/>
  <c r="D1111" i="1"/>
  <c r="C1111" i="1"/>
  <c r="I1111" i="1"/>
  <c r="J1111" i="1"/>
  <c r="M1111" i="1"/>
  <c r="N1111" i="1"/>
  <c r="B1111" i="1"/>
  <c r="L1111" i="1"/>
  <c r="H1112" i="1" l="1"/>
  <c r="Q1112" i="1"/>
  <c r="G1112" i="1"/>
  <c r="A1113" i="1"/>
  <c r="I1112" i="1"/>
  <c r="J1112" i="1"/>
  <c r="D1112" i="1"/>
  <c r="E1112" i="1"/>
  <c r="L1112" i="1"/>
  <c r="F1112" i="1"/>
  <c r="C1112" i="1"/>
  <c r="B1112" i="1"/>
  <c r="O1112" i="1"/>
  <c r="P1112" i="1"/>
  <c r="M1112" i="1"/>
  <c r="N1112" i="1"/>
  <c r="A1090" i="2"/>
  <c r="B1089" i="2"/>
  <c r="A1113" i="3"/>
  <c r="C1112" i="3"/>
  <c r="D1112" i="3"/>
  <c r="B1112" i="3"/>
  <c r="E1112" i="3"/>
  <c r="B1113" i="3" l="1"/>
  <c r="C1113" i="3"/>
  <c r="A1114" i="3"/>
  <c r="D1113" i="3"/>
  <c r="E1113" i="3"/>
  <c r="A1091" i="2"/>
  <c r="B1090" i="2"/>
  <c r="H1113" i="1"/>
  <c r="Q1113" i="1"/>
  <c r="J1113" i="1"/>
  <c r="C1113" i="1"/>
  <c r="B1113" i="1"/>
  <c r="L1113" i="1"/>
  <c r="M1113" i="1"/>
  <c r="D1113" i="1"/>
  <c r="A1114" i="1"/>
  <c r="F1113" i="1"/>
  <c r="G1113" i="1"/>
  <c r="I1113" i="1"/>
  <c r="E1113" i="1"/>
  <c r="N1113" i="1"/>
  <c r="O1113" i="1"/>
  <c r="P1113" i="1"/>
  <c r="B1091" i="2" l="1"/>
  <c r="A1092" i="2"/>
  <c r="H1114" i="1"/>
  <c r="Q1114" i="1"/>
  <c r="C1114" i="1"/>
  <c r="M1114" i="1"/>
  <c r="O1114" i="1"/>
  <c r="D1114" i="1"/>
  <c r="N1114" i="1"/>
  <c r="E1114" i="1"/>
  <c r="A1115" i="1"/>
  <c r="G1114" i="1"/>
  <c r="I1114" i="1"/>
  <c r="J1114" i="1"/>
  <c r="L1114" i="1"/>
  <c r="P1114" i="1"/>
  <c r="B1114" i="1"/>
  <c r="F1114" i="1"/>
  <c r="D1114" i="3"/>
  <c r="E1114" i="3"/>
  <c r="A1115" i="3"/>
  <c r="B1114" i="3"/>
  <c r="C1114" i="3"/>
  <c r="H1115" i="1" l="1"/>
  <c r="Q1115" i="1"/>
  <c r="E1115" i="1"/>
  <c r="O1115" i="1"/>
  <c r="A1116" i="1"/>
  <c r="F1115" i="1"/>
  <c r="P1115" i="1"/>
  <c r="M1115" i="1"/>
  <c r="G1115" i="1"/>
  <c r="I1115" i="1"/>
  <c r="J1115" i="1"/>
  <c r="B1115" i="1"/>
  <c r="C1115" i="1"/>
  <c r="L1115" i="1"/>
  <c r="D1115" i="1"/>
  <c r="N1115" i="1"/>
  <c r="B1092" i="2"/>
  <c r="A1093" i="2"/>
  <c r="D1115" i="3"/>
  <c r="E1115" i="3"/>
  <c r="A1116" i="3"/>
  <c r="B1115" i="3"/>
  <c r="C1115" i="3"/>
  <c r="B1116" i="3" l="1"/>
  <c r="C1116" i="3"/>
  <c r="D1116" i="3"/>
  <c r="E1116" i="3"/>
  <c r="A1117" i="3"/>
  <c r="H1116" i="1"/>
  <c r="Q1116" i="1"/>
  <c r="G1116" i="1"/>
  <c r="A1117" i="1"/>
  <c r="I1116" i="1"/>
  <c r="L1116" i="1"/>
  <c r="E1116" i="1"/>
  <c r="F1116" i="1"/>
  <c r="J1116" i="1"/>
  <c r="M1116" i="1"/>
  <c r="N1116" i="1"/>
  <c r="O1116" i="1"/>
  <c r="P1116" i="1"/>
  <c r="C1116" i="1"/>
  <c r="D1116" i="1"/>
  <c r="B1116" i="1"/>
  <c r="A1094" i="2"/>
  <c r="B1093" i="2"/>
  <c r="B1094" i="2" l="1"/>
  <c r="A1095" i="2"/>
  <c r="E1117" i="3"/>
  <c r="A1118" i="3"/>
  <c r="B1117" i="3"/>
  <c r="C1117" i="3"/>
  <c r="D1117" i="3"/>
  <c r="H1117" i="1"/>
  <c r="Q1117" i="1"/>
  <c r="J1117" i="1"/>
  <c r="B1117" i="1"/>
  <c r="L1117" i="1"/>
  <c r="F1117" i="1"/>
  <c r="D1117" i="1"/>
  <c r="A1118" i="1"/>
  <c r="G1117" i="1"/>
  <c r="E1117" i="1"/>
  <c r="O1117" i="1"/>
  <c r="P1117" i="1"/>
  <c r="M1117" i="1"/>
  <c r="N1117" i="1"/>
  <c r="I1117" i="1"/>
  <c r="C1117" i="1"/>
  <c r="H1118" i="1" l="1"/>
  <c r="Q1118" i="1"/>
  <c r="C1118" i="1"/>
  <c r="M1118" i="1"/>
  <c r="D1118" i="1"/>
  <c r="N1118" i="1"/>
  <c r="B1118" i="1"/>
  <c r="P1118" i="1"/>
  <c r="A1119" i="1"/>
  <c r="E1118" i="1"/>
  <c r="F1118" i="1"/>
  <c r="I1118" i="1"/>
  <c r="G1118" i="1"/>
  <c r="O1118" i="1"/>
  <c r="J1118" i="1"/>
  <c r="L1118" i="1"/>
  <c r="B1095" i="2"/>
  <c r="A1096" i="2"/>
  <c r="B1118" i="3"/>
  <c r="E1118" i="3"/>
  <c r="A1119" i="3"/>
  <c r="D1118" i="3"/>
  <c r="C1118" i="3"/>
  <c r="C1119" i="3" l="1"/>
  <c r="D1119" i="3"/>
  <c r="E1119" i="3"/>
  <c r="A1120" i="3"/>
  <c r="B1119" i="3"/>
  <c r="B1096" i="2"/>
  <c r="A1097" i="2"/>
  <c r="H1119" i="1"/>
  <c r="Q1119" i="1"/>
  <c r="E1119" i="1"/>
  <c r="O1119" i="1"/>
  <c r="F1119" i="1"/>
  <c r="P1119" i="1"/>
  <c r="L1119" i="1"/>
  <c r="N1119" i="1"/>
  <c r="B1119" i="1"/>
  <c r="A1120" i="1"/>
  <c r="C1119" i="1"/>
  <c r="G1119" i="1"/>
  <c r="I1119" i="1"/>
  <c r="J1119" i="1"/>
  <c r="M1119" i="1"/>
  <c r="D1119" i="1"/>
  <c r="A1098" i="2" l="1"/>
  <c r="B1097" i="2"/>
  <c r="A1121" i="3"/>
  <c r="C1120" i="3"/>
  <c r="B1120" i="3"/>
  <c r="D1120" i="3"/>
  <c r="E1120" i="3"/>
  <c r="H1120" i="1"/>
  <c r="Q1120" i="1"/>
  <c r="G1120" i="1"/>
  <c r="A1121" i="1"/>
  <c r="I1120" i="1"/>
  <c r="F1120" i="1"/>
  <c r="M1120" i="1"/>
  <c r="B1120" i="1"/>
  <c r="N1120" i="1"/>
  <c r="O1120" i="1"/>
  <c r="L1120" i="1"/>
  <c r="P1120" i="1"/>
  <c r="E1120" i="1"/>
  <c r="J1120" i="1"/>
  <c r="C1120" i="1"/>
  <c r="D1120" i="1"/>
  <c r="H1121" i="1" l="1"/>
  <c r="Q1121" i="1"/>
  <c r="J1121" i="1"/>
  <c r="B1121" i="1"/>
  <c r="L1121" i="1"/>
  <c r="D1121" i="1"/>
  <c r="P1121" i="1"/>
  <c r="I1121" i="1"/>
  <c r="M1121" i="1"/>
  <c r="N1121" i="1"/>
  <c r="E1121" i="1"/>
  <c r="C1121" i="1"/>
  <c r="O1121" i="1"/>
  <c r="A1122" i="1"/>
  <c r="F1121" i="1"/>
  <c r="G1121" i="1"/>
  <c r="B1121" i="3"/>
  <c r="C1121" i="3"/>
  <c r="A1122" i="3"/>
  <c r="D1121" i="3"/>
  <c r="E1121" i="3"/>
  <c r="A1099" i="2"/>
  <c r="B1098" i="2"/>
  <c r="H1122" i="1" l="1"/>
  <c r="Q1122" i="1"/>
  <c r="C1122" i="1"/>
  <c r="M1122" i="1"/>
  <c r="D1122" i="1"/>
  <c r="N1122" i="1"/>
  <c r="L1122" i="1"/>
  <c r="G1122" i="1"/>
  <c r="J1122" i="1"/>
  <c r="I1122" i="1"/>
  <c r="B1122" i="1"/>
  <c r="E1122" i="1"/>
  <c r="F1122" i="1"/>
  <c r="O1122" i="1"/>
  <c r="A1123" i="1"/>
  <c r="P1122" i="1"/>
  <c r="D1122" i="3"/>
  <c r="E1122" i="3"/>
  <c r="A1123" i="3"/>
  <c r="B1122" i="3"/>
  <c r="C1122" i="3"/>
  <c r="B1099" i="2"/>
  <c r="A1100" i="2"/>
  <c r="B1100" i="2" l="1"/>
  <c r="A1101" i="2"/>
  <c r="H1123" i="1"/>
  <c r="Q1123" i="1"/>
  <c r="E1123" i="1"/>
  <c r="O1123" i="1"/>
  <c r="F1123" i="1"/>
  <c r="P1123" i="1"/>
  <c r="I1123" i="1"/>
  <c r="D1123" i="1"/>
  <c r="G1123" i="1"/>
  <c r="J1123" i="1"/>
  <c r="L1123" i="1"/>
  <c r="M1123" i="1"/>
  <c r="A1124" i="1"/>
  <c r="N1123" i="1"/>
  <c r="B1123" i="1"/>
  <c r="C1123" i="1"/>
  <c r="D1123" i="3"/>
  <c r="B1123" i="3"/>
  <c r="C1123" i="3"/>
  <c r="E1123" i="3"/>
  <c r="A1124" i="3"/>
  <c r="B1124" i="3" l="1"/>
  <c r="C1124" i="3"/>
  <c r="D1124" i="3"/>
  <c r="A1125" i="3"/>
  <c r="E1124" i="3"/>
  <c r="H1124" i="1"/>
  <c r="Q1124" i="1"/>
  <c r="G1124" i="1"/>
  <c r="A1125" i="1"/>
  <c r="I1124" i="1"/>
  <c r="D1124" i="1"/>
  <c r="P1124" i="1"/>
  <c r="C1124" i="1"/>
  <c r="E1124" i="1"/>
  <c r="F1124" i="1"/>
  <c r="N1124" i="1"/>
  <c r="O1124" i="1"/>
  <c r="L1124" i="1"/>
  <c r="M1124" i="1"/>
  <c r="B1124" i="1"/>
  <c r="J1124" i="1"/>
  <c r="A1102" i="2"/>
  <c r="B1101" i="2"/>
  <c r="E1125" i="3" l="1"/>
  <c r="A1126" i="3"/>
  <c r="B1125" i="3"/>
  <c r="C1125" i="3"/>
  <c r="D1125" i="3"/>
  <c r="B1102" i="2"/>
  <c r="A1103" i="2"/>
  <c r="H1125" i="1"/>
  <c r="Q1125" i="1"/>
  <c r="J1125" i="1"/>
  <c r="B1125" i="1"/>
  <c r="L1125" i="1"/>
  <c r="N1125" i="1"/>
  <c r="C1125" i="1"/>
  <c r="P1125" i="1"/>
  <c r="E1125" i="1"/>
  <c r="D1125" i="1"/>
  <c r="A1126" i="1"/>
  <c r="F1125" i="1"/>
  <c r="G1125" i="1"/>
  <c r="O1125" i="1"/>
  <c r="I1125" i="1"/>
  <c r="M1125" i="1"/>
  <c r="B1103" i="2" l="1"/>
  <c r="A1104" i="2"/>
  <c r="H1126" i="1"/>
  <c r="Q1126" i="1"/>
  <c r="C1126" i="1"/>
  <c r="M1126" i="1"/>
  <c r="D1126" i="1"/>
  <c r="N1126" i="1"/>
  <c r="I1126" i="1"/>
  <c r="O1126" i="1"/>
  <c r="P1126" i="1"/>
  <c r="A1127" i="1"/>
  <c r="B1126" i="1"/>
  <c r="F1126" i="1"/>
  <c r="G1126" i="1"/>
  <c r="L1126" i="1"/>
  <c r="J1126" i="1"/>
  <c r="E1126" i="1"/>
  <c r="B1126" i="3"/>
  <c r="E1126" i="3"/>
  <c r="C1126" i="3"/>
  <c r="D1126" i="3"/>
  <c r="A1127" i="3"/>
  <c r="B1104" i="2" l="1"/>
  <c r="A1105" i="2"/>
  <c r="C1127" i="3"/>
  <c r="D1127" i="3"/>
  <c r="E1127" i="3"/>
  <c r="B1127" i="3"/>
  <c r="A1128" i="3"/>
  <c r="H1127" i="1"/>
  <c r="Q1127" i="1"/>
  <c r="E1127" i="1"/>
  <c r="O1127" i="1"/>
  <c r="F1127" i="1"/>
  <c r="P1127" i="1"/>
  <c r="D1127" i="1"/>
  <c r="L1127" i="1"/>
  <c r="N1127" i="1"/>
  <c r="M1127" i="1"/>
  <c r="J1127" i="1"/>
  <c r="A1128" i="1"/>
  <c r="G1127" i="1"/>
  <c r="I1127" i="1"/>
  <c r="C1127" i="1"/>
  <c r="B1127" i="1"/>
  <c r="A1129" i="3" l="1"/>
  <c r="C1128" i="3"/>
  <c r="D1128" i="3"/>
  <c r="E1128" i="3"/>
  <c r="B1128" i="3"/>
  <c r="H1128" i="1"/>
  <c r="Q1128" i="1"/>
  <c r="G1128" i="1"/>
  <c r="A1129" i="1"/>
  <c r="I1128" i="1"/>
  <c r="B1128" i="1"/>
  <c r="N1128" i="1"/>
  <c r="J1128" i="1"/>
  <c r="L1128" i="1"/>
  <c r="M1128" i="1"/>
  <c r="C1128" i="1"/>
  <c r="D1128" i="1"/>
  <c r="O1128" i="1"/>
  <c r="P1128" i="1"/>
  <c r="F1128" i="1"/>
  <c r="E1128" i="1"/>
  <c r="A1106" i="2"/>
  <c r="B1105" i="2"/>
  <c r="A1107" i="2" l="1"/>
  <c r="B1106" i="2"/>
  <c r="H1129" i="1"/>
  <c r="Q1129" i="1"/>
  <c r="J1129" i="1"/>
  <c r="B1129" i="1"/>
  <c r="L1129" i="1"/>
  <c r="I1129" i="1"/>
  <c r="F1129" i="1"/>
  <c r="G1129" i="1"/>
  <c r="M1129" i="1"/>
  <c r="C1129" i="1"/>
  <c r="D1129" i="1"/>
  <c r="N1129" i="1"/>
  <c r="E1129" i="1"/>
  <c r="A1130" i="1"/>
  <c r="O1129" i="1"/>
  <c r="P1129" i="1"/>
  <c r="B1129" i="3"/>
  <c r="C1129" i="3"/>
  <c r="A1130" i="3"/>
  <c r="D1129" i="3"/>
  <c r="E1129" i="3"/>
  <c r="H1130" i="1" l="1"/>
  <c r="Q1130" i="1"/>
  <c r="C1130" i="1"/>
  <c r="M1130" i="1"/>
  <c r="D1130" i="1"/>
  <c r="N1130" i="1"/>
  <c r="E1130" i="1"/>
  <c r="A1131" i="1"/>
  <c r="G1130" i="1"/>
  <c r="F1130" i="1"/>
  <c r="I1130" i="1"/>
  <c r="J1130" i="1"/>
  <c r="L1130" i="1"/>
  <c r="O1130" i="1"/>
  <c r="B1130" i="1"/>
  <c r="P1130" i="1"/>
  <c r="D1130" i="3"/>
  <c r="E1130" i="3"/>
  <c r="A1131" i="3"/>
  <c r="B1130" i="3"/>
  <c r="C1130" i="3"/>
  <c r="B1107" i="2"/>
  <c r="A1108" i="2"/>
  <c r="H1131" i="1" l="1"/>
  <c r="Q1131" i="1"/>
  <c r="E1131" i="1"/>
  <c r="O1131" i="1"/>
  <c r="F1131" i="1"/>
  <c r="P1131" i="1"/>
  <c r="M1131" i="1"/>
  <c r="B1131" i="1"/>
  <c r="N1131" i="1"/>
  <c r="C1131" i="1"/>
  <c r="A1132" i="1"/>
  <c r="J1131" i="1"/>
  <c r="L1131" i="1"/>
  <c r="G1131" i="1"/>
  <c r="I1131" i="1"/>
  <c r="D1131" i="1"/>
  <c r="B1108" i="2"/>
  <c r="A1109" i="2"/>
  <c r="D1131" i="3"/>
  <c r="E1131" i="3"/>
  <c r="C1131" i="3"/>
  <c r="A1132" i="3"/>
  <c r="B1131" i="3"/>
  <c r="H1132" i="1" l="1"/>
  <c r="Q1132" i="1"/>
  <c r="G1132" i="1"/>
  <c r="A1133" i="1"/>
  <c r="I1132" i="1"/>
  <c r="J1132" i="1"/>
  <c r="M1132" i="1"/>
  <c r="L1132" i="1"/>
  <c r="O1132" i="1"/>
  <c r="P1132" i="1"/>
  <c r="C1132" i="1"/>
  <c r="B1132" i="1"/>
  <c r="F1132" i="1"/>
  <c r="N1132" i="1"/>
  <c r="D1132" i="1"/>
  <c r="E1132" i="1"/>
  <c r="A1110" i="2"/>
  <c r="B1109" i="2"/>
  <c r="B1132" i="3"/>
  <c r="C1132" i="3"/>
  <c r="D1132" i="3"/>
  <c r="E1132" i="3"/>
  <c r="A1133" i="3"/>
  <c r="E1133" i="3" l="1"/>
  <c r="A1134" i="3"/>
  <c r="B1133" i="3"/>
  <c r="C1133" i="3"/>
  <c r="D1133" i="3"/>
  <c r="H1133" i="1"/>
  <c r="Q1133" i="1"/>
  <c r="J1133" i="1"/>
  <c r="B1133" i="1"/>
  <c r="L1133" i="1"/>
  <c r="E1133" i="1"/>
  <c r="A1134" i="1"/>
  <c r="F1133" i="1"/>
  <c r="G1133" i="1"/>
  <c r="P1133" i="1"/>
  <c r="C1133" i="1"/>
  <c r="D1133" i="1"/>
  <c r="N1133" i="1"/>
  <c r="O1133" i="1"/>
  <c r="M1133" i="1"/>
  <c r="I1133" i="1"/>
  <c r="D1110" i="2"/>
  <c r="E1110" i="2"/>
  <c r="F1110" i="2"/>
  <c r="I1110" i="2"/>
  <c r="A1111" i="2"/>
  <c r="H1110" i="2"/>
  <c r="G1110" i="2"/>
  <c r="J1110" i="2"/>
  <c r="C1110" i="2"/>
  <c r="B1110" i="2"/>
  <c r="B1111" i="2" l="1"/>
  <c r="J1111" i="2"/>
  <c r="C1111" i="2"/>
  <c r="A1112" i="2"/>
  <c r="D1111" i="2"/>
  <c r="G1111" i="2"/>
  <c r="E1111" i="2"/>
  <c r="F1111" i="2"/>
  <c r="H1111" i="2"/>
  <c r="I1111" i="2"/>
  <c r="B1134" i="3"/>
  <c r="E1134" i="3"/>
  <c r="A1135" i="3"/>
  <c r="C1134" i="3"/>
  <c r="D1134" i="3"/>
  <c r="H1134" i="1"/>
  <c r="Q1134" i="1"/>
  <c r="C1134" i="1"/>
  <c r="M1134" i="1"/>
  <c r="D1134" i="1"/>
  <c r="N1134" i="1"/>
  <c r="O1134" i="1"/>
  <c r="E1134" i="1"/>
  <c r="B1134" i="1"/>
  <c r="P1134" i="1"/>
  <c r="A1135" i="1"/>
  <c r="F1134" i="1"/>
  <c r="I1134" i="1"/>
  <c r="G1134" i="1"/>
  <c r="J1134" i="1"/>
  <c r="L1134" i="1"/>
  <c r="H1135" i="1" l="1"/>
  <c r="Q1135" i="1"/>
  <c r="E1135" i="1"/>
  <c r="O1135" i="1"/>
  <c r="F1135" i="1"/>
  <c r="P1135" i="1"/>
  <c r="J1135" i="1"/>
  <c r="L1135" i="1"/>
  <c r="M1135" i="1"/>
  <c r="D1135" i="1"/>
  <c r="G1135" i="1"/>
  <c r="I1135" i="1"/>
  <c r="N1135" i="1"/>
  <c r="B1135" i="1"/>
  <c r="C1135" i="1"/>
  <c r="A1136" i="1"/>
  <c r="C1135" i="3"/>
  <c r="D1135" i="3"/>
  <c r="E1135" i="3"/>
  <c r="A1136" i="3"/>
  <c r="B1135" i="3"/>
  <c r="H1112" i="2"/>
  <c r="I1112" i="2"/>
  <c r="B1112" i="2"/>
  <c r="J1112" i="2"/>
  <c r="E1112" i="2"/>
  <c r="G1112" i="2"/>
  <c r="A1113" i="2"/>
  <c r="D1112" i="2"/>
  <c r="C1112" i="2"/>
  <c r="F1112" i="2"/>
  <c r="F1113" i="2" l="1"/>
  <c r="G1113" i="2"/>
  <c r="H1113" i="2"/>
  <c r="C1113" i="2"/>
  <c r="A1114" i="2"/>
  <c r="B1113" i="2"/>
  <c r="J1113" i="2"/>
  <c r="I1113" i="2"/>
  <c r="D1113" i="2"/>
  <c r="E1113" i="2"/>
  <c r="H1136" i="1"/>
  <c r="Q1136" i="1"/>
  <c r="G1136" i="1"/>
  <c r="A1137" i="1"/>
  <c r="I1136" i="1"/>
  <c r="E1136" i="1"/>
  <c r="J1136" i="1"/>
  <c r="F1136" i="1"/>
  <c r="L1136" i="1"/>
  <c r="M1136" i="1"/>
  <c r="O1136" i="1"/>
  <c r="N1136" i="1"/>
  <c r="C1136" i="1"/>
  <c r="D1136" i="1"/>
  <c r="P1136" i="1"/>
  <c r="B1136" i="1"/>
  <c r="A1137" i="3"/>
  <c r="C1136" i="3"/>
  <c r="B1136" i="3"/>
  <c r="D1136" i="3"/>
  <c r="E1136" i="3"/>
  <c r="B1137" i="3" l="1"/>
  <c r="C1137" i="3"/>
  <c r="A1138" i="3"/>
  <c r="E1137" i="3"/>
  <c r="D1137" i="3"/>
  <c r="D1114" i="2"/>
  <c r="E1114" i="2"/>
  <c r="I1114" i="2"/>
  <c r="C1114" i="2"/>
  <c r="F1114" i="2"/>
  <c r="G1114" i="2"/>
  <c r="H1114" i="2"/>
  <c r="J1114" i="2"/>
  <c r="A1115" i="2"/>
  <c r="B1114" i="2"/>
  <c r="H1137" i="1"/>
  <c r="Q1137" i="1"/>
  <c r="J1137" i="1"/>
  <c r="B1137" i="1"/>
  <c r="L1137" i="1"/>
  <c r="C1137" i="1"/>
  <c r="O1137" i="1"/>
  <c r="D1137" i="1"/>
  <c r="P1137" i="1"/>
  <c r="A1138" i="1"/>
  <c r="E1137" i="1"/>
  <c r="M1137" i="1"/>
  <c r="N1137" i="1"/>
  <c r="G1137" i="1"/>
  <c r="I1137" i="1"/>
  <c r="F1137" i="1"/>
  <c r="D1138" i="3" l="1"/>
  <c r="E1138" i="3"/>
  <c r="A1139" i="3"/>
  <c r="B1138" i="3"/>
  <c r="C1138" i="3"/>
  <c r="D1115" i="2"/>
  <c r="E1115" i="2"/>
  <c r="F1115" i="2"/>
  <c r="B1115" i="2"/>
  <c r="J1115" i="2"/>
  <c r="I1115" i="2"/>
  <c r="A1116" i="2"/>
  <c r="C1115" i="2"/>
  <c r="G1115" i="2"/>
  <c r="H1115" i="2"/>
  <c r="H1138" i="1"/>
  <c r="Q1138" i="1"/>
  <c r="C1138" i="1"/>
  <c r="M1138" i="1"/>
  <c r="D1138" i="1"/>
  <c r="N1138" i="1"/>
  <c r="J1138" i="1"/>
  <c r="O1138" i="1"/>
  <c r="L1138" i="1"/>
  <c r="A1139" i="1"/>
  <c r="B1138" i="1"/>
  <c r="E1138" i="1"/>
  <c r="I1138" i="1"/>
  <c r="P1138" i="1"/>
  <c r="G1138" i="1"/>
  <c r="F1138" i="1"/>
  <c r="B1116" i="2" l="1"/>
  <c r="J1116" i="2"/>
  <c r="C1116" i="2"/>
  <c r="A1117" i="2"/>
  <c r="D1116" i="2"/>
  <c r="H1116" i="2"/>
  <c r="E1116" i="2"/>
  <c r="F1116" i="2"/>
  <c r="G1116" i="2"/>
  <c r="I1116" i="2"/>
  <c r="D1139" i="3"/>
  <c r="B1139" i="3"/>
  <c r="C1139" i="3"/>
  <c r="E1139" i="3"/>
  <c r="A1140" i="3"/>
  <c r="H1139" i="1"/>
  <c r="Q1139" i="1"/>
  <c r="E1139" i="1"/>
  <c r="O1139" i="1"/>
  <c r="F1139" i="1"/>
  <c r="P1139" i="1"/>
  <c r="G1139" i="1"/>
  <c r="I1139" i="1"/>
  <c r="J1139" i="1"/>
  <c r="B1139" i="1"/>
  <c r="D1139" i="1"/>
  <c r="C1139" i="1"/>
  <c r="N1139" i="1"/>
  <c r="A1140" i="1"/>
  <c r="L1139" i="1"/>
  <c r="M1139" i="1"/>
  <c r="B1140" i="3" l="1"/>
  <c r="C1140" i="3"/>
  <c r="D1140" i="3"/>
  <c r="A1141" i="3"/>
  <c r="E1140" i="3"/>
  <c r="H1117" i="2"/>
  <c r="I1117" i="2"/>
  <c r="B1117" i="2"/>
  <c r="J1117" i="2"/>
  <c r="F1117" i="2"/>
  <c r="A1118" i="2"/>
  <c r="E1117" i="2"/>
  <c r="C1117" i="2"/>
  <c r="D1117" i="2"/>
  <c r="G1117" i="2"/>
  <c r="H1140" i="1"/>
  <c r="Q1140" i="1"/>
  <c r="G1140" i="1"/>
  <c r="A1141" i="1"/>
  <c r="I1140" i="1"/>
  <c r="C1140" i="1"/>
  <c r="O1140" i="1"/>
  <c r="D1140" i="1"/>
  <c r="P1140" i="1"/>
  <c r="E1140" i="1"/>
  <c r="B1140" i="1"/>
  <c r="F1140" i="1"/>
  <c r="J1140" i="1"/>
  <c r="L1140" i="1"/>
  <c r="M1140" i="1"/>
  <c r="N1140" i="1"/>
  <c r="H1141" i="1" l="1"/>
  <c r="Q1141" i="1"/>
  <c r="J1141" i="1"/>
  <c r="B1141" i="1"/>
  <c r="L1141" i="1"/>
  <c r="M1141" i="1"/>
  <c r="C1141" i="1"/>
  <c r="N1141" i="1"/>
  <c r="O1141" i="1"/>
  <c r="F1141" i="1"/>
  <c r="G1141" i="1"/>
  <c r="P1141" i="1"/>
  <c r="I1141" i="1"/>
  <c r="D1141" i="1"/>
  <c r="E1141" i="1"/>
  <c r="A1142" i="1"/>
  <c r="F1118" i="2"/>
  <c r="G1118" i="2"/>
  <c r="H1118" i="2"/>
  <c r="D1118" i="2"/>
  <c r="B1118" i="2"/>
  <c r="C1118" i="2"/>
  <c r="A1119" i="2"/>
  <c r="J1118" i="2"/>
  <c r="I1118" i="2"/>
  <c r="E1118" i="2"/>
  <c r="E1141" i="3"/>
  <c r="A1142" i="3"/>
  <c r="B1141" i="3"/>
  <c r="C1141" i="3"/>
  <c r="D1141" i="3"/>
  <c r="H1142" i="1" l="1"/>
  <c r="Q1142" i="1"/>
  <c r="C1142" i="1"/>
  <c r="M1142" i="1"/>
  <c r="D1142" i="1"/>
  <c r="N1142" i="1"/>
  <c r="G1142" i="1"/>
  <c r="I1142" i="1"/>
  <c r="J1142" i="1"/>
  <c r="L1142" i="1"/>
  <c r="O1142" i="1"/>
  <c r="A1143" i="1"/>
  <c r="P1142" i="1"/>
  <c r="E1142" i="1"/>
  <c r="F1142" i="1"/>
  <c r="B1142" i="1"/>
  <c r="D1119" i="2"/>
  <c r="E1119" i="2"/>
  <c r="F1119" i="2"/>
  <c r="B1119" i="2"/>
  <c r="J1119" i="2"/>
  <c r="G1119" i="2"/>
  <c r="H1119" i="2"/>
  <c r="I1119" i="2"/>
  <c r="C1119" i="2"/>
  <c r="A1120" i="2"/>
  <c r="B1142" i="3"/>
  <c r="E1142" i="3"/>
  <c r="C1142" i="3"/>
  <c r="D1142" i="3"/>
  <c r="A1143" i="3"/>
  <c r="C1143" i="3" l="1"/>
  <c r="D1143" i="3"/>
  <c r="E1143" i="3"/>
  <c r="B1143" i="3"/>
  <c r="A1144" i="3"/>
  <c r="H1143" i="1"/>
  <c r="Q1143" i="1"/>
  <c r="E1143" i="1"/>
  <c r="O1143" i="1"/>
  <c r="F1143" i="1"/>
  <c r="P1143" i="1"/>
  <c r="C1143" i="1"/>
  <c r="A1144" i="1"/>
  <c r="D1143" i="1"/>
  <c r="G1143" i="1"/>
  <c r="M1143" i="1"/>
  <c r="N1143" i="1"/>
  <c r="J1143" i="1"/>
  <c r="L1143" i="1"/>
  <c r="I1143" i="1"/>
  <c r="B1143" i="1"/>
  <c r="B1120" i="2"/>
  <c r="J1120" i="2"/>
  <c r="C1120" i="2"/>
  <c r="A1121" i="2"/>
  <c r="D1120" i="2"/>
  <c r="H1120" i="2"/>
  <c r="G1120" i="2"/>
  <c r="E1120" i="2"/>
  <c r="F1120" i="2"/>
  <c r="I1120" i="2"/>
  <c r="A1145" i="3" l="1"/>
  <c r="C1144" i="3"/>
  <c r="D1144" i="3"/>
  <c r="B1144" i="3"/>
  <c r="E1144" i="3"/>
  <c r="H1144" i="1"/>
  <c r="Q1144" i="1"/>
  <c r="G1144" i="1"/>
  <c r="A1145" i="1"/>
  <c r="I1144" i="1"/>
  <c r="M1144" i="1"/>
  <c r="N1144" i="1"/>
  <c r="O1144" i="1"/>
  <c r="B1144" i="1"/>
  <c r="C1144" i="1"/>
  <c r="D1144" i="1"/>
  <c r="E1144" i="1"/>
  <c r="L1144" i="1"/>
  <c r="P1144" i="1"/>
  <c r="F1144" i="1"/>
  <c r="J1144" i="1"/>
  <c r="H1121" i="2"/>
  <c r="I1121" i="2"/>
  <c r="B1121" i="2"/>
  <c r="J1121" i="2"/>
  <c r="F1121" i="2"/>
  <c r="C1121" i="2"/>
  <c r="D1121" i="2"/>
  <c r="E1121" i="2"/>
  <c r="G1121" i="2"/>
  <c r="A1122" i="2"/>
  <c r="F1122" i="2" l="1"/>
  <c r="G1122" i="2"/>
  <c r="H1122" i="2"/>
  <c r="D1122" i="2"/>
  <c r="I1122" i="2"/>
  <c r="J1122" i="2"/>
  <c r="A1123" i="2"/>
  <c r="C1122" i="2"/>
  <c r="E1122" i="2"/>
  <c r="B1122" i="2"/>
  <c r="I1145" i="1"/>
  <c r="A1146" i="1"/>
  <c r="B1145" i="1"/>
  <c r="J1145" i="1"/>
  <c r="G1145" i="1"/>
  <c r="H1145" i="1"/>
  <c r="L1145" i="1"/>
  <c r="C1145" i="1"/>
  <c r="Q1145" i="1"/>
  <c r="D1145" i="1"/>
  <c r="F1145" i="1"/>
  <c r="E1145" i="1"/>
  <c r="O1145" i="1"/>
  <c r="P1145" i="1"/>
  <c r="N1145" i="1"/>
  <c r="M1145" i="1"/>
  <c r="B1145" i="3"/>
  <c r="C1145" i="3"/>
  <c r="A1146" i="3"/>
  <c r="D1145" i="3"/>
  <c r="E1145" i="3"/>
  <c r="D1123" i="2" l="1"/>
  <c r="E1123" i="2"/>
  <c r="F1123" i="2"/>
  <c r="B1123" i="2"/>
  <c r="J1123" i="2"/>
  <c r="I1123" i="2"/>
  <c r="G1123" i="2"/>
  <c r="H1123" i="2"/>
  <c r="A1124" i="2"/>
  <c r="C1123" i="2"/>
  <c r="D1146" i="3"/>
  <c r="E1146" i="3"/>
  <c r="A1147" i="3"/>
  <c r="B1146" i="3"/>
  <c r="C1146" i="3"/>
  <c r="I1146" i="1"/>
  <c r="A1147" i="1"/>
  <c r="B1146" i="1"/>
  <c r="J1146" i="1"/>
  <c r="C1146" i="1"/>
  <c r="N1146" i="1"/>
  <c r="D1146" i="1"/>
  <c r="O1146" i="1"/>
  <c r="P1146" i="1"/>
  <c r="E1146" i="1"/>
  <c r="F1146" i="1"/>
  <c r="G1146" i="1"/>
  <c r="H1146" i="1"/>
  <c r="Q1146" i="1"/>
  <c r="M1146" i="1"/>
  <c r="L1146" i="1"/>
  <c r="D1147" i="3" l="1"/>
  <c r="E1147" i="3"/>
  <c r="B1147" i="3"/>
  <c r="C1147" i="3"/>
  <c r="A1148" i="3"/>
  <c r="I1147" i="1"/>
  <c r="A1148" i="1"/>
  <c r="B1147" i="1"/>
  <c r="J1147" i="1"/>
  <c r="G1147" i="1"/>
  <c r="H1147" i="1"/>
  <c r="L1147" i="1"/>
  <c r="D1147" i="1"/>
  <c r="E1147" i="1"/>
  <c r="M1147" i="1"/>
  <c r="F1147" i="1"/>
  <c r="P1147" i="1"/>
  <c r="C1147" i="1"/>
  <c r="Q1147" i="1"/>
  <c r="O1147" i="1"/>
  <c r="N1147" i="1"/>
  <c r="B1124" i="2"/>
  <c r="J1124" i="2"/>
  <c r="C1124" i="2"/>
  <c r="A1125" i="2"/>
  <c r="D1124" i="2"/>
  <c r="H1124" i="2"/>
  <c r="E1124" i="2"/>
  <c r="F1124" i="2"/>
  <c r="G1124" i="2"/>
  <c r="I1124" i="2"/>
  <c r="I1148" i="1" l="1"/>
  <c r="B1148" i="1"/>
  <c r="J1148" i="1"/>
  <c r="C1148" i="1"/>
  <c r="N1148" i="1"/>
  <c r="D1148" i="1"/>
  <c r="E1148" i="1"/>
  <c r="O1148" i="1"/>
  <c r="P1148" i="1"/>
  <c r="F1148" i="1"/>
  <c r="G1148" i="1"/>
  <c r="H1148" i="1"/>
  <c r="L1148" i="1"/>
  <c r="M1148" i="1"/>
  <c r="Q1148" i="1"/>
  <c r="B1148" i="3"/>
  <c r="C1148" i="3"/>
  <c r="D1148" i="3"/>
  <c r="E1148" i="3"/>
  <c r="H1125" i="2"/>
  <c r="I1125" i="2"/>
  <c r="B1125" i="2"/>
  <c r="J1125" i="2"/>
  <c r="F1125" i="2"/>
  <c r="A1126" i="2"/>
  <c r="E1125" i="2"/>
  <c r="G1125" i="2"/>
  <c r="D1125" i="2"/>
  <c r="C1125" i="2"/>
  <c r="F1126" i="2" l="1"/>
  <c r="G1126" i="2"/>
  <c r="H1126" i="2"/>
  <c r="D1126" i="2"/>
  <c r="B1126" i="2"/>
  <c r="C1126" i="2"/>
  <c r="A1127" i="2"/>
  <c r="I1126" i="2"/>
  <c r="J1126" i="2"/>
  <c r="E1126" i="2"/>
  <c r="D1127" i="2" l="1"/>
  <c r="E1127" i="2"/>
  <c r="F1127" i="2"/>
  <c r="B1127" i="2"/>
  <c r="J1127" i="2"/>
  <c r="G1127" i="2"/>
  <c r="H1127" i="2"/>
  <c r="I1127" i="2"/>
  <c r="C1127" i="2"/>
  <c r="A1128" i="2"/>
  <c r="B1128" i="2" l="1"/>
  <c r="J1128" i="2"/>
  <c r="C1128" i="2"/>
  <c r="A1129" i="2"/>
  <c r="D1128" i="2"/>
  <c r="H1128" i="2"/>
  <c r="G1128" i="2"/>
  <c r="I1128" i="2"/>
  <c r="E1128" i="2"/>
  <c r="F1128" i="2"/>
  <c r="H1129" i="2" l="1"/>
  <c r="I1129" i="2"/>
  <c r="B1129" i="2"/>
  <c r="J1129" i="2"/>
  <c r="F1129" i="2"/>
  <c r="C1129" i="2"/>
  <c r="D1129" i="2"/>
  <c r="E1129" i="2"/>
  <c r="A1130" i="2"/>
  <c r="G1129" i="2"/>
  <c r="F1130" i="2" l="1"/>
  <c r="G1130" i="2"/>
  <c r="H1130" i="2"/>
  <c r="D1130" i="2"/>
  <c r="I1130" i="2"/>
  <c r="J1130" i="2"/>
  <c r="A1131" i="2"/>
  <c r="C1130" i="2"/>
  <c r="B1130" i="2"/>
  <c r="E1130" i="2"/>
  <c r="D1131" i="2" l="1"/>
  <c r="E1131" i="2"/>
  <c r="F1131" i="2"/>
  <c r="B1131" i="2"/>
  <c r="J1131" i="2"/>
  <c r="I1131" i="2"/>
  <c r="A1132" i="2"/>
  <c r="H1131" i="2"/>
  <c r="C1131" i="2"/>
  <c r="G1131" i="2"/>
  <c r="B1132" i="2" l="1"/>
  <c r="J1132" i="2"/>
  <c r="C1132" i="2"/>
  <c r="D1132" i="2"/>
  <c r="H1132" i="2"/>
  <c r="E1132" i="2"/>
  <c r="F1132" i="2"/>
  <c r="G1132" i="2"/>
  <c r="A1133" i="2"/>
  <c r="I1132" i="2"/>
  <c r="H1133" i="2" l="1"/>
  <c r="B1133" i="2"/>
  <c r="J1133" i="2"/>
  <c r="F1133" i="2"/>
  <c r="G1133" i="2"/>
  <c r="I1133" i="2"/>
  <c r="A1134" i="2"/>
  <c r="D1133" i="2"/>
  <c r="C1133" i="2"/>
  <c r="E1133" i="2"/>
  <c r="F1134" i="2" l="1"/>
  <c r="H1134" i="2"/>
  <c r="D1134" i="2"/>
  <c r="J1134" i="2"/>
  <c r="A1135" i="2"/>
  <c r="G1134" i="2"/>
  <c r="I1134" i="2"/>
  <c r="B1134" i="2"/>
  <c r="E1134" i="2"/>
  <c r="C1134" i="2"/>
  <c r="D1135" i="2" l="1"/>
  <c r="F1135" i="2"/>
  <c r="B1135" i="2"/>
  <c r="J1135" i="2"/>
  <c r="C1135" i="2"/>
  <c r="I1135" i="2"/>
  <c r="G1135" i="2"/>
  <c r="H1135" i="2"/>
  <c r="A1136" i="2"/>
  <c r="E1135" i="2"/>
  <c r="B1136" i="2" l="1"/>
  <c r="J1136" i="2"/>
  <c r="D1136" i="2"/>
  <c r="H1136" i="2"/>
  <c r="C1136" i="2"/>
  <c r="E1136" i="2"/>
  <c r="F1136" i="2"/>
  <c r="A1137" i="2"/>
  <c r="G1136" i="2"/>
  <c r="I1136" i="2"/>
  <c r="H1137" i="2" l="1"/>
  <c r="B1137" i="2"/>
  <c r="J1137" i="2"/>
  <c r="F1137" i="2"/>
  <c r="E1137" i="2"/>
  <c r="G1137" i="2"/>
  <c r="I1137" i="2"/>
  <c r="C1137" i="2"/>
  <c r="D1137" i="2"/>
  <c r="A1138" i="2"/>
  <c r="F1138" i="2" l="1"/>
  <c r="H1138" i="2"/>
  <c r="D1138" i="2"/>
  <c r="I1138" i="2"/>
  <c r="J1138" i="2"/>
  <c r="A1139" i="2"/>
  <c r="E1138" i="2"/>
  <c r="B1138" i="2"/>
  <c r="C1138" i="2"/>
  <c r="G1138" i="2"/>
  <c r="D1139" i="2" l="1"/>
  <c r="F1139" i="2"/>
  <c r="B1139" i="2"/>
  <c r="J1139" i="2"/>
  <c r="A1140" i="2"/>
  <c r="H1139" i="2"/>
  <c r="I1139" i="2"/>
  <c r="C1139" i="2"/>
  <c r="E1139" i="2"/>
  <c r="G1139" i="2"/>
  <c r="B1140" i="2" l="1"/>
  <c r="J1140" i="2"/>
  <c r="D1140" i="2"/>
  <c r="H1140" i="2"/>
  <c r="C1140" i="2"/>
  <c r="E1140" i="2"/>
  <c r="A1141" i="2"/>
  <c r="G1140" i="2"/>
  <c r="I1140" i="2"/>
  <c r="F1140" i="2"/>
  <c r="H1141" i="2" l="1"/>
  <c r="B1141" i="2"/>
  <c r="J1141" i="2"/>
  <c r="F1141" i="2"/>
  <c r="D1141" i="2"/>
  <c r="E1141" i="2"/>
  <c r="G1141" i="2"/>
  <c r="C1141" i="2"/>
  <c r="I1141" i="2"/>
  <c r="A1142" i="2"/>
  <c r="F1142" i="2" l="1"/>
  <c r="H1142" i="2"/>
  <c r="D1142" i="2"/>
  <c r="G1142" i="2"/>
  <c r="I1142" i="2"/>
  <c r="J1142" i="2"/>
  <c r="C1142" i="2"/>
  <c r="E1142" i="2"/>
  <c r="B1142" i="2"/>
  <c r="A1143" i="2"/>
  <c r="D1143" i="2" l="1"/>
  <c r="F1143" i="2"/>
  <c r="B1143" i="2"/>
  <c r="J1143" i="2"/>
  <c r="I1143" i="2"/>
  <c r="A1144" i="2"/>
  <c r="G1143" i="2"/>
  <c r="C1143" i="2"/>
  <c r="E1143" i="2"/>
  <c r="H1143" i="2"/>
  <c r="B1144" i="2" l="1"/>
  <c r="J1144" i="2"/>
  <c r="D1144" i="2"/>
  <c r="H1144" i="2"/>
  <c r="C1144" i="2"/>
  <c r="I1144" i="2"/>
  <c r="A1145" i="2"/>
  <c r="E1144" i="2"/>
  <c r="G1144" i="2"/>
  <c r="F1144" i="2"/>
  <c r="H1145" i="2" l="1"/>
  <c r="B1145" i="2"/>
  <c r="J1145" i="2"/>
  <c r="F1145" i="2"/>
  <c r="C1145" i="2"/>
  <c r="D1145" i="2"/>
  <c r="E1145" i="2"/>
  <c r="I1145" i="2"/>
  <c r="A1146" i="2"/>
  <c r="G1145" i="2"/>
  <c r="F1146" i="2" l="1"/>
  <c r="H1146" i="2"/>
  <c r="D1146" i="2"/>
  <c r="E1146" i="2"/>
  <c r="G1146" i="2"/>
  <c r="I1146" i="2"/>
  <c r="B1146" i="2"/>
  <c r="C1146" i="2"/>
  <c r="J1146" i="2"/>
  <c r="A1147" i="2"/>
  <c r="D1147" i="2" l="1"/>
  <c r="F1147" i="2"/>
  <c r="B1147" i="2"/>
  <c r="J1147" i="2"/>
  <c r="H1147" i="2"/>
  <c r="I1147" i="2"/>
  <c r="A1148" i="2"/>
  <c r="E1147" i="2"/>
  <c r="G1147" i="2"/>
  <c r="C1147" i="2"/>
  <c r="B1148" i="2" l="1"/>
  <c r="J1148" i="2"/>
  <c r="D1148" i="2"/>
  <c r="H1148" i="2"/>
  <c r="G1148" i="2"/>
  <c r="E1148" i="2"/>
  <c r="F1148" i="2"/>
  <c r="I1148" i="2"/>
  <c r="C1148" i="2"/>
</calcChain>
</file>

<file path=xl/sharedStrings.xml><?xml version="1.0" encoding="utf-8"?>
<sst xmlns="http://schemas.openxmlformats.org/spreadsheetml/2006/main" count="161" uniqueCount="74">
  <si>
    <t>MM$</t>
  </si>
  <si>
    <t>$/MMBTU</t>
  </si>
  <si>
    <t>MONTH</t>
  </si>
  <si>
    <t>UPS REPLACEMENT SUNK DEMAND CHARGE</t>
  </si>
  <si>
    <t>BAY GAS STORAGE DEMAND CHARGE</t>
  </si>
  <si>
    <t>SABAL TRAIL &amp; FSC</t>
  </si>
  <si>
    <t>GULF SOUTH</t>
  </si>
  <si>
    <t>TRANSCO 4A</t>
  </si>
  <si>
    <t>SESH</t>
  </si>
  <si>
    <t>GULFSTREAM</t>
  </si>
  <si>
    <t>FGT</t>
  </si>
  <si>
    <t>UPS REPLACEMENT DISPATCH PRICE</t>
  </si>
  <si>
    <t>HENRY HUB</t>
  </si>
  <si>
    <r>
      <t xml:space="preserve">FSC FIRM     FROM                          </t>
    </r>
    <r>
      <rPr>
        <b/>
        <sz val="12"/>
        <color theme="5" tint="-0.249977111117893"/>
        <rFont val="Arial"/>
        <family val="2"/>
      </rPr>
      <t>SABAL TRAIL</t>
    </r>
  </si>
  <si>
    <t>GULFSTREAM NON-FIRM</t>
  </si>
  <si>
    <t>WEIGHTED AVERAGE GULFSTREAM FIRM</t>
  </si>
  <si>
    <t>FGT NON-FIRM</t>
  </si>
  <si>
    <t>WEIGHTED AVERAGE FGT FIRM</t>
  </si>
  <si>
    <t>WEIGHTED AVERAGE Z3 FGT FIRM</t>
  </si>
  <si>
    <t>ZONE 2 FGT FIRM</t>
  </si>
  <si>
    <t>ZONE 1 FGT FIRM</t>
  </si>
  <si>
    <t>FIRM TRANSPORT AND STORAGE CONTRACTS THROUGH FGT PHASE VIII</t>
  </si>
  <si>
    <t>SUNK DEMAND CHARGE FOR ALL CURRENT</t>
  </si>
  <si>
    <t>HIGH</t>
  </si>
  <si>
    <t>LOW</t>
  </si>
  <si>
    <t>September 02, 2014 - LYSTRA LOUTAN</t>
  </si>
  <si>
    <t>LONG-TERM FORECAST METHODOLOGY - GAS PRICE</t>
  </si>
  <si>
    <t>MMCF/DAY</t>
  </si>
  <si>
    <t>DAYS</t>
  </si>
  <si>
    <t>GULFSTREAM NON-FIRM &amp; NON-FIRM BACKHAUL</t>
  </si>
  <si>
    <t>TOTAL GULFSTREAM FIRM</t>
  </si>
  <si>
    <t>SABAL TRAIL PIPELINE</t>
  </si>
  <si>
    <t>TOTAL FGT FIRM</t>
  </si>
  <si>
    <t>ZONE 3 FGT FIRM</t>
  </si>
  <si>
    <t>FGT FIRM BY ZONE</t>
  </si>
  <si>
    <t>LONG-TERM FORECAST METHODOLOGY - CAPACITY</t>
  </si>
  <si>
    <t>$/BBL.</t>
  </si>
  <si>
    <t>WTI</t>
  </si>
  <si>
    <t>ALL PLANTS DISTILLATE</t>
  </si>
  <si>
    <t>MANATEE / TURKEY POINT RESIDUAL</t>
  </si>
  <si>
    <t>MARTIN RESIDUAL</t>
  </si>
  <si>
    <t>DISTILLATE</t>
  </si>
  <si>
    <t>RESIDUAL</t>
  </si>
  <si>
    <t>LONG-TERM FORECAST METHODOLOGY - OIL PRICE</t>
  </si>
  <si>
    <t>DISPATCH PRICE WITH SO2 &amp; NOx</t>
  </si>
  <si>
    <t>DISPATCH PRICE WITHOUT SO2 &amp; NOx</t>
  </si>
  <si>
    <t>WEIGHTED AVERAGE WITHOUT SO2 &amp; NOx</t>
  </si>
  <si>
    <t>CEDAR BAY</t>
  </si>
  <si>
    <t>ICL</t>
  </si>
  <si>
    <t>ST. JOHNS RIVER POWER PARK</t>
  </si>
  <si>
    <t>PLANT SCHERER UNIT 4</t>
  </si>
  <si>
    <t xml:space="preserve"> </t>
  </si>
  <si>
    <t>WITHOUT NOx</t>
  </si>
  <si>
    <t>WITH NOx</t>
  </si>
  <si>
    <t>Selection</t>
  </si>
  <si>
    <t>Natural Gas</t>
  </si>
  <si>
    <t>WITHOUT SO2 &amp; NOx</t>
  </si>
  <si>
    <t>WITH SO2 &amp; NOx</t>
  </si>
  <si>
    <t>Oil SO2</t>
  </si>
  <si>
    <t>HIGH PRICES</t>
  </si>
  <si>
    <t>MEDIUM PRICES</t>
  </si>
  <si>
    <t>LOW PRICES</t>
  </si>
  <si>
    <t>Coal</t>
  </si>
  <si>
    <t>Heavy &amp; Light Oil</t>
  </si>
  <si>
    <t>Florida Power &amp; Light Company</t>
  </si>
  <si>
    <t>Docket No. 160154-EI</t>
  </si>
  <si>
    <t>Staff's First Set of Interrogatories</t>
  </si>
  <si>
    <t>Interrogatory No. 2</t>
  </si>
  <si>
    <t>Tab 1 of 5</t>
  </si>
  <si>
    <t>Attachment No. 32</t>
  </si>
  <si>
    <t>Tab 2 of 5</t>
  </si>
  <si>
    <t>Tab 3 of 5</t>
  </si>
  <si>
    <t>Tab 4 of 5</t>
  </si>
  <si>
    <t>Tab 5 of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</si>
</sst>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"/>
    <numFmt numFmtId="165" formatCode="0_)"/>
    <numFmt numFmtId="166" formatCode="&quot;$&quot;#,##0.00"/>
    <numFmt numFmtId="167" formatCode="&quot;$&quot;#,##0.0"/>
    <numFmt numFmtId="168" formatCode="&quot;$&quot;#,##0.0_);[Red]\(&quot;$&quot;#,##0.0\)"/>
    <numFmt numFmtId="169" formatCode="[$-409]mmm\-yy;@"/>
    <numFmt numFmtId="170" formatCode="0.0000"/>
    <numFmt numFmtId="171" formatCode="0.0"/>
    <numFmt numFmtId="172" formatCode="_(* #,##0_);_(* \(#,##0\);_(* &quot;-&quot;??_);_(@_)"/>
  </numFmts>
  <fonts count="20">
    <font>
      <sz val="12"/>
      <name val="Helv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2"/>
      <name val="Helv"/>
    </font>
    <font>
      <sz val="12"/>
      <color indexed="12"/>
      <name val="Arial"/>
      <family val="2"/>
    </font>
    <font>
      <b/>
      <sz val="12"/>
      <name val="Arial"/>
      <family val="2"/>
    </font>
    <font>
      <b/>
      <sz val="12"/>
      <color theme="5" tint="-0.249977111117893"/>
      <name val="Arial"/>
      <family val="2"/>
    </font>
    <font>
      <b/>
      <sz val="12"/>
      <color rgb="FF00B0F0"/>
      <name val="Arial"/>
      <family val="2"/>
    </font>
    <font>
      <b/>
      <u/>
      <sz val="16"/>
      <name val="Arial"/>
      <family val="2"/>
    </font>
    <font>
      <sz val="9"/>
      <name val="Geneva"/>
    </font>
    <font>
      <b/>
      <sz val="10"/>
      <color rgb="FF00B0F0"/>
      <name val="Arial"/>
      <family val="2"/>
    </font>
    <font>
      <b/>
      <sz val="10"/>
      <name val="Arial"/>
      <family val="2"/>
    </font>
    <font>
      <sz val="18"/>
      <name val="Arial"/>
      <family val="2"/>
    </font>
    <font>
      <b/>
      <sz val="17"/>
      <name val="Arial"/>
      <family val="2"/>
    </font>
    <font>
      <b/>
      <u val="singleAccounting"/>
      <sz val="12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12"/>
      <color indexed="12"/>
      <name val="Helv"/>
    </font>
    <font>
      <b/>
      <sz val="12"/>
      <name val="Helv"/>
    </font>
  </fonts>
  <fills count="1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164" fontId="0" fillId="0" borderId="0">
      <alignment horizontal="left" wrapText="1"/>
    </xf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4" fillId="0" borderId="0"/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</cellStyleXfs>
  <cellXfs count="99">
    <xf numFmtId="164" fontId="0" fillId="0" borderId="0" xfId="0">
      <alignment horizontal="left" wrapText="1"/>
    </xf>
    <xf numFmtId="0" fontId="3" fillId="0" borderId="0" xfId="4" applyFont="1"/>
    <xf numFmtId="0" fontId="3" fillId="0" borderId="0" xfId="4" applyFont="1" applyAlignment="1">
      <alignment horizontal="center"/>
    </xf>
    <xf numFmtId="165" fontId="3" fillId="0" borderId="0" xfId="0" applyNumberFormat="1" applyFont="1" applyAlignment="1">
      <alignment horizontal="center"/>
    </xf>
    <xf numFmtId="166" fontId="3" fillId="0" borderId="0" xfId="4" applyNumberFormat="1" applyFont="1" applyAlignment="1">
      <alignment horizontal="center"/>
    </xf>
    <xf numFmtId="167" fontId="3" fillId="0" borderId="0" xfId="4" applyNumberFormat="1" applyFont="1" applyAlignment="1">
      <alignment horizontal="center"/>
    </xf>
    <xf numFmtId="167" fontId="3" fillId="0" borderId="0" xfId="4" applyNumberFormat="1" applyFont="1"/>
    <xf numFmtId="166" fontId="3" fillId="0" borderId="0" xfId="4" applyNumberFormat="1" applyFont="1"/>
    <xf numFmtId="166" fontId="3" fillId="2" borderId="0" xfId="4" applyNumberFormat="1" applyFont="1" applyFill="1" applyAlignment="1">
      <alignment horizontal="center"/>
    </xf>
    <xf numFmtId="168" fontId="3" fillId="0" borderId="0" xfId="4" applyNumberFormat="1" applyFont="1" applyAlignment="1">
      <alignment horizontal="center"/>
    </xf>
    <xf numFmtId="165" fontId="3" fillId="0" borderId="0" xfId="0" applyNumberFormat="1" applyFont="1" applyAlignment="1"/>
    <xf numFmtId="167" fontId="5" fillId="0" borderId="0" xfId="4" applyNumberFormat="1" applyFont="1" applyAlignment="1">
      <alignment horizontal="center"/>
    </xf>
    <xf numFmtId="166" fontId="6" fillId="2" borderId="0" xfId="4" applyNumberFormat="1" applyFont="1" applyFill="1" applyAlignment="1">
      <alignment horizontal="center"/>
    </xf>
    <xf numFmtId="17" fontId="3" fillId="0" borderId="0" xfId="0" applyNumberFormat="1" applyFont="1" applyAlignment="1">
      <alignment horizontal="center"/>
    </xf>
    <xf numFmtId="169" fontId="3" fillId="0" borderId="0" xfId="0" applyNumberFormat="1" applyFont="1" applyAlignment="1">
      <alignment horizontal="center"/>
    </xf>
    <xf numFmtId="167" fontId="5" fillId="3" borderId="0" xfId="4" applyNumberFormat="1" applyFont="1" applyFill="1" applyAlignment="1">
      <alignment horizontal="center"/>
    </xf>
    <xf numFmtId="167" fontId="5" fillId="4" borderId="0" xfId="4" applyNumberFormat="1" applyFont="1" applyFill="1" applyAlignment="1">
      <alignment horizontal="center"/>
    </xf>
    <xf numFmtId="167" fontId="5" fillId="5" borderId="0" xfId="4" applyNumberFormat="1" applyFont="1" applyFill="1" applyAlignment="1">
      <alignment horizontal="center"/>
    </xf>
    <xf numFmtId="166" fontId="3" fillId="6" borderId="0" xfId="4" applyNumberFormat="1" applyFont="1" applyFill="1" applyAlignment="1">
      <alignment horizontal="center"/>
    </xf>
    <xf numFmtId="167" fontId="5" fillId="7" borderId="0" xfId="4" applyNumberFormat="1" applyFont="1" applyFill="1" applyAlignment="1">
      <alignment horizontal="center"/>
    </xf>
    <xf numFmtId="167" fontId="5" fillId="8" borderId="0" xfId="4" applyNumberFormat="1" applyFont="1" applyFill="1" applyAlignment="1">
      <alignment horizontal="center"/>
    </xf>
    <xf numFmtId="0" fontId="3" fillId="0" borderId="0" xfId="4" applyFont="1" applyAlignment="1">
      <alignment horizontal="center" wrapText="1"/>
    </xf>
    <xf numFmtId="0" fontId="6" fillId="9" borderId="0" xfId="4" applyFont="1" applyFill="1" applyAlignment="1">
      <alignment horizontal="center" wrapText="1"/>
    </xf>
    <xf numFmtId="0" fontId="6" fillId="0" borderId="0" xfId="4" applyFont="1" applyAlignment="1">
      <alignment horizontal="center" wrapText="1"/>
    </xf>
    <xf numFmtId="0" fontId="6" fillId="2" borderId="0" xfId="4" applyFont="1" applyFill="1" applyAlignment="1">
      <alignment horizontal="center" wrapText="1"/>
    </xf>
    <xf numFmtId="0" fontId="6" fillId="9" borderId="0" xfId="4" quotePrefix="1" applyFont="1" applyFill="1" applyAlignment="1">
      <alignment horizontal="center" wrapText="1"/>
    </xf>
    <xf numFmtId="0" fontId="6" fillId="0" borderId="0" xfId="4" quotePrefix="1" applyFont="1" applyAlignment="1">
      <alignment horizontal="center" wrapText="1"/>
    </xf>
    <xf numFmtId="0" fontId="6" fillId="0" borderId="0" xfId="4" applyFont="1" applyAlignment="1">
      <alignment horizontal="center"/>
    </xf>
    <xf numFmtId="0" fontId="6" fillId="0" borderId="0" xfId="4" applyFont="1" applyAlignment="1"/>
    <xf numFmtId="10" fontId="8" fillId="10" borderId="0" xfId="4" applyNumberFormat="1" applyFont="1" applyFill="1" applyAlignment="1">
      <alignment horizontal="center"/>
    </xf>
    <xf numFmtId="0" fontId="6" fillId="10" borderId="0" xfId="4" applyFont="1" applyFill="1" applyAlignment="1">
      <alignment horizontal="center"/>
    </xf>
    <xf numFmtId="170" fontId="3" fillId="0" borderId="0" xfId="4" applyNumberFormat="1" applyFont="1"/>
    <xf numFmtId="1" fontId="3" fillId="0" borderId="0" xfId="4" applyNumberFormat="1" applyFont="1"/>
    <xf numFmtId="15" fontId="6" fillId="0" borderId="0" xfId="4" applyNumberFormat="1" applyFont="1" applyAlignment="1">
      <alignment horizontal="left"/>
    </xf>
    <xf numFmtId="165" fontId="9" fillId="0" borderId="0" xfId="0" quotePrefix="1" applyNumberFormat="1" applyFont="1" applyAlignment="1">
      <alignment horizontal="left"/>
    </xf>
    <xf numFmtId="0" fontId="2" fillId="0" borderId="0" xfId="4" applyFont="1"/>
    <xf numFmtId="0" fontId="2" fillId="0" borderId="0" xfId="4" applyFont="1" applyAlignment="1">
      <alignment horizontal="center"/>
    </xf>
    <xf numFmtId="0" fontId="2" fillId="0" borderId="0" xfId="4"/>
    <xf numFmtId="1" fontId="3" fillId="0" borderId="0" xfId="4" applyNumberFormat="1" applyFont="1" applyAlignment="1">
      <alignment horizontal="center"/>
    </xf>
    <xf numFmtId="1" fontId="2" fillId="0" borderId="0" xfId="4" applyNumberFormat="1" applyFont="1" applyAlignment="1">
      <alignment horizontal="center"/>
    </xf>
    <xf numFmtId="1" fontId="3" fillId="11" borderId="0" xfId="4" applyNumberFormat="1" applyFont="1" applyFill="1" applyAlignment="1">
      <alignment horizontal="center"/>
    </xf>
    <xf numFmtId="3" fontId="3" fillId="0" borderId="0" xfId="4" applyNumberFormat="1" applyFont="1" applyAlignment="1">
      <alignment horizontal="center"/>
    </xf>
    <xf numFmtId="3" fontId="3" fillId="11" borderId="0" xfId="4" applyNumberFormat="1" applyFont="1" applyFill="1" applyAlignment="1">
      <alignment horizontal="center"/>
    </xf>
    <xf numFmtId="171" fontId="6" fillId="12" borderId="0" xfId="4" applyNumberFormat="1" applyFont="1" applyFill="1" applyAlignment="1">
      <alignment horizontal="center"/>
    </xf>
    <xf numFmtId="3" fontId="3" fillId="0" borderId="0" xfId="0" applyNumberFormat="1" applyFont="1" applyAlignment="1">
      <alignment horizontal="center"/>
    </xf>
    <xf numFmtId="1" fontId="3" fillId="0" borderId="0" xfId="0" applyNumberFormat="1" applyFont="1" applyAlignment="1"/>
    <xf numFmtId="1" fontId="6" fillId="0" borderId="0" xfId="4" applyNumberFormat="1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172" fontId="3" fillId="0" borderId="0" xfId="0" applyNumberFormat="1" applyFont="1" applyAlignment="1"/>
    <xf numFmtId="0" fontId="6" fillId="0" borderId="0" xfId="4" applyFont="1" applyFill="1" applyAlignment="1">
      <alignment horizontal="center" wrapText="1"/>
    </xf>
    <xf numFmtId="0" fontId="6" fillId="12" borderId="0" xfId="4" applyFont="1" applyFill="1" applyAlignment="1">
      <alignment horizontal="center" wrapText="1"/>
    </xf>
    <xf numFmtId="0" fontId="6" fillId="2" borderId="0" xfId="4" quotePrefix="1" applyFont="1" applyFill="1" applyAlignment="1">
      <alignment horizontal="center" wrapText="1"/>
    </xf>
    <xf numFmtId="0" fontId="6" fillId="0" borderId="0" xfId="4" quotePrefix="1" applyFont="1" applyFill="1" applyAlignment="1">
      <alignment horizontal="center"/>
    </xf>
    <xf numFmtId="0" fontId="6" fillId="0" borderId="0" xfId="4" applyFont="1" applyFill="1" applyAlignment="1">
      <alignment horizontal="center"/>
    </xf>
    <xf numFmtId="0" fontId="6" fillId="0" borderId="0" xfId="4" applyFont="1" applyFill="1" applyAlignment="1"/>
    <xf numFmtId="0" fontId="6" fillId="13" borderId="0" xfId="4" applyFont="1" applyFill="1" applyAlignment="1">
      <alignment horizontal="center"/>
    </xf>
    <xf numFmtId="0" fontId="6" fillId="0" borderId="0" xfId="4" applyFont="1"/>
    <xf numFmtId="0" fontId="2" fillId="0" borderId="0" xfId="4" applyFont="1" applyAlignment="1">
      <alignment horizontal="center" wrapText="1"/>
    </xf>
    <xf numFmtId="0" fontId="6" fillId="0" borderId="0" xfId="4" quotePrefix="1" applyFont="1" applyFill="1" applyAlignment="1">
      <alignment horizontal="center" wrapText="1"/>
    </xf>
    <xf numFmtId="0" fontId="6" fillId="11" borderId="0" xfId="4" applyFont="1" applyFill="1" applyAlignment="1"/>
    <xf numFmtId="15" fontId="6" fillId="0" borderId="0" xfId="4" applyNumberFormat="1" applyFont="1" applyFill="1" applyAlignment="1">
      <alignment horizontal="left"/>
    </xf>
    <xf numFmtId="9" fontId="11" fillId="15" borderId="0" xfId="3" applyFont="1" applyFill="1" applyAlignment="1">
      <alignment horizontal="center"/>
    </xf>
    <xf numFmtId="0" fontId="12" fillId="15" borderId="0" xfId="4" applyFont="1" applyFill="1" applyAlignment="1">
      <alignment horizontal="center"/>
    </xf>
    <xf numFmtId="0" fontId="2" fillId="0" borderId="0" xfId="4" applyFont="1" applyFill="1"/>
    <xf numFmtId="0" fontId="13" fillId="0" borderId="0" xfId="4" applyFont="1" applyFill="1"/>
    <xf numFmtId="0" fontId="14" fillId="0" borderId="0" xfId="4" quotePrefix="1" applyFont="1" applyFill="1" applyAlignment="1">
      <alignment horizontal="left"/>
    </xf>
    <xf numFmtId="166" fontId="3" fillId="0" borderId="0" xfId="0" applyNumberFormat="1" applyFont="1" applyAlignment="1">
      <alignment horizontal="center"/>
    </xf>
    <xf numFmtId="166" fontId="3" fillId="0" borderId="0" xfId="2" applyNumberFormat="1" applyFont="1" applyAlignment="1">
      <alignment horizontal="center"/>
    </xf>
    <xf numFmtId="44" fontId="15" fillId="0" borderId="0" xfId="2" applyFont="1" applyAlignment="1">
      <alignment horizontal="center"/>
    </xf>
    <xf numFmtId="44" fontId="6" fillId="0" borderId="0" xfId="2" applyFont="1" applyAlignment="1">
      <alignment horizontal="center"/>
    </xf>
    <xf numFmtId="165" fontId="6" fillId="0" borderId="0" xfId="0" applyNumberFormat="1" applyFont="1" applyFill="1" applyAlignment="1">
      <alignment horizontal="center"/>
    </xf>
    <xf numFmtId="165" fontId="6" fillId="16" borderId="0" xfId="0" quotePrefix="1" applyNumberFormat="1" applyFont="1" applyFill="1" applyAlignment="1">
      <alignment horizontal="center" vertical="center" wrapText="1"/>
    </xf>
    <xf numFmtId="165" fontId="6" fillId="2" borderId="0" xfId="0" quotePrefix="1" applyNumberFormat="1" applyFont="1" applyFill="1" applyAlignment="1">
      <alignment horizontal="center" vertical="center" wrapText="1"/>
    </xf>
    <xf numFmtId="165" fontId="6" fillId="13" borderId="0" xfId="0" quotePrefix="1" applyNumberFormat="1" applyFont="1" applyFill="1" applyAlignment="1">
      <alignment horizontal="center" vertical="center" wrapText="1"/>
    </xf>
    <xf numFmtId="0" fontId="16" fillId="0" borderId="0" xfId="4" applyFont="1"/>
    <xf numFmtId="10" fontId="8" fillId="10" borderId="0" xfId="4" quotePrefix="1" applyNumberFormat="1" applyFont="1" applyFill="1" applyAlignment="1">
      <alignment horizontal="center"/>
    </xf>
    <xf numFmtId="15" fontId="6" fillId="10" borderId="0" xfId="4" applyNumberFormat="1" applyFont="1" applyFill="1" applyAlignment="1">
      <alignment horizontal="left"/>
    </xf>
    <xf numFmtId="15" fontId="6" fillId="0" borderId="0" xfId="4" quotePrefix="1" applyNumberFormat="1" applyFont="1" applyAlignment="1">
      <alignment horizontal="left"/>
    </xf>
    <xf numFmtId="0" fontId="17" fillId="0" borderId="0" xfId="4" applyFont="1"/>
    <xf numFmtId="165" fontId="0" fillId="0" borderId="0" xfId="0" applyNumberFormat="1" applyAlignment="1"/>
    <xf numFmtId="43" fontId="0" fillId="0" borderId="0" xfId="1" applyFont="1" applyAlignment="1"/>
    <xf numFmtId="165" fontId="0" fillId="0" borderId="0" xfId="0" quotePrefix="1" applyNumberFormat="1" applyAlignment="1"/>
    <xf numFmtId="165" fontId="18" fillId="0" borderId="1" xfId="0" quotePrefix="1" applyNumberFormat="1" applyFont="1" applyBorder="1" applyAlignment="1">
      <alignment horizontal="left"/>
    </xf>
    <xf numFmtId="165" fontId="18" fillId="0" borderId="3" xfId="0" quotePrefix="1" applyNumberFormat="1" applyFont="1" applyBorder="1" applyAlignment="1">
      <alignment horizontal="left"/>
    </xf>
    <xf numFmtId="165" fontId="19" fillId="0" borderId="4" xfId="0" applyNumberFormat="1" applyFont="1" applyBorder="1" applyAlignment="1"/>
    <xf numFmtId="165" fontId="18" fillId="0" borderId="1" xfId="0" applyNumberFormat="1" applyFont="1" applyBorder="1" applyAlignment="1"/>
    <xf numFmtId="165" fontId="18" fillId="0" borderId="3" xfId="0" applyNumberFormat="1" applyFont="1" applyBorder="1" applyAlignment="1"/>
    <xf numFmtId="165" fontId="19" fillId="0" borderId="0" xfId="0" applyNumberFormat="1" applyFont="1" applyAlignment="1">
      <alignment horizontal="left"/>
    </xf>
    <xf numFmtId="0" fontId="6" fillId="9" borderId="0" xfId="4" quotePrefix="1" applyFont="1" applyFill="1" applyAlignment="1">
      <alignment horizontal="center"/>
    </xf>
    <xf numFmtId="0" fontId="6" fillId="14" borderId="0" xfId="4" quotePrefix="1" applyFont="1" applyFill="1" applyAlignment="1">
      <alignment horizontal="center"/>
    </xf>
    <xf numFmtId="0" fontId="6" fillId="6" borderId="0" xfId="4" applyFont="1" applyFill="1" applyAlignment="1">
      <alignment horizontal="center"/>
    </xf>
    <xf numFmtId="165" fontId="6" fillId="14" borderId="0" xfId="0" quotePrefix="1" applyNumberFormat="1" applyFont="1" applyFill="1" applyAlignment="1">
      <alignment horizontal="center"/>
    </xf>
    <xf numFmtId="0" fontId="6" fillId="0" borderId="0" xfId="4" applyFont="1" applyAlignment="1">
      <alignment horizontal="center"/>
    </xf>
    <xf numFmtId="0" fontId="6" fillId="12" borderId="0" xfId="4" quotePrefix="1" applyFont="1" applyFill="1" applyAlignment="1">
      <alignment horizontal="center"/>
    </xf>
    <xf numFmtId="0" fontId="6" fillId="12" borderId="0" xfId="4" applyFont="1" applyFill="1" applyAlignment="1">
      <alignment horizontal="center"/>
    </xf>
    <xf numFmtId="0" fontId="6" fillId="14" borderId="0" xfId="4" applyFont="1" applyFill="1" applyAlignment="1">
      <alignment horizontal="center"/>
    </xf>
    <xf numFmtId="165" fontId="18" fillId="0" borderId="2" xfId="0" applyNumberFormat="1" applyFont="1" applyBorder="1" applyAlignment="1">
      <alignment horizontal="center" vertical="center"/>
    </xf>
    <xf numFmtId="165" fontId="18" fillId="0" borderId="1" xfId="0" applyNumberFormat="1" applyFont="1" applyBorder="1" applyAlignment="1">
      <alignment horizontal="center" vertical="center"/>
    </xf>
    <xf numFmtId="165" fontId="18" fillId="0" borderId="3" xfId="0" applyNumberFormat="1" applyFont="1" applyBorder="1" applyAlignment="1">
      <alignment horizontal="center" vertical="center"/>
    </xf>
  </cellXfs>
  <cellStyles count="45">
    <cellStyle name="_x0013_" xfId="5"/>
    <cellStyle name="_CC Oil" xfId="6"/>
    <cellStyle name="_DSO Oil" xfId="7"/>
    <cellStyle name="_FLCC Oil" xfId="8"/>
    <cellStyle name="_FLPEGT Oil" xfId="9"/>
    <cellStyle name="_FMCT Oil" xfId="10"/>
    <cellStyle name="_GTDW_DataTemplate" xfId="11"/>
    <cellStyle name="_Gulfstream Gas" xfId="12"/>
    <cellStyle name="_MR .7 Oil" xfId="13"/>
    <cellStyle name="_MR 1 Oil" xfId="14"/>
    <cellStyle name="_MRCT Oil" xfId="15"/>
    <cellStyle name="_MT Gulfstream Gas" xfId="16"/>
    <cellStyle name="_MT Oil" xfId="17"/>
    <cellStyle name="_OLCT Oil" xfId="18"/>
    <cellStyle name="_PE Oil" xfId="19"/>
    <cellStyle name="_PN Oil" xfId="20"/>
    <cellStyle name="_RV Oil" xfId="21"/>
    <cellStyle name="_SHCT Oil" xfId="22"/>
    <cellStyle name="_SN Oil" xfId="23"/>
    <cellStyle name="_TP Oil" xfId="24"/>
    <cellStyle name="Comma" xfId="1" builtinId="3"/>
    <cellStyle name="Comma 2" xfId="25"/>
    <cellStyle name="Comma 3" xfId="26"/>
    <cellStyle name="Comma 3 2" xfId="27"/>
    <cellStyle name="Currency" xfId="2" builtinId="4"/>
    <cellStyle name="Normal" xfId="0" builtinId="0"/>
    <cellStyle name="Normal 2" xfId="28"/>
    <cellStyle name="Normal 2 2" xfId="29"/>
    <cellStyle name="Normal 2 2 2" xfId="30"/>
    <cellStyle name="Normal 2 3" xfId="31"/>
    <cellStyle name="Normal 2 3 2" xfId="32"/>
    <cellStyle name="Normal 2 4" xfId="33"/>
    <cellStyle name="Normal 2 4 2" xfId="34"/>
    <cellStyle name="Normal 2 5" xfId="35"/>
    <cellStyle name="Normal 2 6" xfId="36"/>
    <cellStyle name="Normal 3" xfId="37"/>
    <cellStyle name="Normal 4" xfId="38"/>
    <cellStyle name="Normal 5" xfId="39"/>
    <cellStyle name="Normal 5 2" xfId="40"/>
    <cellStyle name="Normal 6" xfId="41"/>
    <cellStyle name="Normal 6 2" xfId="42"/>
    <cellStyle name="Normal 7" xfId="43"/>
    <cellStyle name="Normal 7 2" xfId="44"/>
    <cellStyle name="Normal_060415 RAP Fuel Price Forecast Template - Case 1 (Historical Spread)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3" dropStyle="combo" dx="18" fmlaLink="CONTROL!$C$19" fmlaRange="CONTROL!$B$19:$B$21" sel="2" val="0"/>
</file>

<file path=xl/ctrlProps/ctrlProp2.xml><?xml version="1.0" encoding="utf-8"?>
<formControlPr xmlns="http://schemas.microsoft.com/office/spreadsheetml/2009/9/main" objectType="Drop" dropLines="2" dropStyle="combo" dx="18" fmlaLink="CONTROL!$C$36" fmlaRange="CONTROL!$B$36:$B$37" val="0"/>
</file>

<file path=xl/ctrlProps/ctrlProp3.xml><?xml version="1.0" encoding="utf-8"?>
<formControlPr xmlns="http://schemas.microsoft.com/office/spreadsheetml/2009/9/main" objectType="Drop" dropLines="3" dropStyle="combo" dx="18" fmlaLink="CONTROL!$C$13" fmlaRange="CONTROL!$B$13:$B$15" sel="2" val="0"/>
</file>

<file path=xl/ctrlProps/ctrlProp4.xml><?xml version="1.0" encoding="utf-8"?>
<formControlPr xmlns="http://schemas.microsoft.com/office/spreadsheetml/2009/9/main" objectType="Drop" dropLines="2" dropStyle="combo" dx="18" fmlaLink="CONTROL!$C$32" fmlaRange="CONTROL!$B$32:$B$33" val="0"/>
</file>

<file path=xl/ctrlProps/ctrlProp5.xml><?xml version="1.0" encoding="utf-8"?>
<formControlPr xmlns="http://schemas.microsoft.com/office/spreadsheetml/2009/9/main" objectType="Drop" dropLines="3" dropStyle="combo" dx="18" fmlaLink="CONTROL!$C$26" fmlaRange="CONTROL!$B$26:$B$28" sel="2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142875</xdr:rowOff>
        </xdr:from>
        <xdr:to>
          <xdr:col>4</xdr:col>
          <xdr:colOff>533400</xdr:colOff>
          <xdr:row>13</xdr:row>
          <xdr:rowOff>57150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533400</xdr:colOff>
          <xdr:row>11</xdr:row>
          <xdr:rowOff>142875</xdr:rowOff>
        </xdr:from>
        <xdr:to>
          <xdr:col>6</xdr:col>
          <xdr:colOff>257175</xdr:colOff>
          <xdr:row>13</xdr:row>
          <xdr:rowOff>47625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9</xdr:row>
          <xdr:rowOff>180975</xdr:rowOff>
        </xdr:from>
        <xdr:to>
          <xdr:col>2</xdr:col>
          <xdr:colOff>666750</xdr:colOff>
          <xdr:row>11</xdr:row>
          <xdr:rowOff>95250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</xdr:row>
          <xdr:rowOff>180975</xdr:rowOff>
        </xdr:from>
        <xdr:to>
          <xdr:col>4</xdr:col>
          <xdr:colOff>371475</xdr:colOff>
          <xdr:row>11</xdr:row>
          <xdr:rowOff>85725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11</xdr:row>
          <xdr:rowOff>38100</xdr:rowOff>
        </xdr:from>
        <xdr:to>
          <xdr:col>6</xdr:col>
          <xdr:colOff>381000</xdr:colOff>
          <xdr:row>12</xdr:row>
          <xdr:rowOff>142875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hab0ptk\0600911%20-%20SJRPP%20Solid%20Fuel%20Historic%20Prices%20-%20Commodity%20&amp;%20Ra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exu0ocl\040609%20FUEL%20COST%20RECOVERY%20-%20IRP%20SHORT%20&amp;%20LONG-TERM%20FOSSIL%20FUEL%20PRICE%20FORECA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XD0FJ7\AppData\Local\Temp\Temp1_2014.zip\2014\9.%20September\140902%202014%20-%202100%20LONG-TERM%20FORECAST%20FPL%20METHODOLOGY%20-%20To%20Delet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Index%20Analysi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ower%20REG\GenTrader%20Data\Weekly%20Long%20Run\040914\Inputs\GTDW_DataTempla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 - $ Per Ton - Q"/>
      <sheetName val="Chart 2 - $ Per MMBtu - Q"/>
      <sheetName val="Chart 3 - $ Per Ton - A"/>
      <sheetName val="Chart 4 - $ Per MMBtu - A"/>
      <sheetName val="History Delivered"/>
      <sheetName val="History Mine Mouth"/>
      <sheetName val="HISTOR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L OIL BACKUP 2"/>
      <sheetName val="GRAPH DATA"/>
      <sheetName val="CURRENT FPL VS. FCR FORECAST"/>
      <sheetName val="CURRENT VS. PREVIOUS FPL FORE."/>
      <sheetName val="CURRENT FPL VS. PIRA FORECAST"/>
      <sheetName val="FPL FORECAST VS. FORWARD CURVE"/>
      <sheetName val="FPL MOST LIKELY OIL BACKUP 1"/>
      <sheetName val="COMPARISON OF DISPATCH PRICES"/>
      <sheetName val="FOSSIL FUEL GRAPH"/>
      <sheetName val="MOST LIKELY OIL FORECAST UPDATE"/>
      <sheetName val="MOST LIKELY OIL PRICE FORECAST"/>
      <sheetName val="LOW PRICE OIL FORECAST"/>
      <sheetName val="HIGH PRICE OIL FORECAST"/>
      <sheetName val="WEEKLY GAS FORECAST UPDATE"/>
      <sheetName val="MOST LIKELY GAS PRICE &amp; AVAIL"/>
      <sheetName val="MOST LIKELY COAL &amp; PET COKE"/>
      <sheetName val="FPL MOST LIKELY GAS BACKUP 2"/>
      <sheetName val="FPL MOST LIKELY GAS BACKUP 1"/>
      <sheetName val="FPL LOW PRICE GAS BACKUP 1"/>
      <sheetName val="FPL HIGH PRICE GAS BACKUP 1"/>
      <sheetName val="LOW PRICE GAS &amp; AVAILABILITY"/>
      <sheetName val="HIGH PRICE GAS &amp; AVAILABILI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W Curves"/>
      <sheetName val="Pub Index"/>
      <sheetName val="_Setup_"/>
      <sheetName val="GAS BASIS"/>
      <sheetName val="FPL LONG TERM GAS &amp; OIL INDEX"/>
      <sheetName val="OIL &amp; GAS SEASONALITY"/>
      <sheetName val="TRANSPORT"/>
      <sheetName val="DEMAND CHARGE"/>
      <sheetName val="CAPACITY"/>
      <sheetName val="GAS AVAILABILITY WORKSHEET"/>
      <sheetName val="NATURAL GAS PRICES WORKSHEET"/>
      <sheetName val="FGT PRIMARY FIRM ZONE 1"/>
      <sheetName val="FGT PRIMARY FIRM ZONE 2"/>
      <sheetName val="FGT PRIMARY FIRM ZONE 3"/>
      <sheetName val="FGT NON-FIRM"/>
      <sheetName val="SESH TO FTS 3"/>
      <sheetName val="TRANSCO 4A  FTS 3"/>
      <sheetName val="GULF SOUTH TO FTS 1&amp;2"/>
      <sheetName val="INCREMENTAL Z3"/>
      <sheetName val="SESH TO GULFSTREAM"/>
      <sheetName val="TRANSCO 4A TO GULFSTREAM"/>
      <sheetName val="GULF SOUTH TO GULFSTREAM"/>
      <sheetName val="GULFSTREAM FIRM "/>
      <sheetName val="GULFSTREAM NON-FIRM"/>
      <sheetName val="FSC DLVD"/>
      <sheetName val="UPS REPLACEMENT"/>
      <sheetName val="Upload"/>
      <sheetName val="DISTILLATE &amp; RESIDUAL FUEL OIL"/>
      <sheetName val="COAL SO2 &amp; NOX Calculations"/>
      <sheetName val="COAL - Monthly"/>
      <sheetName val="COAL &amp; PET COKE FORECA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-Data"/>
      <sheetName val="Misc-Data"/>
      <sheetName val="IndexAnalysis"/>
      <sheetName val="Nat Gas Strips "/>
      <sheetName val="Module2"/>
      <sheetName val="FeedLiveData"/>
    </sheetNames>
    <sheetDataSet>
      <sheetData sheetId="0" refreshError="1">
        <row r="2">
          <cell r="A2" t="str">
            <v>INDEX PRICE LOG</v>
          </cell>
        </row>
        <row r="3">
          <cell r="C3">
            <v>11</v>
          </cell>
          <cell r="D3">
            <v>12</v>
          </cell>
          <cell r="E3">
            <v>1</v>
          </cell>
          <cell r="F3">
            <v>2</v>
          </cell>
          <cell r="G3">
            <v>3</v>
          </cell>
          <cell r="H3">
            <v>4</v>
          </cell>
          <cell r="I3">
            <v>5</v>
          </cell>
          <cell r="J3">
            <v>6</v>
          </cell>
          <cell r="K3">
            <v>7</v>
          </cell>
          <cell r="L3">
            <v>8</v>
          </cell>
          <cell r="M3">
            <v>9</v>
          </cell>
          <cell r="N3">
            <v>10</v>
          </cell>
          <cell r="O3">
            <v>11</v>
          </cell>
          <cell r="P3">
            <v>12</v>
          </cell>
          <cell r="Q3">
            <v>1</v>
          </cell>
          <cell r="R3">
            <v>2</v>
          </cell>
          <cell r="S3">
            <v>3</v>
          </cell>
          <cell r="T3">
            <v>4</v>
          </cell>
          <cell r="U3">
            <v>5</v>
          </cell>
          <cell r="V3">
            <v>6</v>
          </cell>
          <cell r="W3">
            <v>7</v>
          </cell>
          <cell r="X3">
            <v>8</v>
          </cell>
          <cell r="Y3">
            <v>9</v>
          </cell>
          <cell r="Z3">
            <v>10</v>
          </cell>
          <cell r="AA3">
            <v>11</v>
          </cell>
          <cell r="AB3">
            <v>12</v>
          </cell>
          <cell r="AC3">
            <v>1</v>
          </cell>
          <cell r="AD3">
            <v>2</v>
          </cell>
          <cell r="AE3">
            <v>3</v>
          </cell>
          <cell r="AF3">
            <v>4</v>
          </cell>
          <cell r="AG3">
            <v>5</v>
          </cell>
          <cell r="AH3">
            <v>6</v>
          </cell>
          <cell r="AI3">
            <v>7</v>
          </cell>
          <cell r="AJ3">
            <v>8</v>
          </cell>
          <cell r="AK3">
            <v>9</v>
          </cell>
          <cell r="AL3">
            <v>10</v>
          </cell>
          <cell r="AM3">
            <v>11</v>
          </cell>
          <cell r="AN3">
            <v>12</v>
          </cell>
          <cell r="AO3">
            <v>1</v>
          </cell>
          <cell r="AP3">
            <v>2</v>
          </cell>
          <cell r="AQ3">
            <v>3</v>
          </cell>
          <cell r="AR3">
            <v>4</v>
          </cell>
          <cell r="AS3">
            <v>5</v>
          </cell>
          <cell r="AT3">
            <v>6</v>
          </cell>
          <cell r="AU3">
            <v>7</v>
          </cell>
          <cell r="AV3">
            <v>8</v>
          </cell>
          <cell r="AW3">
            <v>9</v>
          </cell>
          <cell r="AX3">
            <v>10</v>
          </cell>
          <cell r="AY3">
            <v>11</v>
          </cell>
          <cell r="AZ3">
            <v>12</v>
          </cell>
          <cell r="BA3">
            <v>1</v>
          </cell>
          <cell r="BB3">
            <v>2</v>
          </cell>
          <cell r="BC3">
            <v>3</v>
          </cell>
          <cell r="BD3">
            <v>4</v>
          </cell>
          <cell r="BE3">
            <v>5</v>
          </cell>
          <cell r="BF3">
            <v>6</v>
          </cell>
          <cell r="BG3">
            <v>7</v>
          </cell>
          <cell r="BH3">
            <v>8</v>
          </cell>
          <cell r="BI3">
            <v>9</v>
          </cell>
          <cell r="BJ3">
            <v>10</v>
          </cell>
          <cell r="BK3">
            <v>11</v>
          </cell>
          <cell r="BL3">
            <v>12</v>
          </cell>
          <cell r="BM3">
            <v>1</v>
          </cell>
          <cell r="BN3">
            <v>2</v>
          </cell>
          <cell r="BO3">
            <v>3</v>
          </cell>
          <cell r="BP3">
            <v>4</v>
          </cell>
          <cell r="BQ3">
            <v>5</v>
          </cell>
          <cell r="BR3">
            <v>6</v>
          </cell>
          <cell r="BS3">
            <v>7</v>
          </cell>
          <cell r="BT3">
            <v>8</v>
          </cell>
          <cell r="BU3">
            <v>9</v>
          </cell>
          <cell r="BV3">
            <v>10</v>
          </cell>
          <cell r="BW3">
            <v>11</v>
          </cell>
          <cell r="BX3">
            <v>12</v>
          </cell>
          <cell r="BY3">
            <v>1</v>
          </cell>
          <cell r="BZ3">
            <v>2</v>
          </cell>
          <cell r="CA3">
            <v>3</v>
          </cell>
          <cell r="CB3">
            <v>4</v>
          </cell>
          <cell r="CC3">
            <v>5</v>
          </cell>
          <cell r="CD3">
            <v>6</v>
          </cell>
          <cell r="CE3">
            <v>7</v>
          </cell>
          <cell r="CF3">
            <v>8</v>
          </cell>
          <cell r="CG3">
            <v>9</v>
          </cell>
        </row>
        <row r="4">
          <cell r="C4">
            <v>33909</v>
          </cell>
          <cell r="D4">
            <v>33939</v>
          </cell>
          <cell r="E4">
            <v>33970</v>
          </cell>
          <cell r="F4">
            <v>34001</v>
          </cell>
          <cell r="G4">
            <v>34029</v>
          </cell>
          <cell r="H4">
            <v>34060</v>
          </cell>
          <cell r="I4">
            <v>34090</v>
          </cell>
          <cell r="J4">
            <v>34121</v>
          </cell>
          <cell r="K4">
            <v>34151</v>
          </cell>
          <cell r="L4">
            <v>34182</v>
          </cell>
          <cell r="M4">
            <v>34213</v>
          </cell>
          <cell r="N4">
            <v>34243</v>
          </cell>
          <cell r="O4">
            <v>34274</v>
          </cell>
          <cell r="P4">
            <v>34304</v>
          </cell>
          <cell r="Q4">
            <v>34335</v>
          </cell>
          <cell r="R4">
            <v>34366</v>
          </cell>
          <cell r="S4">
            <v>34394</v>
          </cell>
          <cell r="T4">
            <v>34425</v>
          </cell>
          <cell r="U4">
            <v>34455</v>
          </cell>
          <cell r="V4">
            <v>34486</v>
          </cell>
          <cell r="W4">
            <v>34516</v>
          </cell>
          <cell r="X4">
            <v>34547</v>
          </cell>
          <cell r="Y4">
            <v>34578</v>
          </cell>
          <cell r="Z4">
            <v>34608</v>
          </cell>
          <cell r="AA4">
            <v>34639</v>
          </cell>
          <cell r="AB4">
            <v>34669</v>
          </cell>
          <cell r="AC4">
            <v>34700</v>
          </cell>
          <cell r="AD4">
            <v>34731</v>
          </cell>
          <cell r="AE4">
            <v>34759</v>
          </cell>
          <cell r="AF4">
            <v>34790</v>
          </cell>
          <cell r="AG4">
            <v>34820</v>
          </cell>
          <cell r="AH4">
            <v>34851</v>
          </cell>
          <cell r="AI4">
            <v>34881</v>
          </cell>
          <cell r="AJ4">
            <v>34912</v>
          </cell>
          <cell r="AK4">
            <v>34943</v>
          </cell>
          <cell r="AL4">
            <v>34973</v>
          </cell>
          <cell r="AM4">
            <v>35004</v>
          </cell>
          <cell r="AN4">
            <v>35034</v>
          </cell>
          <cell r="AO4">
            <v>35065</v>
          </cell>
          <cell r="AP4">
            <v>35096</v>
          </cell>
          <cell r="AQ4">
            <v>35125</v>
          </cell>
          <cell r="AR4">
            <v>35156</v>
          </cell>
          <cell r="AS4">
            <v>35186</v>
          </cell>
          <cell r="AT4">
            <v>35217</v>
          </cell>
          <cell r="AU4">
            <v>35247</v>
          </cell>
          <cell r="AV4">
            <v>35278</v>
          </cell>
          <cell r="AW4">
            <v>35309</v>
          </cell>
          <cell r="AX4">
            <v>35339</v>
          </cell>
          <cell r="AY4">
            <v>35370</v>
          </cell>
          <cell r="AZ4">
            <v>35400</v>
          </cell>
          <cell r="BA4">
            <v>35431</v>
          </cell>
          <cell r="BB4">
            <v>35462</v>
          </cell>
          <cell r="BC4">
            <v>35490</v>
          </cell>
          <cell r="BD4">
            <v>35521</v>
          </cell>
          <cell r="BE4">
            <v>35551</v>
          </cell>
          <cell r="BF4">
            <v>35582</v>
          </cell>
          <cell r="BG4">
            <v>35612</v>
          </cell>
          <cell r="BH4">
            <v>35643</v>
          </cell>
          <cell r="BI4">
            <v>35674</v>
          </cell>
          <cell r="BJ4">
            <v>35704</v>
          </cell>
          <cell r="BK4">
            <v>35735</v>
          </cell>
          <cell r="BL4">
            <v>35765</v>
          </cell>
          <cell r="BM4">
            <v>35796</v>
          </cell>
          <cell r="BN4">
            <v>35827</v>
          </cell>
          <cell r="BO4">
            <v>35855</v>
          </cell>
          <cell r="BP4">
            <v>35886</v>
          </cell>
          <cell r="BQ4">
            <v>35916</v>
          </cell>
          <cell r="BR4">
            <v>35947</v>
          </cell>
          <cell r="BS4">
            <v>35977</v>
          </cell>
          <cell r="BT4">
            <v>36008</v>
          </cell>
          <cell r="BU4">
            <v>36039</v>
          </cell>
          <cell r="BV4">
            <v>36069</v>
          </cell>
          <cell r="BW4">
            <v>36100</v>
          </cell>
          <cell r="BX4">
            <v>36130</v>
          </cell>
          <cell r="BY4">
            <v>36161</v>
          </cell>
          <cell r="BZ4">
            <v>36192</v>
          </cell>
          <cell r="CA4">
            <v>36220</v>
          </cell>
          <cell r="CB4">
            <v>36251</v>
          </cell>
          <cell r="CC4">
            <v>36281</v>
          </cell>
          <cell r="CD4">
            <v>36312</v>
          </cell>
          <cell r="CE4">
            <v>36342</v>
          </cell>
          <cell r="CF4">
            <v>36373</v>
          </cell>
          <cell r="CG4">
            <v>36404</v>
          </cell>
        </row>
        <row r="5">
          <cell r="A5" t="str">
            <v>3D</v>
          </cell>
          <cell r="B5">
            <v>2</v>
          </cell>
          <cell r="C5">
            <v>2.46</v>
          </cell>
          <cell r="D5">
            <v>2.3719999999999999</v>
          </cell>
          <cell r="E5">
            <v>2.0419999999999998</v>
          </cell>
          <cell r="F5">
            <v>1.647</v>
          </cell>
          <cell r="G5">
            <v>1.859</v>
          </cell>
          <cell r="H5">
            <v>2.1280000000000001</v>
          </cell>
          <cell r="I5">
            <v>2.706</v>
          </cell>
          <cell r="J5">
            <v>2.2519999999999998</v>
          </cell>
          <cell r="K5">
            <v>2.06633333333333</v>
          </cell>
          <cell r="L5">
            <v>2.1040000000000001</v>
          </cell>
          <cell r="M5">
            <v>2.4263333333333299</v>
          </cell>
          <cell r="N5">
            <v>2.1539999999999999</v>
          </cell>
          <cell r="O5">
            <v>2.1323333333333334</v>
          </cell>
          <cell r="P5">
            <v>2.3386666666666667</v>
          </cell>
          <cell r="Q5">
            <v>2.0653333333333332</v>
          </cell>
          <cell r="R5">
            <v>2.3416666666666668</v>
          </cell>
          <cell r="S5">
            <v>2.3826666666666667</v>
          </cell>
          <cell r="T5">
            <v>2.0550000000000002</v>
          </cell>
          <cell r="U5">
            <v>2.1156666666666668</v>
          </cell>
          <cell r="V5">
            <v>1.9039999999999999</v>
          </cell>
          <cell r="W5">
            <v>2.0226666666666668</v>
          </cell>
          <cell r="X5">
            <v>1.8333333333333333</v>
          </cell>
          <cell r="Y5">
            <v>1.5403333333333333</v>
          </cell>
          <cell r="Z5">
            <v>1.4453333333333334</v>
          </cell>
          <cell r="AA5">
            <v>1.61</v>
          </cell>
          <cell r="AB5">
            <v>1.6546666666666667</v>
          </cell>
          <cell r="AC5">
            <v>1.6013333333333333</v>
          </cell>
          <cell r="AD5">
            <v>1.41</v>
          </cell>
          <cell r="AE5">
            <v>1.4153333333333333</v>
          </cell>
          <cell r="AF5">
            <v>1.56</v>
          </cell>
          <cell r="AG5">
            <v>1.6943333333333332</v>
          </cell>
          <cell r="AH5">
            <v>1.7423333333333333</v>
          </cell>
          <cell r="AI5">
            <v>1.554</v>
          </cell>
          <cell r="AJ5">
            <v>1.429</v>
          </cell>
          <cell r="AK5">
            <v>1.57</v>
          </cell>
          <cell r="AL5">
            <v>1.6180000000000001</v>
          </cell>
          <cell r="AM5">
            <v>1.7629999999999999</v>
          </cell>
          <cell r="AN5">
            <v>2.141</v>
          </cell>
          <cell r="AO5">
            <v>3.129</v>
          </cell>
          <cell r="AP5">
            <v>2.4260000000000002</v>
          </cell>
          <cell r="AQ5">
            <v>2.6053000000000002</v>
          </cell>
          <cell r="AR5">
            <v>2.794</v>
          </cell>
          <cell r="AS5">
            <v>2.2839999999999998</v>
          </cell>
          <cell r="AT5">
            <v>2.3422999999999998</v>
          </cell>
          <cell r="AU5">
            <v>2.6343000000000001</v>
          </cell>
          <cell r="AV5">
            <v>2.3570000000000002</v>
          </cell>
          <cell r="AW5">
            <v>1.9079999999999999</v>
          </cell>
          <cell r="AX5">
            <v>1.887</v>
          </cell>
          <cell r="AY5">
            <v>2.5710000000000002</v>
          </cell>
          <cell r="AZ5">
            <v>3.6110000000000002</v>
          </cell>
          <cell r="BA5">
            <v>4.2539999999999996</v>
          </cell>
          <cell r="BB5">
            <v>2.8679999999999999</v>
          </cell>
          <cell r="BC5">
            <v>1.879</v>
          </cell>
          <cell r="BD5">
            <v>1.8460000000000001</v>
          </cell>
          <cell r="BE5">
            <v>2.0979999999999999</v>
          </cell>
          <cell r="BF5">
            <v>2.331</v>
          </cell>
          <cell r="BG5">
            <v>2.2189999999999999</v>
          </cell>
          <cell r="BH5">
            <v>2.1629999999999998</v>
          </cell>
          <cell r="BI5">
            <v>2.5059999999999998</v>
          </cell>
          <cell r="BJ5">
            <v>3.2210000000000001</v>
          </cell>
          <cell r="BK5">
            <v>3.5059999999999998</v>
          </cell>
          <cell r="BL5">
            <v>2.6819999999999999</v>
          </cell>
          <cell r="BM5">
            <v>2.2690000000000001</v>
          </cell>
          <cell r="BN5">
            <v>2.036</v>
          </cell>
          <cell r="BO5">
            <v>2.2270000000000003</v>
          </cell>
          <cell r="BP5">
            <v>2.3340000000000001</v>
          </cell>
          <cell r="BQ5">
            <v>2.2900000000000005</v>
          </cell>
          <cell r="BR5">
            <v>2.0686666666666667</v>
          </cell>
          <cell r="BS5">
            <v>2.3525999999999998</v>
          </cell>
          <cell r="BT5">
            <v>1.9530000000000001</v>
          </cell>
          <cell r="BU5">
            <v>1.754</v>
          </cell>
          <cell r="BV5">
            <v>2.13</v>
          </cell>
          <cell r="BW5">
            <v>2.1259999999999999</v>
          </cell>
          <cell r="BX5">
            <v>2.1360000000000001</v>
          </cell>
          <cell r="BY5">
            <v>1.8109999999999999</v>
          </cell>
          <cell r="BZ5">
            <v>1.746</v>
          </cell>
          <cell r="CA5">
            <v>1.6933333333333334</v>
          </cell>
          <cell r="CB5">
            <v>1.8470000000000002</v>
          </cell>
          <cell r="CC5">
            <v>2.3260000000000001</v>
          </cell>
          <cell r="CD5">
            <v>2.2010000000000001</v>
          </cell>
          <cell r="CE5">
            <v>2.2719999999999998</v>
          </cell>
          <cell r="CF5">
            <v>2.5720000000000001</v>
          </cell>
          <cell r="CG5">
            <v>2.9630000000000001</v>
          </cell>
        </row>
        <row r="6">
          <cell r="A6" t="str">
            <v>FD</v>
          </cell>
          <cell r="B6">
            <v>3</v>
          </cell>
          <cell r="C6">
            <v>2.4990000000000001</v>
          </cell>
          <cell r="D6">
            <v>2.3319999999999999</v>
          </cell>
          <cell r="E6">
            <v>2.0030000000000001</v>
          </cell>
          <cell r="F6">
            <v>1.6339999999999999</v>
          </cell>
          <cell r="G6">
            <v>1.9059999999999999</v>
          </cell>
          <cell r="H6">
            <v>2.2240000000000002</v>
          </cell>
          <cell r="I6">
            <v>2.758</v>
          </cell>
          <cell r="J6">
            <v>2.1190000000000002</v>
          </cell>
          <cell r="K6">
            <v>1.9179999999999999</v>
          </cell>
          <cell r="L6">
            <v>2.121</v>
          </cell>
          <cell r="M6">
            <v>2.4009999999999998</v>
          </cell>
          <cell r="N6">
            <v>2.0659999999999998</v>
          </cell>
          <cell r="O6">
            <v>2.1549999999999998</v>
          </cell>
          <cell r="P6">
            <v>2.3849999999999998</v>
          </cell>
          <cell r="Q6">
            <v>2.0219999999999998</v>
          </cell>
          <cell r="R6">
            <v>2.4700000000000002</v>
          </cell>
          <cell r="S6">
            <v>2.4180000000000001</v>
          </cell>
          <cell r="T6">
            <v>1.9810000000000001</v>
          </cell>
          <cell r="U6">
            <v>2.0760000000000001</v>
          </cell>
          <cell r="V6">
            <v>1.851</v>
          </cell>
          <cell r="W6">
            <v>1.966</v>
          </cell>
          <cell r="X6">
            <v>1.7889999999999999</v>
          </cell>
          <cell r="Y6">
            <v>1.484</v>
          </cell>
          <cell r="Z6">
            <v>1.4059999999999999</v>
          </cell>
          <cell r="AA6">
            <v>1.6830000000000001</v>
          </cell>
          <cell r="AB6">
            <v>1.661</v>
          </cell>
          <cell r="AC6">
            <v>1.639</v>
          </cell>
          <cell r="AD6">
            <v>1.4159999999999999</v>
          </cell>
          <cell r="AE6">
            <v>1.4279999999999999</v>
          </cell>
          <cell r="AF6">
            <v>1.5660000000000001</v>
          </cell>
          <cell r="AG6">
            <v>1.6719999999999999</v>
          </cell>
          <cell r="AH6">
            <v>1.7569999999999999</v>
          </cell>
          <cell r="AI6">
            <v>1.532</v>
          </cell>
          <cell r="AJ6">
            <v>1.385</v>
          </cell>
          <cell r="AK6">
            <v>1.575</v>
          </cell>
          <cell r="AL6">
            <v>1.6439999999999999</v>
          </cell>
          <cell r="AM6">
            <v>1.772</v>
          </cell>
          <cell r="AN6">
            <v>2.2410000000000001</v>
          </cell>
          <cell r="AO6">
            <v>3.448</v>
          </cell>
          <cell r="AP6">
            <v>2.34</v>
          </cell>
          <cell r="AQ6">
            <v>2.746</v>
          </cell>
          <cell r="AR6">
            <v>2.7789999999999999</v>
          </cell>
          <cell r="AS6">
            <v>2.2410000000000001</v>
          </cell>
          <cell r="AT6">
            <v>2.3610000000000002</v>
          </cell>
          <cell r="AU6">
            <v>2.6459999999999999</v>
          </cell>
          <cell r="AV6">
            <v>2.3220000000000001</v>
          </cell>
          <cell r="AW6">
            <v>1.853</v>
          </cell>
          <cell r="AX6">
            <v>1.8280000000000001</v>
          </cell>
          <cell r="AY6">
            <v>2.6520000000000001</v>
          </cell>
          <cell r="AZ6">
            <v>3.9009999999999998</v>
          </cell>
          <cell r="BA6">
            <v>3.9980000000000002</v>
          </cell>
          <cell r="BB6">
            <v>2.9860000000000002</v>
          </cell>
          <cell r="BC6">
            <v>1.78</v>
          </cell>
          <cell r="BD6">
            <v>1.8069999999999999</v>
          </cell>
          <cell r="BE6">
            <v>2.1219999999999999</v>
          </cell>
          <cell r="BF6">
            <v>2.3460000000000001</v>
          </cell>
          <cell r="BG6">
            <v>2.145</v>
          </cell>
          <cell r="BH6">
            <v>2.161</v>
          </cell>
          <cell r="BI6">
            <v>2.5150000000000001</v>
          </cell>
          <cell r="BJ6">
            <v>3.3460000000000001</v>
          </cell>
          <cell r="BK6">
            <v>3.266</v>
          </cell>
          <cell r="BL6">
            <v>2.577</v>
          </cell>
          <cell r="BM6">
            <v>2.3090000000000002</v>
          </cell>
          <cell r="BN6">
            <v>2.0009999999999999</v>
          </cell>
          <cell r="BO6">
            <v>2.286</v>
          </cell>
          <cell r="BP6">
            <v>2.2999999999999998</v>
          </cell>
          <cell r="BQ6">
            <v>2.262</v>
          </cell>
          <cell r="BR6">
            <v>2.0169999999999999</v>
          </cell>
          <cell r="BS6">
            <v>2.3580000000000001</v>
          </cell>
          <cell r="BT6">
            <v>1.9419999999999999</v>
          </cell>
          <cell r="BU6">
            <v>1.6719999999999999</v>
          </cell>
          <cell r="BV6">
            <v>2.0310000000000001</v>
          </cell>
          <cell r="BW6">
            <v>1.972</v>
          </cell>
          <cell r="BX6">
            <v>2.149</v>
          </cell>
          <cell r="BY6">
            <v>1.7649999999999999</v>
          </cell>
          <cell r="BZ6">
            <v>1.81</v>
          </cell>
          <cell r="CA6">
            <v>1.6659999999999999</v>
          </cell>
          <cell r="CB6">
            <v>1.8520000000000001</v>
          </cell>
          <cell r="CC6">
            <v>2.3479999999999999</v>
          </cell>
          <cell r="CD6">
            <v>2.226</v>
          </cell>
          <cell r="CE6">
            <v>2.262</v>
          </cell>
          <cell r="CF6">
            <v>2.601</v>
          </cell>
          <cell r="CG6">
            <v>2.9119999999999999</v>
          </cell>
        </row>
        <row r="7">
          <cell r="A7" t="str">
            <v>AECO-NT</v>
          </cell>
          <cell r="B7">
            <v>4</v>
          </cell>
          <cell r="C7">
            <v>1.1599999999999999</v>
          </cell>
          <cell r="D7">
            <v>1.48</v>
          </cell>
          <cell r="E7">
            <v>2.44</v>
          </cell>
          <cell r="F7">
            <v>1.46</v>
          </cell>
          <cell r="G7">
            <v>1.84</v>
          </cell>
          <cell r="H7">
            <v>1.77</v>
          </cell>
          <cell r="I7">
            <v>2.58</v>
          </cell>
          <cell r="J7">
            <v>1.35</v>
          </cell>
          <cell r="K7">
            <v>1.46</v>
          </cell>
          <cell r="L7">
            <v>1.23</v>
          </cell>
          <cell r="M7">
            <v>1.5</v>
          </cell>
          <cell r="N7">
            <v>1.39</v>
          </cell>
          <cell r="O7">
            <v>1.7927</v>
          </cell>
          <cell r="P7">
            <v>2.3016999999999999</v>
          </cell>
          <cell r="Q7">
            <v>1.9076</v>
          </cell>
          <cell r="R7">
            <v>1.6994</v>
          </cell>
          <cell r="S7">
            <v>1.9172</v>
          </cell>
          <cell r="T7">
            <v>1.5564</v>
          </cell>
          <cell r="U7">
            <v>1.5331999999999999</v>
          </cell>
          <cell r="V7">
            <v>1.4004000000000001</v>
          </cell>
          <cell r="W7">
            <v>1.4108000000000001</v>
          </cell>
          <cell r="X7">
            <v>1.3223100000000001</v>
          </cell>
          <cell r="Y7">
            <v>1.2150000000000001</v>
          </cell>
          <cell r="Z7">
            <v>1.1120000000000001</v>
          </cell>
          <cell r="AA7">
            <v>1.3184</v>
          </cell>
          <cell r="AB7">
            <v>1.3363</v>
          </cell>
          <cell r="AC7">
            <v>0.96619999999999995</v>
          </cell>
          <cell r="AD7">
            <v>0.72240000000000004</v>
          </cell>
          <cell r="AE7">
            <v>0.68799999999999994</v>
          </cell>
          <cell r="AF7">
            <v>0.76910000000000001</v>
          </cell>
          <cell r="AG7">
            <v>0.92100000000000004</v>
          </cell>
          <cell r="AH7">
            <v>0.94450000000000001</v>
          </cell>
          <cell r="AI7">
            <v>0.8347</v>
          </cell>
          <cell r="AJ7">
            <v>0.75749999999999995</v>
          </cell>
          <cell r="AK7">
            <v>0.81489999999999996</v>
          </cell>
          <cell r="AL7">
            <v>0.85150000000000003</v>
          </cell>
          <cell r="AM7">
            <v>0.94089999999999996</v>
          </cell>
          <cell r="AN7">
            <v>0.95679999999999998</v>
          </cell>
          <cell r="AO7">
            <v>1.0471999999999999</v>
          </cell>
          <cell r="AP7">
            <v>1.1489</v>
          </cell>
          <cell r="AQ7">
            <v>1.1039000000000001</v>
          </cell>
          <cell r="AR7">
            <v>1.0159</v>
          </cell>
          <cell r="AS7">
            <v>0.91900000000000004</v>
          </cell>
          <cell r="AT7">
            <v>0.82889999999999997</v>
          </cell>
          <cell r="AU7">
            <v>0.84</v>
          </cell>
          <cell r="AV7">
            <v>0.89829999999999999</v>
          </cell>
          <cell r="AW7">
            <v>0.87909999999999999</v>
          </cell>
          <cell r="AX7">
            <v>0.90549999999999997</v>
          </cell>
          <cell r="AY7">
            <v>1.1100000000000001</v>
          </cell>
          <cell r="AZ7">
            <v>1.58</v>
          </cell>
          <cell r="BA7">
            <v>1.68</v>
          </cell>
          <cell r="BC7">
            <v>1.78</v>
          </cell>
        </row>
        <row r="8">
          <cell r="A8" t="str">
            <v>ANR-LA</v>
          </cell>
          <cell r="B8">
            <v>5</v>
          </cell>
          <cell r="C8">
            <v>2.31</v>
          </cell>
          <cell r="D8">
            <v>2.2799999999999998</v>
          </cell>
          <cell r="E8">
            <v>1.9</v>
          </cell>
          <cell r="F8">
            <v>1.62</v>
          </cell>
          <cell r="G8">
            <v>1.85</v>
          </cell>
          <cell r="H8">
            <v>2.13</v>
          </cell>
          <cell r="I8">
            <v>2.7</v>
          </cell>
          <cell r="J8">
            <v>2.08</v>
          </cell>
          <cell r="K8">
            <v>1.95</v>
          </cell>
          <cell r="L8">
            <v>2.0299999999999998</v>
          </cell>
          <cell r="M8">
            <v>2.37</v>
          </cell>
          <cell r="N8">
            <v>2.06</v>
          </cell>
          <cell r="O8">
            <v>2.09</v>
          </cell>
          <cell r="P8">
            <v>2.31</v>
          </cell>
          <cell r="Q8">
            <v>2.04</v>
          </cell>
          <cell r="R8">
            <v>2.33</v>
          </cell>
          <cell r="S8">
            <v>2.3199999999999998</v>
          </cell>
          <cell r="T8">
            <v>1.93</v>
          </cell>
          <cell r="U8">
            <v>2.0099999999999998</v>
          </cell>
          <cell r="V8">
            <v>1.74</v>
          </cell>
          <cell r="W8">
            <v>1.85</v>
          </cell>
          <cell r="X8">
            <v>1.7</v>
          </cell>
          <cell r="Y8">
            <v>1.4</v>
          </cell>
          <cell r="Z8">
            <v>1.35</v>
          </cell>
          <cell r="AA8">
            <v>1.61</v>
          </cell>
          <cell r="AB8">
            <v>1.6</v>
          </cell>
          <cell r="AC8">
            <v>1.54</v>
          </cell>
          <cell r="AD8">
            <v>1.35</v>
          </cell>
          <cell r="AE8">
            <v>1.37</v>
          </cell>
          <cell r="AF8">
            <v>1.48</v>
          </cell>
          <cell r="AG8">
            <v>1.61</v>
          </cell>
          <cell r="AH8">
            <v>1.66</v>
          </cell>
          <cell r="AI8">
            <v>1.45</v>
          </cell>
          <cell r="AJ8">
            <v>1.3</v>
          </cell>
          <cell r="AK8">
            <v>1.51</v>
          </cell>
          <cell r="AL8">
            <v>1.6</v>
          </cell>
          <cell r="AM8">
            <v>1.76</v>
          </cell>
          <cell r="AN8">
            <v>2.1800000000000002</v>
          </cell>
          <cell r="AO8">
            <v>3.25</v>
          </cell>
          <cell r="AP8">
            <v>2.2999999999999998</v>
          </cell>
          <cell r="AQ8">
            <v>2.73</v>
          </cell>
          <cell r="AR8">
            <v>2.66</v>
          </cell>
          <cell r="AS8">
            <v>2.12</v>
          </cell>
          <cell r="AT8">
            <v>2.25</v>
          </cell>
          <cell r="AU8">
            <v>2.5499999999999998</v>
          </cell>
          <cell r="AV8">
            <v>2.2200000000000002</v>
          </cell>
          <cell r="AW8">
            <v>1.74</v>
          </cell>
          <cell r="AX8">
            <v>1.75</v>
          </cell>
          <cell r="AY8">
            <v>2.63</v>
          </cell>
          <cell r="AZ8">
            <v>3.74</v>
          </cell>
          <cell r="BA8">
            <v>3.85</v>
          </cell>
          <cell r="BB8">
            <v>2.81</v>
          </cell>
          <cell r="BC8">
            <v>1.78</v>
          </cell>
          <cell r="BD8">
            <v>1.75</v>
          </cell>
          <cell r="BE8">
            <v>2.06</v>
          </cell>
          <cell r="BF8">
            <v>2.2400000000000002</v>
          </cell>
          <cell r="BG8">
            <v>2.08</v>
          </cell>
          <cell r="BH8">
            <v>2.12</v>
          </cell>
          <cell r="BI8">
            <v>2.4900000000000002</v>
          </cell>
          <cell r="BJ8">
            <v>3.06</v>
          </cell>
          <cell r="BK8">
            <v>3.18</v>
          </cell>
          <cell r="BL8">
            <v>2.4300000000000002</v>
          </cell>
          <cell r="BM8">
            <v>2.17</v>
          </cell>
          <cell r="BN8">
            <v>1.91</v>
          </cell>
          <cell r="BO8">
            <v>2.1800000000000002</v>
          </cell>
          <cell r="BP8">
            <v>2.2200000000000002</v>
          </cell>
          <cell r="BQ8">
            <v>2.19</v>
          </cell>
          <cell r="BR8">
            <v>1.95</v>
          </cell>
          <cell r="BS8">
            <v>2.27</v>
          </cell>
          <cell r="BT8">
            <v>1.83</v>
          </cell>
          <cell r="BU8">
            <v>1.51</v>
          </cell>
          <cell r="BV8">
            <v>1.94</v>
          </cell>
          <cell r="BW8">
            <v>1.91</v>
          </cell>
          <cell r="BX8">
            <v>2.06</v>
          </cell>
          <cell r="BY8">
            <v>1.71</v>
          </cell>
          <cell r="BZ8">
            <v>1.75</v>
          </cell>
          <cell r="CA8">
            <v>1.58</v>
          </cell>
          <cell r="CB8">
            <v>1.83</v>
          </cell>
          <cell r="CC8">
            <v>2.2999999999999998</v>
          </cell>
          <cell r="CD8">
            <v>2.16</v>
          </cell>
          <cell r="CE8">
            <v>2.2000000000000002</v>
          </cell>
          <cell r="CF8">
            <v>2.5499999999999998</v>
          </cell>
          <cell r="CG8">
            <v>2.83</v>
          </cell>
        </row>
        <row r="9">
          <cell r="A9" t="str">
            <v>ANR-OK</v>
          </cell>
          <cell r="B9">
            <v>6</v>
          </cell>
          <cell r="C9">
            <v>2.15</v>
          </cell>
          <cell r="D9">
            <v>2.0499999999999998</v>
          </cell>
          <cell r="E9">
            <v>1.9</v>
          </cell>
          <cell r="F9">
            <v>1.6</v>
          </cell>
          <cell r="G9">
            <v>1.82</v>
          </cell>
          <cell r="H9">
            <v>2.08</v>
          </cell>
          <cell r="I9">
            <v>2.62</v>
          </cell>
          <cell r="J9">
            <v>1.95</v>
          </cell>
          <cell r="K9">
            <v>1.79</v>
          </cell>
          <cell r="L9">
            <v>1.91</v>
          </cell>
          <cell r="M9">
            <v>2.2000000000000002</v>
          </cell>
          <cell r="N9">
            <v>1.9</v>
          </cell>
          <cell r="O9">
            <v>1.9</v>
          </cell>
          <cell r="P9">
            <v>2.23</v>
          </cell>
          <cell r="Q9">
            <v>1.96</v>
          </cell>
          <cell r="R9">
            <v>2.12</v>
          </cell>
          <cell r="S9">
            <v>2.14</v>
          </cell>
          <cell r="T9">
            <v>1.81</v>
          </cell>
          <cell r="U9">
            <v>1.84</v>
          </cell>
          <cell r="V9">
            <v>1.59</v>
          </cell>
          <cell r="W9">
            <v>1.67</v>
          </cell>
          <cell r="X9">
            <v>1.57</v>
          </cell>
          <cell r="Y9">
            <v>1.4</v>
          </cell>
          <cell r="Z9">
            <v>1.3</v>
          </cell>
          <cell r="AA9">
            <v>1.51</v>
          </cell>
          <cell r="AB9">
            <v>1.6</v>
          </cell>
          <cell r="AC9">
            <v>1.51</v>
          </cell>
          <cell r="AD9">
            <v>1.27</v>
          </cell>
          <cell r="AE9">
            <v>1.26</v>
          </cell>
          <cell r="AF9">
            <v>1.34</v>
          </cell>
          <cell r="AG9">
            <v>1.45</v>
          </cell>
          <cell r="AH9">
            <v>1.46</v>
          </cell>
          <cell r="AI9">
            <v>1.25</v>
          </cell>
          <cell r="AJ9">
            <v>1.19</v>
          </cell>
          <cell r="AK9">
            <v>1.41</v>
          </cell>
          <cell r="AL9">
            <v>1.5</v>
          </cell>
          <cell r="AM9">
            <v>1.61</v>
          </cell>
          <cell r="AN9">
            <v>1.88</v>
          </cell>
          <cell r="AO9">
            <v>2.02</v>
          </cell>
          <cell r="AP9">
            <v>1.79</v>
          </cell>
          <cell r="AQ9">
            <v>1.9</v>
          </cell>
          <cell r="AR9">
            <v>2.14</v>
          </cell>
          <cell r="AS9">
            <v>2.0099999999999998</v>
          </cell>
          <cell r="AT9">
            <v>2.0499999999999998</v>
          </cell>
          <cell r="AU9">
            <v>2.1800000000000002</v>
          </cell>
          <cell r="AV9">
            <v>2.14</v>
          </cell>
          <cell r="AW9">
            <v>1.67</v>
          </cell>
          <cell r="AX9">
            <v>1.69</v>
          </cell>
          <cell r="AY9">
            <v>2.5</v>
          </cell>
          <cell r="AZ9">
            <v>3.6</v>
          </cell>
          <cell r="BA9">
            <v>4.2</v>
          </cell>
          <cell r="BB9">
            <v>2.77</v>
          </cell>
          <cell r="BC9">
            <v>1.63</v>
          </cell>
          <cell r="BD9">
            <v>1.71</v>
          </cell>
          <cell r="BE9">
            <v>1.96</v>
          </cell>
          <cell r="BF9">
            <v>2.13</v>
          </cell>
          <cell r="BG9">
            <v>2.0099999999999998</v>
          </cell>
          <cell r="BH9">
            <v>2.06</v>
          </cell>
          <cell r="BI9">
            <v>2.42</v>
          </cell>
          <cell r="BJ9">
            <v>3</v>
          </cell>
          <cell r="BK9">
            <v>3.16</v>
          </cell>
          <cell r="BL9">
            <v>2.35</v>
          </cell>
          <cell r="BM9">
            <v>2.16</v>
          </cell>
          <cell r="BN9">
            <v>1.92</v>
          </cell>
          <cell r="BO9">
            <v>2.15</v>
          </cell>
          <cell r="BP9">
            <v>2.19</v>
          </cell>
          <cell r="BQ9">
            <v>2.1800000000000002</v>
          </cell>
          <cell r="BR9">
            <v>1.95</v>
          </cell>
          <cell r="BS9">
            <v>2.27</v>
          </cell>
          <cell r="BT9">
            <v>1.84</v>
          </cell>
          <cell r="BU9">
            <v>1.56</v>
          </cell>
          <cell r="BV9">
            <v>1.92</v>
          </cell>
          <cell r="BW9">
            <v>1.96</v>
          </cell>
          <cell r="BX9">
            <v>2.06</v>
          </cell>
          <cell r="BY9">
            <v>1.78</v>
          </cell>
          <cell r="BZ9">
            <v>1.76</v>
          </cell>
          <cell r="CA9">
            <v>1.57</v>
          </cell>
          <cell r="CB9">
            <v>1.75</v>
          </cell>
          <cell r="CC9">
            <v>2.23</v>
          </cell>
          <cell r="CD9">
            <v>2.12</v>
          </cell>
          <cell r="CE9">
            <v>2.1800000000000002</v>
          </cell>
          <cell r="CF9">
            <v>2.5099999999999998</v>
          </cell>
          <cell r="CG9">
            <v>2.77</v>
          </cell>
        </row>
        <row r="10">
          <cell r="A10" t="str">
            <v>CG-APP</v>
          </cell>
          <cell r="B10">
            <v>7</v>
          </cell>
          <cell r="C10">
            <v>2.62</v>
          </cell>
          <cell r="D10">
            <v>2.7</v>
          </cell>
          <cell r="E10">
            <v>2.4300000000000002</v>
          </cell>
          <cell r="F10">
            <v>1.95</v>
          </cell>
          <cell r="G10">
            <v>2.17</v>
          </cell>
          <cell r="H10">
            <v>2.34</v>
          </cell>
          <cell r="I10">
            <v>2.93</v>
          </cell>
          <cell r="J10">
            <v>2.2999999999999998</v>
          </cell>
          <cell r="K10">
            <v>2.1</v>
          </cell>
          <cell r="L10">
            <v>2.2000000000000002</v>
          </cell>
          <cell r="M10">
            <v>2.52</v>
          </cell>
          <cell r="N10">
            <v>2.2000000000000002</v>
          </cell>
          <cell r="O10">
            <v>2.31</v>
          </cell>
          <cell r="P10">
            <v>2.63</v>
          </cell>
          <cell r="Q10">
            <v>2.2999999999999998</v>
          </cell>
          <cell r="R10">
            <v>2.68</v>
          </cell>
          <cell r="S10">
            <v>2.78</v>
          </cell>
          <cell r="T10">
            <v>2.2400000000000002</v>
          </cell>
          <cell r="U10">
            <v>2.2799999999999998</v>
          </cell>
          <cell r="V10">
            <v>1.98</v>
          </cell>
          <cell r="W10">
            <v>2.06</v>
          </cell>
          <cell r="X10">
            <v>1.88</v>
          </cell>
          <cell r="Y10">
            <v>1.56</v>
          </cell>
          <cell r="Z10">
            <v>1.51</v>
          </cell>
          <cell r="AA10">
            <v>1.84</v>
          </cell>
          <cell r="AB10">
            <v>1.93</v>
          </cell>
          <cell r="AC10">
            <v>1.88</v>
          </cell>
          <cell r="AD10">
            <v>1.64</v>
          </cell>
          <cell r="AE10">
            <v>1.6</v>
          </cell>
          <cell r="AF10">
            <v>1.67</v>
          </cell>
          <cell r="AG10">
            <v>1.81</v>
          </cell>
          <cell r="AH10">
            <v>1.84</v>
          </cell>
          <cell r="AI10">
            <v>1.6</v>
          </cell>
          <cell r="AJ10">
            <v>1.46</v>
          </cell>
          <cell r="AK10">
            <v>1.67</v>
          </cell>
          <cell r="AL10">
            <v>1.76</v>
          </cell>
          <cell r="AM10">
            <v>1.95</v>
          </cell>
          <cell r="AN10">
            <v>2.5</v>
          </cell>
          <cell r="AO10">
            <v>3.7</v>
          </cell>
          <cell r="AP10">
            <v>3.67</v>
          </cell>
          <cell r="AQ10">
            <v>4.5599999999999996</v>
          </cell>
          <cell r="AR10">
            <v>3.06</v>
          </cell>
          <cell r="AS10">
            <v>2.4300000000000002</v>
          </cell>
          <cell r="AT10">
            <v>2.5299999999999998</v>
          </cell>
          <cell r="AU10">
            <v>2.86</v>
          </cell>
          <cell r="AV10">
            <v>2.5</v>
          </cell>
          <cell r="AW10">
            <v>1.93</v>
          </cell>
          <cell r="AX10">
            <v>1.99</v>
          </cell>
          <cell r="AY10">
            <v>2.94</v>
          </cell>
          <cell r="AZ10">
            <v>4.2300000000000004</v>
          </cell>
          <cell r="BA10">
            <v>4.3</v>
          </cell>
          <cell r="BB10">
            <v>3.06</v>
          </cell>
          <cell r="BC10">
            <v>1.87</v>
          </cell>
          <cell r="BD10">
            <v>2</v>
          </cell>
          <cell r="BE10">
            <v>2.31</v>
          </cell>
          <cell r="BF10">
            <v>2.46</v>
          </cell>
          <cell r="BG10">
            <v>2.29</v>
          </cell>
          <cell r="BH10">
            <v>2.31</v>
          </cell>
          <cell r="BI10">
            <v>2.69</v>
          </cell>
          <cell r="BJ10">
            <v>3.29</v>
          </cell>
          <cell r="BK10">
            <v>3.52</v>
          </cell>
          <cell r="BL10">
            <v>2.66</v>
          </cell>
          <cell r="BM10">
            <v>2.38</v>
          </cell>
          <cell r="BN10">
            <v>2.12</v>
          </cell>
          <cell r="BO10">
            <v>2.37</v>
          </cell>
          <cell r="BP10">
            <v>2.4500000000000002</v>
          </cell>
          <cell r="BQ10">
            <v>2.42</v>
          </cell>
          <cell r="BR10">
            <v>2.16</v>
          </cell>
          <cell r="BS10">
            <v>2.4700000000000002</v>
          </cell>
          <cell r="BT10">
            <v>2.0499999999999998</v>
          </cell>
          <cell r="BU10">
            <v>1.77</v>
          </cell>
          <cell r="BV10">
            <v>2.2000000000000002</v>
          </cell>
          <cell r="BW10">
            <v>2.2400000000000002</v>
          </cell>
          <cell r="BX10">
            <v>2.25</v>
          </cell>
          <cell r="BY10">
            <v>1.92</v>
          </cell>
          <cell r="BZ10">
            <v>1.92</v>
          </cell>
          <cell r="CA10">
            <v>1.73</v>
          </cell>
          <cell r="CB10">
            <v>2.0499999999999998</v>
          </cell>
          <cell r="CC10">
            <v>2.5</v>
          </cell>
          <cell r="CD10">
            <v>2.35</v>
          </cell>
          <cell r="CE10">
            <v>2.39</v>
          </cell>
          <cell r="CF10">
            <v>2.78</v>
          </cell>
          <cell r="CG10">
            <v>3.03</v>
          </cell>
        </row>
        <row r="11">
          <cell r="A11" t="str">
            <v>CGLF-LA</v>
          </cell>
          <cell r="B11">
            <v>8</v>
          </cell>
          <cell r="C11">
            <v>2.36</v>
          </cell>
          <cell r="D11">
            <v>2.2999999999999998</v>
          </cell>
          <cell r="E11">
            <v>1.93</v>
          </cell>
          <cell r="F11">
            <v>1.62</v>
          </cell>
          <cell r="G11">
            <v>1.88</v>
          </cell>
          <cell r="H11">
            <v>2.2000000000000002</v>
          </cell>
          <cell r="I11">
            <v>2.7</v>
          </cell>
          <cell r="J11">
            <v>2.1</v>
          </cell>
          <cell r="K11">
            <v>1.95</v>
          </cell>
          <cell r="L11">
            <v>2.0699999999999998</v>
          </cell>
          <cell r="M11">
            <v>2.37</v>
          </cell>
          <cell r="N11">
            <v>2.0499999999999998</v>
          </cell>
          <cell r="O11">
            <v>2.12</v>
          </cell>
          <cell r="P11">
            <v>2.38</v>
          </cell>
          <cell r="Q11">
            <v>2.0499999999999998</v>
          </cell>
          <cell r="R11">
            <v>2.36</v>
          </cell>
          <cell r="S11">
            <v>2.35</v>
          </cell>
          <cell r="T11">
            <v>1.99</v>
          </cell>
          <cell r="U11">
            <v>2.0499999999999998</v>
          </cell>
          <cell r="V11">
            <v>1.81</v>
          </cell>
          <cell r="W11">
            <v>1.94</v>
          </cell>
          <cell r="X11">
            <v>1.77</v>
          </cell>
          <cell r="Y11">
            <v>1.45</v>
          </cell>
          <cell r="Z11">
            <v>1.39</v>
          </cell>
          <cell r="AA11">
            <v>1.67</v>
          </cell>
          <cell r="AB11">
            <v>1.65</v>
          </cell>
          <cell r="AC11">
            <v>1.59</v>
          </cell>
          <cell r="AD11">
            <v>1.38</v>
          </cell>
          <cell r="AE11">
            <v>1.42</v>
          </cell>
          <cell r="AF11">
            <v>1.53</v>
          </cell>
          <cell r="AG11">
            <v>1.64</v>
          </cell>
          <cell r="AH11">
            <v>1.69</v>
          </cell>
          <cell r="AI11">
            <v>1.46</v>
          </cell>
          <cell r="AJ11">
            <v>1.34</v>
          </cell>
          <cell r="AK11">
            <v>1.54</v>
          </cell>
          <cell r="AL11">
            <v>1.62</v>
          </cell>
          <cell r="AM11">
            <v>1.75</v>
          </cell>
          <cell r="AN11">
            <v>2.2400000000000002</v>
          </cell>
          <cell r="AO11">
            <v>3.35</v>
          </cell>
          <cell r="AP11">
            <v>2.34</v>
          </cell>
          <cell r="AQ11">
            <v>2.85</v>
          </cell>
          <cell r="AR11">
            <v>2.62</v>
          </cell>
          <cell r="AS11">
            <v>2.2000000000000002</v>
          </cell>
          <cell r="AT11">
            <v>2.33</v>
          </cell>
          <cell r="AU11">
            <v>2.62</v>
          </cell>
          <cell r="AV11">
            <v>2.27</v>
          </cell>
          <cell r="AW11">
            <v>1.77</v>
          </cell>
          <cell r="AX11">
            <v>1.81</v>
          </cell>
          <cell r="AY11">
            <v>2.65</v>
          </cell>
          <cell r="AZ11">
            <v>3.82</v>
          </cell>
          <cell r="BA11">
            <v>3.94</v>
          </cell>
          <cell r="BB11">
            <v>2.89</v>
          </cell>
          <cell r="BC11">
            <v>1.74</v>
          </cell>
          <cell r="BD11">
            <v>1.8</v>
          </cell>
          <cell r="BE11">
            <v>2.1</v>
          </cell>
          <cell r="BF11">
            <v>2.27</v>
          </cell>
          <cell r="BG11">
            <v>2.13</v>
          </cell>
          <cell r="BH11">
            <v>2.15</v>
          </cell>
          <cell r="BI11">
            <v>2.5099999999999998</v>
          </cell>
          <cell r="BJ11">
            <v>3.09</v>
          </cell>
          <cell r="BK11">
            <v>3.26</v>
          </cell>
          <cell r="BL11">
            <v>2.5</v>
          </cell>
          <cell r="BM11">
            <v>2.2400000000000002</v>
          </cell>
          <cell r="BN11">
            <v>1.99</v>
          </cell>
          <cell r="BO11">
            <v>2.2200000000000002</v>
          </cell>
          <cell r="BP11">
            <v>2.29</v>
          </cell>
          <cell r="BQ11">
            <v>2.25</v>
          </cell>
          <cell r="BR11">
            <v>2</v>
          </cell>
          <cell r="BS11">
            <v>2.33</v>
          </cell>
          <cell r="BT11">
            <v>1.9</v>
          </cell>
          <cell r="BU11">
            <v>1.58</v>
          </cell>
          <cell r="BV11">
            <v>2.02</v>
          </cell>
          <cell r="BW11">
            <v>1.96</v>
          </cell>
          <cell r="BX11">
            <v>2.08</v>
          </cell>
          <cell r="BY11">
            <v>1.75</v>
          </cell>
          <cell r="BZ11">
            <v>1.77</v>
          </cell>
          <cell r="CA11">
            <v>1.6</v>
          </cell>
          <cell r="CB11">
            <v>1.86</v>
          </cell>
          <cell r="CC11">
            <v>2.33</v>
          </cell>
          <cell r="CD11">
            <v>2.2000000000000002</v>
          </cell>
          <cell r="CE11">
            <v>2.2400000000000002</v>
          </cell>
          <cell r="CF11">
            <v>2.58</v>
          </cell>
          <cell r="CG11">
            <v>2.86</v>
          </cell>
        </row>
        <row r="12">
          <cell r="A12" t="str">
            <v>CGLF-OFS</v>
          </cell>
          <cell r="B12">
            <v>9</v>
          </cell>
          <cell r="C12">
            <v>2.23</v>
          </cell>
          <cell r="E12">
            <v>1.83</v>
          </cell>
          <cell r="F12">
            <v>1.54</v>
          </cell>
          <cell r="G12">
            <v>1.79</v>
          </cell>
          <cell r="H12">
            <v>2.1</v>
          </cell>
          <cell r="I12">
            <v>2.6</v>
          </cell>
          <cell r="J12">
            <v>2.0299999999999998</v>
          </cell>
          <cell r="K12">
            <v>1.86</v>
          </cell>
          <cell r="L12">
            <v>1.98</v>
          </cell>
          <cell r="M12">
            <v>2.2799999999999998</v>
          </cell>
          <cell r="N12">
            <v>1.97</v>
          </cell>
          <cell r="O12">
            <v>2.0299999999999998</v>
          </cell>
          <cell r="P12">
            <v>2.2999999999999998</v>
          </cell>
          <cell r="Q12">
            <v>2.02</v>
          </cell>
          <cell r="S12">
            <v>2.2799999999999998</v>
          </cell>
          <cell r="T12">
            <v>1.91</v>
          </cell>
          <cell r="V12">
            <v>1.73</v>
          </cell>
          <cell r="W12">
            <v>1.87</v>
          </cell>
          <cell r="X12">
            <v>1.71</v>
          </cell>
          <cell r="Z12">
            <v>1.29</v>
          </cell>
          <cell r="AB12">
            <v>1.56</v>
          </cell>
          <cell r="AC12">
            <v>1.49</v>
          </cell>
          <cell r="AD12">
            <v>1.3</v>
          </cell>
          <cell r="AE12">
            <v>1.35</v>
          </cell>
          <cell r="AF12">
            <v>1.44</v>
          </cell>
          <cell r="AG12">
            <v>1.58</v>
          </cell>
          <cell r="AH12">
            <v>1.6</v>
          </cell>
          <cell r="BB12">
            <v>2.79</v>
          </cell>
          <cell r="BC12">
            <v>1.66</v>
          </cell>
          <cell r="BD12">
            <v>1.81</v>
          </cell>
          <cell r="BE12">
            <v>2.0299999999999998</v>
          </cell>
          <cell r="BF12">
            <v>2.17</v>
          </cell>
          <cell r="BG12">
            <v>2.1800000000000002</v>
          </cell>
          <cell r="BH12">
            <v>2.19</v>
          </cell>
        </row>
        <row r="13">
          <cell r="A13" t="str">
            <v>CHIC</v>
          </cell>
          <cell r="B13">
            <v>10</v>
          </cell>
          <cell r="C13">
            <v>2.46</v>
          </cell>
          <cell r="D13">
            <v>2.4</v>
          </cell>
          <cell r="E13">
            <v>2.2200000000000002</v>
          </cell>
          <cell r="F13">
            <v>1.83</v>
          </cell>
          <cell r="G13">
            <v>2.11</v>
          </cell>
          <cell r="H13">
            <v>2.41</v>
          </cell>
          <cell r="I13">
            <v>2.92</v>
          </cell>
          <cell r="J13">
            <v>2.15</v>
          </cell>
          <cell r="K13">
            <v>2.14</v>
          </cell>
          <cell r="L13">
            <v>2.2799999999999998</v>
          </cell>
          <cell r="M13">
            <v>2.5299999999999998</v>
          </cell>
          <cell r="N13">
            <v>2.31</v>
          </cell>
          <cell r="O13">
            <v>2.29</v>
          </cell>
          <cell r="P13">
            <v>2.5299999999999998</v>
          </cell>
          <cell r="Q13">
            <v>2.21</v>
          </cell>
          <cell r="R13">
            <v>2.5499999999999998</v>
          </cell>
          <cell r="S13">
            <v>2.61</v>
          </cell>
          <cell r="T13">
            <v>2.17</v>
          </cell>
          <cell r="U13">
            <v>2.1800000000000002</v>
          </cell>
          <cell r="V13">
            <v>1.92</v>
          </cell>
          <cell r="W13">
            <v>2.0299999999999998</v>
          </cell>
          <cell r="X13">
            <v>1.87</v>
          </cell>
          <cell r="Y13">
            <v>1.59</v>
          </cell>
          <cell r="Z13">
            <v>1.51</v>
          </cell>
          <cell r="AA13">
            <v>1.81</v>
          </cell>
          <cell r="AB13">
            <v>1.81</v>
          </cell>
          <cell r="AC13">
            <v>1.73</v>
          </cell>
          <cell r="AD13">
            <v>1.5</v>
          </cell>
          <cell r="AE13">
            <v>1.47</v>
          </cell>
          <cell r="AF13">
            <v>1.56</v>
          </cell>
          <cell r="AG13">
            <v>1.7</v>
          </cell>
          <cell r="AH13">
            <v>1.75</v>
          </cell>
          <cell r="AI13">
            <v>1.55</v>
          </cell>
          <cell r="AJ13">
            <v>1.41</v>
          </cell>
          <cell r="AK13">
            <v>1.61</v>
          </cell>
          <cell r="AL13">
            <v>1.72</v>
          </cell>
          <cell r="AM13">
            <v>1.91</v>
          </cell>
          <cell r="AN13">
            <v>2.41</v>
          </cell>
          <cell r="AO13">
            <v>3.31</v>
          </cell>
          <cell r="AP13">
            <v>2.64</v>
          </cell>
          <cell r="AQ13">
            <v>3.2</v>
          </cell>
          <cell r="AR13">
            <v>2.81</v>
          </cell>
          <cell r="AS13">
            <v>2.2999999999999998</v>
          </cell>
          <cell r="AT13">
            <v>2.4</v>
          </cell>
          <cell r="AU13">
            <v>2.64</v>
          </cell>
          <cell r="AV13">
            <v>2.36</v>
          </cell>
          <cell r="AW13">
            <v>1.94</v>
          </cell>
          <cell r="AX13">
            <v>1.98</v>
          </cell>
          <cell r="AY13">
            <v>2.95</v>
          </cell>
          <cell r="AZ13">
            <v>4.25</v>
          </cell>
          <cell r="BA13">
            <v>4.53</v>
          </cell>
          <cell r="BB13">
            <v>3.36</v>
          </cell>
          <cell r="BC13">
            <v>1.91</v>
          </cell>
          <cell r="BD13">
            <v>1.95</v>
          </cell>
          <cell r="BE13">
            <v>2.19</v>
          </cell>
          <cell r="BF13">
            <v>2.38</v>
          </cell>
          <cell r="BG13">
            <v>2.2400000000000002</v>
          </cell>
          <cell r="BH13">
            <v>2.23</v>
          </cell>
          <cell r="BI13">
            <v>2.63</v>
          </cell>
          <cell r="BJ13">
            <v>3.34</v>
          </cell>
          <cell r="BK13">
            <v>3.55</v>
          </cell>
          <cell r="BL13">
            <v>3.55</v>
          </cell>
          <cell r="BM13">
            <v>2.37</v>
          </cell>
          <cell r="BN13">
            <v>2.09</v>
          </cell>
          <cell r="BO13">
            <v>2.2999999999999998</v>
          </cell>
          <cell r="BP13">
            <v>2.38</v>
          </cell>
          <cell r="BQ13">
            <v>2.36</v>
          </cell>
          <cell r="BR13">
            <v>2.13</v>
          </cell>
          <cell r="BS13">
            <v>2.42</v>
          </cell>
          <cell r="CG13">
            <v>2.96</v>
          </cell>
        </row>
        <row r="14">
          <cell r="A14" t="str">
            <v>CIG-ROCK</v>
          </cell>
          <cell r="B14">
            <v>11</v>
          </cell>
          <cell r="C14">
            <v>1.83</v>
          </cell>
          <cell r="D14">
            <v>1.88</v>
          </cell>
          <cell r="E14">
            <v>2.15</v>
          </cell>
          <cell r="F14">
            <v>1.6</v>
          </cell>
          <cell r="G14">
            <v>1.73</v>
          </cell>
          <cell r="H14">
            <v>1.8</v>
          </cell>
          <cell r="I14">
            <v>2.2000000000000002</v>
          </cell>
          <cell r="J14">
            <v>1.56</v>
          </cell>
          <cell r="K14">
            <v>1.5</v>
          </cell>
          <cell r="L14">
            <v>1.65</v>
          </cell>
          <cell r="M14">
            <v>1.88</v>
          </cell>
          <cell r="N14">
            <v>1.71</v>
          </cell>
          <cell r="O14">
            <v>1.7</v>
          </cell>
          <cell r="P14">
            <v>2.23</v>
          </cell>
          <cell r="Q14">
            <v>1.88</v>
          </cell>
          <cell r="R14">
            <v>1.76</v>
          </cell>
          <cell r="S14">
            <v>1.86</v>
          </cell>
          <cell r="T14">
            <v>1.52</v>
          </cell>
          <cell r="U14">
            <v>1.55</v>
          </cell>
          <cell r="V14">
            <v>1.32</v>
          </cell>
          <cell r="W14">
            <v>1.39</v>
          </cell>
          <cell r="X14">
            <v>1.39</v>
          </cell>
          <cell r="Y14">
            <v>1.33</v>
          </cell>
          <cell r="Z14">
            <v>1.1599999999999999</v>
          </cell>
          <cell r="AA14">
            <v>1.44</v>
          </cell>
          <cell r="AB14">
            <v>1.57</v>
          </cell>
          <cell r="AC14">
            <v>1.35</v>
          </cell>
          <cell r="AD14">
            <v>1.06</v>
          </cell>
          <cell r="AE14">
            <v>1.05</v>
          </cell>
          <cell r="AF14">
            <v>1.05</v>
          </cell>
          <cell r="AG14">
            <v>1.07</v>
          </cell>
          <cell r="AH14">
            <v>1.1399999999999999</v>
          </cell>
          <cell r="AI14">
            <v>0.98</v>
          </cell>
          <cell r="AJ14">
            <v>0.84</v>
          </cell>
          <cell r="AK14">
            <v>0.95</v>
          </cell>
          <cell r="AL14">
            <v>1.04</v>
          </cell>
          <cell r="AM14">
            <v>1.25</v>
          </cell>
          <cell r="AN14">
            <v>1.31</v>
          </cell>
          <cell r="AO14">
            <v>1.26</v>
          </cell>
          <cell r="AP14">
            <v>1.1599999999999999</v>
          </cell>
          <cell r="AQ14">
            <v>1.1599999999999999</v>
          </cell>
          <cell r="AR14">
            <v>1.06</v>
          </cell>
          <cell r="AS14">
            <v>1.06</v>
          </cell>
          <cell r="AT14">
            <v>1.06</v>
          </cell>
          <cell r="AU14">
            <v>1.18</v>
          </cell>
          <cell r="AV14">
            <v>1.21</v>
          </cell>
          <cell r="AW14">
            <v>1.19</v>
          </cell>
          <cell r="AX14">
            <v>1.25</v>
          </cell>
          <cell r="AY14">
            <v>2.25</v>
          </cell>
          <cell r="AZ14">
            <v>3.5</v>
          </cell>
          <cell r="BA14">
            <v>4.18</v>
          </cell>
          <cell r="BB14">
            <v>2.5299999999999998</v>
          </cell>
          <cell r="BC14">
            <v>1.39</v>
          </cell>
          <cell r="BD14">
            <v>1.45</v>
          </cell>
          <cell r="BE14">
            <v>1.63</v>
          </cell>
          <cell r="BF14">
            <v>1.43</v>
          </cell>
          <cell r="BG14">
            <v>1.44</v>
          </cell>
          <cell r="BH14">
            <v>1.38</v>
          </cell>
          <cell r="BI14">
            <v>1.47</v>
          </cell>
          <cell r="BJ14">
            <v>2.1</v>
          </cell>
          <cell r="BK14">
            <v>2.99</v>
          </cell>
          <cell r="BL14">
            <v>1.94</v>
          </cell>
          <cell r="BM14">
            <v>2.04</v>
          </cell>
          <cell r="BN14">
            <v>1.7</v>
          </cell>
          <cell r="BO14">
            <v>1.88</v>
          </cell>
          <cell r="BP14">
            <v>1.9</v>
          </cell>
          <cell r="BQ14">
            <v>1.96</v>
          </cell>
          <cell r="BR14">
            <v>1.64</v>
          </cell>
          <cell r="BS14">
            <v>1.61</v>
          </cell>
          <cell r="BT14">
            <v>1.73</v>
          </cell>
          <cell r="BU14">
            <v>1.55</v>
          </cell>
          <cell r="BV14">
            <v>1.65</v>
          </cell>
          <cell r="BW14">
            <v>1.97</v>
          </cell>
          <cell r="BX14">
            <v>1.96</v>
          </cell>
          <cell r="BY14">
            <v>1.75</v>
          </cell>
          <cell r="BZ14">
            <v>1.61</v>
          </cell>
          <cell r="CA14">
            <v>1.49</v>
          </cell>
          <cell r="CB14">
            <v>1.53</v>
          </cell>
          <cell r="CC14">
            <v>1.98</v>
          </cell>
          <cell r="CD14">
            <v>1.93</v>
          </cell>
          <cell r="CE14">
            <v>1.97</v>
          </cell>
          <cell r="CF14">
            <v>2.16</v>
          </cell>
          <cell r="CG14">
            <v>2.52</v>
          </cell>
        </row>
        <row r="15">
          <cell r="A15" t="str">
            <v>CNG</v>
          </cell>
          <cell r="B15">
            <v>12</v>
          </cell>
          <cell r="H15">
            <v>2.54</v>
          </cell>
          <cell r="I15">
            <v>3</v>
          </cell>
          <cell r="J15">
            <v>2.25</v>
          </cell>
          <cell r="K15">
            <v>2.13</v>
          </cell>
          <cell r="L15">
            <v>2.23</v>
          </cell>
          <cell r="M15">
            <v>2.5299999999999998</v>
          </cell>
          <cell r="N15">
            <v>2.23</v>
          </cell>
          <cell r="O15">
            <v>2.36</v>
          </cell>
          <cell r="P15">
            <v>2.68</v>
          </cell>
          <cell r="Q15">
            <v>2.33</v>
          </cell>
          <cell r="R15">
            <v>2.75</v>
          </cell>
          <cell r="S15">
            <v>2.78</v>
          </cell>
          <cell r="T15">
            <v>2.23</v>
          </cell>
          <cell r="U15">
            <v>2.29</v>
          </cell>
          <cell r="V15">
            <v>1.99</v>
          </cell>
          <cell r="W15">
            <v>2.1</v>
          </cell>
          <cell r="X15">
            <v>1.9</v>
          </cell>
          <cell r="Y15">
            <v>1.55</v>
          </cell>
          <cell r="Z15">
            <v>1.5</v>
          </cell>
          <cell r="AA15">
            <v>1.83</v>
          </cell>
          <cell r="AB15">
            <v>1.93</v>
          </cell>
          <cell r="AC15">
            <v>1.87</v>
          </cell>
          <cell r="AD15">
            <v>1.65</v>
          </cell>
          <cell r="AE15">
            <v>1.62</v>
          </cell>
          <cell r="AF15">
            <v>1.68</v>
          </cell>
          <cell r="AG15">
            <v>1.83</v>
          </cell>
          <cell r="AH15">
            <v>1.86</v>
          </cell>
          <cell r="AI15">
            <v>1.62</v>
          </cell>
          <cell r="AJ15">
            <v>1.49</v>
          </cell>
          <cell r="AK15">
            <v>1.68</v>
          </cell>
          <cell r="AL15">
            <v>1.77</v>
          </cell>
          <cell r="AM15">
            <v>1.97</v>
          </cell>
          <cell r="AN15">
            <v>2.5299999999999998</v>
          </cell>
          <cell r="AO15">
            <v>3.8</v>
          </cell>
          <cell r="AP15">
            <v>3.67</v>
          </cell>
          <cell r="AQ15">
            <v>4.95</v>
          </cell>
          <cell r="AR15">
            <v>3.21</v>
          </cell>
          <cell r="AS15">
            <v>2.4300000000000002</v>
          </cell>
          <cell r="AT15">
            <v>2.54</v>
          </cell>
          <cell r="AU15">
            <v>2.86</v>
          </cell>
          <cell r="AV15">
            <v>2.5</v>
          </cell>
          <cell r="AW15">
            <v>1.94</v>
          </cell>
          <cell r="AX15">
            <v>1.99</v>
          </cell>
          <cell r="AY15">
            <v>3.05</v>
          </cell>
          <cell r="AZ15">
            <v>4.5</v>
          </cell>
          <cell r="BA15">
            <v>4.5</v>
          </cell>
          <cell r="BB15">
            <v>3.2</v>
          </cell>
          <cell r="BC15">
            <v>1.93</v>
          </cell>
          <cell r="BD15">
            <v>2.02</v>
          </cell>
          <cell r="BE15">
            <v>2.33</v>
          </cell>
          <cell r="BF15">
            <v>2.46</v>
          </cell>
          <cell r="BG15">
            <v>2.31</v>
          </cell>
          <cell r="BH15">
            <v>2.33</v>
          </cell>
          <cell r="BI15">
            <v>2.71</v>
          </cell>
          <cell r="BJ15">
            <v>3.32</v>
          </cell>
          <cell r="BK15">
            <v>3.59</v>
          </cell>
          <cell r="BL15">
            <v>2.7</v>
          </cell>
          <cell r="BM15">
            <v>2.44</v>
          </cell>
          <cell r="BN15">
            <v>2.15</v>
          </cell>
          <cell r="BO15">
            <v>2.4</v>
          </cell>
          <cell r="BP15">
            <v>2.5</v>
          </cell>
          <cell r="BQ15">
            <v>2.46</v>
          </cell>
          <cell r="BR15">
            <v>2.19</v>
          </cell>
          <cell r="BS15">
            <v>2.4700000000000002</v>
          </cell>
          <cell r="BT15">
            <v>2.06</v>
          </cell>
          <cell r="BU15">
            <v>1.79</v>
          </cell>
          <cell r="BV15">
            <v>2.2200000000000002</v>
          </cell>
          <cell r="BW15">
            <v>2.25</v>
          </cell>
          <cell r="BX15">
            <v>2.23</v>
          </cell>
          <cell r="BY15">
            <v>1.95</v>
          </cell>
          <cell r="BZ15">
            <v>1.95</v>
          </cell>
          <cell r="CA15">
            <v>1.78</v>
          </cell>
          <cell r="CB15">
            <v>2.09</v>
          </cell>
          <cell r="CC15">
            <v>2.5099999999999998</v>
          </cell>
          <cell r="CD15">
            <v>2.35</v>
          </cell>
          <cell r="CE15">
            <v>2.42</v>
          </cell>
          <cell r="CF15">
            <v>2.8</v>
          </cell>
          <cell r="CG15">
            <v>3.07</v>
          </cell>
        </row>
        <row r="16">
          <cell r="A16" t="str">
            <v>EPNG-PERM</v>
          </cell>
          <cell r="B16">
            <v>13</v>
          </cell>
          <cell r="C16">
            <v>2.12</v>
          </cell>
          <cell r="D16">
            <v>2.04</v>
          </cell>
          <cell r="E16">
            <v>2.04</v>
          </cell>
          <cell r="F16">
            <v>1.57</v>
          </cell>
          <cell r="G16">
            <v>1.83</v>
          </cell>
          <cell r="H16">
            <v>1.89</v>
          </cell>
          <cell r="I16">
            <v>2.2000000000000002</v>
          </cell>
          <cell r="J16">
            <v>1.65</v>
          </cell>
          <cell r="K16">
            <v>1.78</v>
          </cell>
          <cell r="L16">
            <v>1.88</v>
          </cell>
          <cell r="M16">
            <v>2.0299999999999998</v>
          </cell>
          <cell r="N16">
            <v>1.77</v>
          </cell>
          <cell r="O16">
            <v>1.77</v>
          </cell>
          <cell r="P16">
            <v>2.25</v>
          </cell>
          <cell r="Q16">
            <v>1.93</v>
          </cell>
          <cell r="R16">
            <v>1.88</v>
          </cell>
          <cell r="S16">
            <v>2</v>
          </cell>
          <cell r="T16">
            <v>1.75</v>
          </cell>
          <cell r="U16">
            <v>1.75</v>
          </cell>
          <cell r="V16">
            <v>1.5</v>
          </cell>
          <cell r="W16">
            <v>1.65</v>
          </cell>
          <cell r="X16">
            <v>1.57</v>
          </cell>
          <cell r="Y16">
            <v>1.44</v>
          </cell>
          <cell r="Z16">
            <v>1.22</v>
          </cell>
          <cell r="AA16">
            <v>1.47</v>
          </cell>
          <cell r="AB16">
            <v>1.64</v>
          </cell>
          <cell r="AC16">
            <v>1.46</v>
          </cell>
          <cell r="AD16">
            <v>1.17</v>
          </cell>
          <cell r="AE16">
            <v>1.17</v>
          </cell>
          <cell r="AF16">
            <v>1.25</v>
          </cell>
          <cell r="AG16">
            <v>1.35</v>
          </cell>
          <cell r="AH16">
            <v>1.38</v>
          </cell>
          <cell r="AI16">
            <v>1.19</v>
          </cell>
          <cell r="AJ16">
            <v>1.18</v>
          </cell>
          <cell r="AK16">
            <v>1.36</v>
          </cell>
          <cell r="AL16">
            <v>1.41</v>
          </cell>
          <cell r="AM16">
            <v>1.54</v>
          </cell>
          <cell r="AN16">
            <v>1.74</v>
          </cell>
          <cell r="AO16">
            <v>1.92</v>
          </cell>
          <cell r="AP16">
            <v>1.68</v>
          </cell>
          <cell r="AQ16">
            <v>1.75</v>
          </cell>
          <cell r="AR16">
            <v>2.0099999999999998</v>
          </cell>
          <cell r="AS16">
            <v>1.95</v>
          </cell>
          <cell r="AT16">
            <v>2.0099999999999998</v>
          </cell>
          <cell r="AU16">
            <v>2.09</v>
          </cell>
          <cell r="AV16">
            <v>2.0699999999999998</v>
          </cell>
          <cell r="AW16">
            <v>1.59</v>
          </cell>
          <cell r="AX16">
            <v>1.64</v>
          </cell>
          <cell r="AY16">
            <v>2.48</v>
          </cell>
          <cell r="AZ16">
            <v>3.59</v>
          </cell>
          <cell r="BA16">
            <v>4.0999999999999996</v>
          </cell>
          <cell r="BB16">
            <v>2.5499999999999998</v>
          </cell>
          <cell r="BC16">
            <v>1.54</v>
          </cell>
          <cell r="BD16">
            <v>1.63</v>
          </cell>
          <cell r="BE16">
            <v>1.91</v>
          </cell>
          <cell r="BF16">
            <v>2.0699999999999998</v>
          </cell>
          <cell r="BG16">
            <v>2</v>
          </cell>
          <cell r="BH16">
            <v>2.0499999999999998</v>
          </cell>
          <cell r="BI16">
            <v>2.36</v>
          </cell>
          <cell r="BJ16">
            <v>2.9</v>
          </cell>
          <cell r="BK16">
            <v>3.18</v>
          </cell>
          <cell r="BL16">
            <v>2.21</v>
          </cell>
          <cell r="BM16">
            <v>2.08</v>
          </cell>
          <cell r="BN16">
            <v>1.84</v>
          </cell>
          <cell r="BO16">
            <v>2.04</v>
          </cell>
          <cell r="BP16">
            <v>2.12</v>
          </cell>
          <cell r="BQ16">
            <v>2.1</v>
          </cell>
          <cell r="BR16">
            <v>1.86</v>
          </cell>
          <cell r="BS16">
            <v>2.1800000000000002</v>
          </cell>
          <cell r="BT16">
            <v>1.9</v>
          </cell>
          <cell r="BU16">
            <v>1.59</v>
          </cell>
          <cell r="BV16">
            <v>1.82</v>
          </cell>
          <cell r="BW16">
            <v>1.92</v>
          </cell>
          <cell r="BX16">
            <v>1.99</v>
          </cell>
          <cell r="BY16">
            <v>1.73</v>
          </cell>
          <cell r="BZ16">
            <v>1.66</v>
          </cell>
          <cell r="CA16">
            <v>1.54</v>
          </cell>
          <cell r="CB16">
            <v>1.66</v>
          </cell>
          <cell r="CC16">
            <v>2.16</v>
          </cell>
          <cell r="CD16">
            <v>2.08</v>
          </cell>
          <cell r="CE16">
            <v>2.17</v>
          </cell>
          <cell r="CF16">
            <v>2.46</v>
          </cell>
          <cell r="CG16">
            <v>2.78</v>
          </cell>
        </row>
        <row r="17">
          <cell r="A17" t="str">
            <v>EPNG-SJ</v>
          </cell>
          <cell r="B17">
            <v>14</v>
          </cell>
          <cell r="C17">
            <v>2.11</v>
          </cell>
          <cell r="D17">
            <v>2.04</v>
          </cell>
          <cell r="E17">
            <v>2.1</v>
          </cell>
          <cell r="F17">
            <v>1.58</v>
          </cell>
          <cell r="G17">
            <v>1.84</v>
          </cell>
          <cell r="H17">
            <v>1.89</v>
          </cell>
          <cell r="I17">
            <v>2.2000000000000002</v>
          </cell>
          <cell r="J17">
            <v>1.65</v>
          </cell>
          <cell r="K17">
            <v>1.76</v>
          </cell>
          <cell r="L17">
            <v>1.84</v>
          </cell>
          <cell r="M17">
            <v>2.0099999999999998</v>
          </cell>
          <cell r="N17">
            <v>1.76</v>
          </cell>
          <cell r="O17">
            <v>1.76</v>
          </cell>
          <cell r="P17">
            <v>2.2400000000000002</v>
          </cell>
          <cell r="Q17">
            <v>1.94</v>
          </cell>
          <cell r="R17">
            <v>1.82</v>
          </cell>
          <cell r="S17">
            <v>1.98</v>
          </cell>
          <cell r="T17">
            <v>1.73</v>
          </cell>
          <cell r="U17">
            <v>1.74</v>
          </cell>
          <cell r="V17">
            <v>1.48</v>
          </cell>
          <cell r="W17">
            <v>1.58</v>
          </cell>
          <cell r="X17">
            <v>1.54</v>
          </cell>
          <cell r="Y17">
            <v>1.43</v>
          </cell>
          <cell r="Z17">
            <v>1.2</v>
          </cell>
          <cell r="AA17">
            <v>1.46</v>
          </cell>
          <cell r="AB17">
            <v>1.63</v>
          </cell>
          <cell r="AC17">
            <v>1.45</v>
          </cell>
          <cell r="AD17">
            <v>1.0900000000000001</v>
          </cell>
          <cell r="AE17">
            <v>1.08</v>
          </cell>
          <cell r="AF17">
            <v>1.0900000000000001</v>
          </cell>
          <cell r="AG17">
            <v>1.17</v>
          </cell>
          <cell r="AH17">
            <v>1.17</v>
          </cell>
          <cell r="AI17">
            <v>1.05</v>
          </cell>
          <cell r="AJ17">
            <v>1.02</v>
          </cell>
          <cell r="AK17">
            <v>1.19</v>
          </cell>
          <cell r="AL17">
            <v>1.24</v>
          </cell>
          <cell r="AM17">
            <v>1.25</v>
          </cell>
          <cell r="AN17">
            <v>1.34</v>
          </cell>
          <cell r="AO17">
            <v>1.39</v>
          </cell>
          <cell r="AP17">
            <v>1.26</v>
          </cell>
          <cell r="AQ17">
            <v>1.18</v>
          </cell>
          <cell r="AR17">
            <v>1.1200000000000001</v>
          </cell>
          <cell r="AS17">
            <v>1.1200000000000001</v>
          </cell>
          <cell r="AT17">
            <v>1.18</v>
          </cell>
          <cell r="AU17">
            <v>1.47</v>
          </cell>
          <cell r="AV17">
            <v>2</v>
          </cell>
          <cell r="AW17">
            <v>1.55</v>
          </cell>
          <cell r="AX17">
            <v>1.59</v>
          </cell>
          <cell r="AY17">
            <v>2.4500000000000002</v>
          </cell>
          <cell r="AZ17">
            <v>3.55</v>
          </cell>
          <cell r="BA17">
            <v>4.05</v>
          </cell>
          <cell r="BB17">
            <v>2.48</v>
          </cell>
          <cell r="BC17">
            <v>1.46</v>
          </cell>
          <cell r="BD17">
            <v>1.59</v>
          </cell>
          <cell r="BE17">
            <v>1.87</v>
          </cell>
          <cell r="BF17">
            <v>2.02</v>
          </cell>
          <cell r="BG17">
            <v>1.97</v>
          </cell>
          <cell r="BH17">
            <v>2</v>
          </cell>
          <cell r="BI17">
            <v>2.2799999999999998</v>
          </cell>
          <cell r="BJ17">
            <v>2.83</v>
          </cell>
          <cell r="BK17">
            <v>3.11</v>
          </cell>
          <cell r="BL17">
            <v>2.16</v>
          </cell>
          <cell r="BM17">
            <v>2.06</v>
          </cell>
          <cell r="BN17">
            <v>1.76</v>
          </cell>
          <cell r="BO17">
            <v>2.0099999999999998</v>
          </cell>
          <cell r="BP17">
            <v>2.06</v>
          </cell>
          <cell r="BQ17">
            <v>2</v>
          </cell>
          <cell r="BR17">
            <v>1.75</v>
          </cell>
          <cell r="BS17">
            <v>1.86</v>
          </cell>
          <cell r="BT17">
            <v>1.81</v>
          </cell>
          <cell r="BU17">
            <v>1.55</v>
          </cell>
          <cell r="BV17">
            <v>1.67</v>
          </cell>
          <cell r="BW17">
            <v>1.88</v>
          </cell>
          <cell r="BX17">
            <v>1.96</v>
          </cell>
          <cell r="BY17">
            <v>1.72</v>
          </cell>
          <cell r="BZ17">
            <v>1.63</v>
          </cell>
          <cell r="CA17">
            <v>1.51</v>
          </cell>
          <cell r="CB17">
            <v>1.59</v>
          </cell>
          <cell r="CC17">
            <v>2.0299999999999998</v>
          </cell>
          <cell r="CD17">
            <v>1.96</v>
          </cell>
          <cell r="CE17">
            <v>2.0499999999999998</v>
          </cell>
          <cell r="CF17">
            <v>2.2599999999999998</v>
          </cell>
          <cell r="CG17">
            <v>2.63</v>
          </cell>
        </row>
        <row r="18">
          <cell r="A18" t="str">
            <v>FGT-Z1</v>
          </cell>
          <cell r="B18">
            <v>15</v>
          </cell>
          <cell r="C18">
            <v>2.36</v>
          </cell>
          <cell r="D18">
            <v>2.2000000000000002</v>
          </cell>
          <cell r="E18">
            <v>1.9</v>
          </cell>
          <cell r="F18">
            <v>1.59</v>
          </cell>
          <cell r="G18">
            <v>1.85</v>
          </cell>
          <cell r="H18">
            <v>2.15</v>
          </cell>
          <cell r="I18">
            <v>2.68</v>
          </cell>
          <cell r="J18">
            <v>2.13</v>
          </cell>
          <cell r="K18">
            <v>1.89</v>
          </cell>
          <cell r="L18">
            <v>2.0299999999999998</v>
          </cell>
          <cell r="M18">
            <v>2.34</v>
          </cell>
          <cell r="N18">
            <v>2</v>
          </cell>
          <cell r="O18">
            <v>2.0499999999999998</v>
          </cell>
          <cell r="P18">
            <v>2.2999999999999998</v>
          </cell>
          <cell r="Q18">
            <v>2.0299999999999998</v>
          </cell>
          <cell r="R18">
            <v>2.25</v>
          </cell>
          <cell r="S18">
            <v>2.2000000000000002</v>
          </cell>
          <cell r="T18">
            <v>1.88</v>
          </cell>
          <cell r="U18">
            <v>1.98</v>
          </cell>
          <cell r="V18">
            <v>1.74</v>
          </cell>
          <cell r="W18">
            <v>1.88</v>
          </cell>
          <cell r="X18">
            <v>1.71</v>
          </cell>
          <cell r="Y18">
            <v>1.54</v>
          </cell>
          <cell r="Z18">
            <v>1.36</v>
          </cell>
          <cell r="AA18">
            <v>1.57</v>
          </cell>
          <cell r="AB18">
            <v>1.61</v>
          </cell>
          <cell r="AC18">
            <v>1.54</v>
          </cell>
          <cell r="AD18">
            <v>1.34</v>
          </cell>
          <cell r="AE18">
            <v>1.36</v>
          </cell>
          <cell r="AF18">
            <v>1.49</v>
          </cell>
          <cell r="AG18">
            <v>1.6</v>
          </cell>
          <cell r="AH18">
            <v>1.65</v>
          </cell>
          <cell r="AI18">
            <v>1.44</v>
          </cell>
          <cell r="AJ18">
            <v>1.31</v>
          </cell>
          <cell r="AK18">
            <v>1.48</v>
          </cell>
          <cell r="AL18">
            <v>1.56</v>
          </cell>
          <cell r="AM18">
            <v>1.7</v>
          </cell>
          <cell r="AN18">
            <v>2.1</v>
          </cell>
          <cell r="AO18">
            <v>2.1800000000000002</v>
          </cell>
          <cell r="AP18">
            <v>1.87</v>
          </cell>
          <cell r="AQ18">
            <v>2.0299999999999998</v>
          </cell>
          <cell r="AR18">
            <v>2.2599999999999998</v>
          </cell>
          <cell r="AS18">
            <v>2.15</v>
          </cell>
          <cell r="AT18">
            <v>2.25</v>
          </cell>
          <cell r="AU18">
            <v>2.5299999999999998</v>
          </cell>
          <cell r="AV18">
            <v>2.25</v>
          </cell>
          <cell r="AW18">
            <v>1.75</v>
          </cell>
          <cell r="AX18">
            <v>1.75</v>
          </cell>
          <cell r="AY18">
            <v>2.54</v>
          </cell>
          <cell r="AZ18">
            <v>3.72</v>
          </cell>
          <cell r="BA18">
            <v>3.98</v>
          </cell>
          <cell r="BB18">
            <v>2.8</v>
          </cell>
          <cell r="BC18">
            <v>1.69</v>
          </cell>
          <cell r="BD18">
            <v>1.74</v>
          </cell>
          <cell r="BE18">
            <v>2.06</v>
          </cell>
          <cell r="BF18">
            <v>2.21</v>
          </cell>
          <cell r="BG18">
            <v>2.12</v>
          </cell>
          <cell r="BH18">
            <v>2.14</v>
          </cell>
          <cell r="BI18">
            <v>2.5099999999999998</v>
          </cell>
          <cell r="BJ18">
            <v>3.1</v>
          </cell>
          <cell r="BK18">
            <v>3.2</v>
          </cell>
          <cell r="BL18">
            <v>2.4500000000000002</v>
          </cell>
          <cell r="BM18">
            <v>2.21</v>
          </cell>
          <cell r="BN18">
            <v>1.94</v>
          </cell>
          <cell r="BO18">
            <v>2.19</v>
          </cell>
          <cell r="BP18">
            <v>2.25</v>
          </cell>
          <cell r="BQ18">
            <v>2.2000000000000002</v>
          </cell>
          <cell r="BR18">
            <v>1.98</v>
          </cell>
          <cell r="BS18">
            <v>2.31</v>
          </cell>
          <cell r="BT18">
            <v>1.86</v>
          </cell>
          <cell r="BU18">
            <v>1.57</v>
          </cell>
          <cell r="BV18">
            <v>1.98</v>
          </cell>
          <cell r="BW18">
            <v>1.92</v>
          </cell>
          <cell r="BX18">
            <v>2.0699999999999998</v>
          </cell>
          <cell r="BY18">
            <v>1.73</v>
          </cell>
          <cell r="BZ18">
            <v>1.74</v>
          </cell>
          <cell r="CA18">
            <v>1.59</v>
          </cell>
          <cell r="CB18">
            <v>1.84</v>
          </cell>
          <cell r="CC18">
            <v>2.2999999999999998</v>
          </cell>
          <cell r="CD18">
            <v>2.2000000000000002</v>
          </cell>
          <cell r="CE18">
            <v>2.2400000000000002</v>
          </cell>
          <cell r="CF18">
            <v>2.57</v>
          </cell>
          <cell r="CG18">
            <v>2.86</v>
          </cell>
        </row>
        <row r="19">
          <cell r="A19" t="str">
            <v>FGT-Z2</v>
          </cell>
          <cell r="B19">
            <v>16</v>
          </cell>
          <cell r="C19">
            <v>2.4</v>
          </cell>
          <cell r="D19">
            <v>2.25</v>
          </cell>
          <cell r="E19">
            <v>2.02</v>
          </cell>
          <cell r="F19">
            <v>1.64</v>
          </cell>
          <cell r="G19">
            <v>1.88</v>
          </cell>
          <cell r="H19">
            <v>2.2200000000000002</v>
          </cell>
          <cell r="I19">
            <v>2.73</v>
          </cell>
          <cell r="J19">
            <v>2.15</v>
          </cell>
          <cell r="K19">
            <v>1.95</v>
          </cell>
          <cell r="L19">
            <v>2.0699999999999998</v>
          </cell>
          <cell r="M19">
            <v>2.37</v>
          </cell>
          <cell r="N19">
            <v>2.0499999999999998</v>
          </cell>
          <cell r="O19">
            <v>2.11</v>
          </cell>
          <cell r="P19">
            <v>2.35</v>
          </cell>
          <cell r="Q19">
            <v>2.08</v>
          </cell>
          <cell r="R19">
            <v>2.34</v>
          </cell>
          <cell r="S19">
            <v>2.33</v>
          </cell>
          <cell r="T19">
            <v>1.93</v>
          </cell>
          <cell r="U19">
            <v>2.0499999999999998</v>
          </cell>
          <cell r="V19">
            <v>1.83</v>
          </cell>
          <cell r="W19">
            <v>1.94</v>
          </cell>
          <cell r="X19">
            <v>1.78</v>
          </cell>
          <cell r="Y19">
            <v>1.47</v>
          </cell>
          <cell r="Z19">
            <v>1.41</v>
          </cell>
          <cell r="AA19">
            <v>1.68</v>
          </cell>
          <cell r="AB19">
            <v>1.67</v>
          </cell>
          <cell r="AC19">
            <v>1.58</v>
          </cell>
          <cell r="AD19">
            <v>1.4</v>
          </cell>
          <cell r="AE19">
            <v>1.43</v>
          </cell>
          <cell r="AF19">
            <v>1.54</v>
          </cell>
          <cell r="AG19">
            <v>1.66</v>
          </cell>
          <cell r="AH19">
            <v>1.71</v>
          </cell>
          <cell r="AI19">
            <v>1.5</v>
          </cell>
          <cell r="AJ19">
            <v>1.37</v>
          </cell>
          <cell r="AK19">
            <v>1.54</v>
          </cell>
          <cell r="AL19">
            <v>1.62</v>
          </cell>
          <cell r="AM19">
            <v>1.76</v>
          </cell>
          <cell r="AN19">
            <v>2.23</v>
          </cell>
          <cell r="AO19">
            <v>3.4</v>
          </cell>
          <cell r="AP19">
            <v>2.35</v>
          </cell>
          <cell r="AQ19">
            <v>2.85</v>
          </cell>
          <cell r="AR19">
            <v>2.69</v>
          </cell>
          <cell r="AS19">
            <v>2.21</v>
          </cell>
          <cell r="AT19">
            <v>2.34</v>
          </cell>
          <cell r="AU19">
            <v>2.62</v>
          </cell>
          <cell r="AV19">
            <v>2.3199999999999998</v>
          </cell>
          <cell r="AW19">
            <v>1.81</v>
          </cell>
          <cell r="AX19">
            <v>1.82</v>
          </cell>
          <cell r="AY19">
            <v>2.56</v>
          </cell>
          <cell r="AZ19">
            <v>3.85</v>
          </cell>
          <cell r="BA19">
            <v>4.0999999999999996</v>
          </cell>
          <cell r="BB19">
            <v>2.92</v>
          </cell>
          <cell r="BC19">
            <v>1.84</v>
          </cell>
          <cell r="BD19">
            <v>1.81</v>
          </cell>
          <cell r="BE19">
            <v>2.13</v>
          </cell>
          <cell r="BF19">
            <v>2.2999999999999998</v>
          </cell>
          <cell r="BG19">
            <v>2.17</v>
          </cell>
          <cell r="BH19">
            <v>2.1800000000000002</v>
          </cell>
          <cell r="BI19">
            <v>2.54</v>
          </cell>
          <cell r="BJ19">
            <v>3.13</v>
          </cell>
          <cell r="BK19">
            <v>3.26</v>
          </cell>
          <cell r="BL19">
            <v>2.5499999999999998</v>
          </cell>
          <cell r="BM19">
            <v>2.2799999999999998</v>
          </cell>
          <cell r="BN19">
            <v>2.02</v>
          </cell>
          <cell r="BO19">
            <v>2.25</v>
          </cell>
          <cell r="BP19">
            <v>2.29</v>
          </cell>
          <cell r="BQ19">
            <v>2.25</v>
          </cell>
          <cell r="BR19">
            <v>2.0299999999999998</v>
          </cell>
          <cell r="BS19">
            <v>2.36</v>
          </cell>
          <cell r="BT19">
            <v>1.92</v>
          </cell>
          <cell r="BU19">
            <v>1.61</v>
          </cell>
          <cell r="BV19">
            <v>2.0299999999999998</v>
          </cell>
          <cell r="BW19">
            <v>1.99</v>
          </cell>
          <cell r="BX19">
            <v>2.12</v>
          </cell>
          <cell r="BY19">
            <v>1.78</v>
          </cell>
          <cell r="BZ19">
            <v>1.77</v>
          </cell>
          <cell r="CA19">
            <v>1.63</v>
          </cell>
          <cell r="CB19">
            <v>1.88</v>
          </cell>
          <cell r="CC19">
            <v>2.35</v>
          </cell>
          <cell r="CD19">
            <v>2.23</v>
          </cell>
          <cell r="CE19">
            <v>2.27</v>
          </cell>
          <cell r="CF19">
            <v>2.61</v>
          </cell>
          <cell r="CG19">
            <v>2.9</v>
          </cell>
        </row>
        <row r="20">
          <cell r="A20" t="str">
            <v>FGT-Z3</v>
          </cell>
          <cell r="B20">
            <v>17</v>
          </cell>
          <cell r="C20">
            <v>2.4700000000000002</v>
          </cell>
          <cell r="D20">
            <v>2.36</v>
          </cell>
          <cell r="E20">
            <v>2.0699999999999998</v>
          </cell>
          <cell r="F20">
            <v>1.65</v>
          </cell>
          <cell r="G20">
            <v>1.94</v>
          </cell>
          <cell r="H20">
            <v>2.2200000000000002</v>
          </cell>
          <cell r="I20">
            <v>2.8</v>
          </cell>
          <cell r="J20">
            <v>2.1800000000000002</v>
          </cell>
          <cell r="K20">
            <v>1.98</v>
          </cell>
          <cell r="L20">
            <v>2.11</v>
          </cell>
          <cell r="M20">
            <v>2.38</v>
          </cell>
          <cell r="N20">
            <v>2.1</v>
          </cell>
          <cell r="O20">
            <v>2.15</v>
          </cell>
          <cell r="P20">
            <v>2.41</v>
          </cell>
          <cell r="Q20">
            <v>2.13</v>
          </cell>
          <cell r="R20">
            <v>2.39</v>
          </cell>
          <cell r="S20">
            <v>2.39</v>
          </cell>
          <cell r="T20">
            <v>1.96</v>
          </cell>
          <cell r="U20">
            <v>2.1</v>
          </cell>
          <cell r="V20">
            <v>1.89</v>
          </cell>
          <cell r="W20">
            <v>1.98</v>
          </cell>
          <cell r="X20">
            <v>1.84</v>
          </cell>
          <cell r="Y20">
            <v>1.52</v>
          </cell>
          <cell r="Z20">
            <v>1.45</v>
          </cell>
          <cell r="AA20">
            <v>1.72</v>
          </cell>
          <cell r="AB20">
            <v>1.71</v>
          </cell>
          <cell r="AC20">
            <v>1.62</v>
          </cell>
          <cell r="AD20">
            <v>1.47</v>
          </cell>
          <cell r="AE20">
            <v>1.46</v>
          </cell>
          <cell r="AF20">
            <v>1.56</v>
          </cell>
          <cell r="AG20">
            <v>1.67</v>
          </cell>
          <cell r="AH20">
            <v>1.72</v>
          </cell>
          <cell r="AI20">
            <v>1.49</v>
          </cell>
          <cell r="AJ20">
            <v>1.37</v>
          </cell>
          <cell r="AK20">
            <v>1.55</v>
          </cell>
          <cell r="AL20">
            <v>1.62</v>
          </cell>
          <cell r="AM20">
            <v>1.76</v>
          </cell>
          <cell r="AN20">
            <v>2.2400000000000002</v>
          </cell>
          <cell r="AO20">
            <v>3.37</v>
          </cell>
          <cell r="AP20">
            <v>2.35</v>
          </cell>
          <cell r="AQ20">
            <v>2.82</v>
          </cell>
          <cell r="AR20">
            <v>2.69</v>
          </cell>
          <cell r="AS20">
            <v>2.2000000000000002</v>
          </cell>
          <cell r="AT20">
            <v>2.33</v>
          </cell>
          <cell r="AU20">
            <v>2.61</v>
          </cell>
          <cell r="AV20">
            <v>2.2999999999999998</v>
          </cell>
          <cell r="AW20">
            <v>1.79</v>
          </cell>
          <cell r="AX20">
            <v>1.8</v>
          </cell>
          <cell r="AY20">
            <v>2.6</v>
          </cell>
          <cell r="AZ20">
            <v>3.81</v>
          </cell>
          <cell r="BA20">
            <v>3.95</v>
          </cell>
          <cell r="BB20">
            <v>2.87</v>
          </cell>
          <cell r="BC20">
            <v>1.79</v>
          </cell>
          <cell r="BD20">
            <v>1.76</v>
          </cell>
          <cell r="BE20">
            <v>2.1</v>
          </cell>
          <cell r="BF20">
            <v>2.25</v>
          </cell>
          <cell r="BG20">
            <v>2.12</v>
          </cell>
          <cell r="BH20">
            <v>2.13</v>
          </cell>
          <cell r="BI20">
            <v>2.4700000000000002</v>
          </cell>
          <cell r="BJ20">
            <v>3.05</v>
          </cell>
          <cell r="BK20">
            <v>3.2</v>
          </cell>
          <cell r="BL20">
            <v>2.4900000000000002</v>
          </cell>
          <cell r="BM20">
            <v>2.23</v>
          </cell>
          <cell r="BN20">
            <v>1.96</v>
          </cell>
          <cell r="BO20">
            <v>2.19</v>
          </cell>
          <cell r="BP20">
            <v>2.27</v>
          </cell>
          <cell r="BQ20">
            <v>2.2200000000000002</v>
          </cell>
          <cell r="BR20">
            <v>1.98</v>
          </cell>
          <cell r="BS20">
            <v>2.29</v>
          </cell>
          <cell r="BT20">
            <v>1.86</v>
          </cell>
          <cell r="BU20">
            <v>1.57</v>
          </cell>
          <cell r="BV20">
            <v>1.97</v>
          </cell>
          <cell r="BW20">
            <v>1.91</v>
          </cell>
          <cell r="BX20">
            <v>2.0699999999999998</v>
          </cell>
          <cell r="BY20">
            <v>1.73</v>
          </cell>
          <cell r="BZ20">
            <v>1.74</v>
          </cell>
          <cell r="CA20">
            <v>1.6</v>
          </cell>
          <cell r="CB20">
            <v>1.85</v>
          </cell>
          <cell r="CC20">
            <v>2.2999999999999998</v>
          </cell>
          <cell r="CD20">
            <v>2.21</v>
          </cell>
          <cell r="CE20">
            <v>2.2400000000000002</v>
          </cell>
          <cell r="CF20">
            <v>2.57</v>
          </cell>
          <cell r="CG20">
            <v>2.86</v>
          </cell>
        </row>
        <row r="21">
          <cell r="A21" t="str">
            <v>HSC</v>
          </cell>
          <cell r="B21">
            <v>18</v>
          </cell>
          <cell r="C21">
            <v>2.2400000000000002</v>
          </cell>
          <cell r="D21">
            <v>2.1800000000000002</v>
          </cell>
          <cell r="E21">
            <v>1.98</v>
          </cell>
          <cell r="F21">
            <v>1.64</v>
          </cell>
          <cell r="G21">
            <v>1.93</v>
          </cell>
          <cell r="H21">
            <v>2.23</v>
          </cell>
          <cell r="I21">
            <v>2.6</v>
          </cell>
          <cell r="J21">
            <v>1.93</v>
          </cell>
          <cell r="K21">
            <v>1.97</v>
          </cell>
          <cell r="L21">
            <v>2.19</v>
          </cell>
          <cell r="M21">
            <v>2.36</v>
          </cell>
          <cell r="N21">
            <v>2.02</v>
          </cell>
          <cell r="O21">
            <v>2.12</v>
          </cell>
          <cell r="P21">
            <v>2.4</v>
          </cell>
          <cell r="Q21">
            <v>2.04</v>
          </cell>
          <cell r="R21">
            <v>2.19</v>
          </cell>
          <cell r="S21">
            <v>2.2599999999999998</v>
          </cell>
          <cell r="T21">
            <v>1.98</v>
          </cell>
          <cell r="U21">
            <v>2.0499999999999998</v>
          </cell>
          <cell r="V21">
            <v>1.77</v>
          </cell>
          <cell r="W21">
            <v>1.98</v>
          </cell>
          <cell r="X21">
            <v>1.78</v>
          </cell>
          <cell r="Y21">
            <v>1.5</v>
          </cell>
          <cell r="Z21">
            <v>1.39</v>
          </cell>
          <cell r="AA21">
            <v>1.66</v>
          </cell>
          <cell r="AB21">
            <v>1.67</v>
          </cell>
          <cell r="AC21">
            <v>1.56</v>
          </cell>
          <cell r="AD21">
            <v>1.36</v>
          </cell>
          <cell r="AE21">
            <v>1.39</v>
          </cell>
          <cell r="AF21">
            <v>1.52</v>
          </cell>
          <cell r="AG21">
            <v>1.63</v>
          </cell>
          <cell r="AH21">
            <v>1.67</v>
          </cell>
          <cell r="AI21">
            <v>1.48</v>
          </cell>
          <cell r="AJ21">
            <v>1.37</v>
          </cell>
          <cell r="AK21">
            <v>1.54</v>
          </cell>
          <cell r="AL21">
            <v>1.6</v>
          </cell>
          <cell r="AM21">
            <v>1.73</v>
          </cell>
          <cell r="AN21">
            <v>2.08</v>
          </cell>
          <cell r="AO21">
            <v>2.17</v>
          </cell>
          <cell r="AP21">
            <v>1.86</v>
          </cell>
          <cell r="AQ21">
            <v>1.99</v>
          </cell>
          <cell r="AR21">
            <v>2.29</v>
          </cell>
          <cell r="AS21">
            <v>2.19</v>
          </cell>
          <cell r="AT21">
            <v>2.31</v>
          </cell>
          <cell r="AU21">
            <v>2.58</v>
          </cell>
          <cell r="AV21">
            <v>2.2999999999999998</v>
          </cell>
          <cell r="AW21">
            <v>1.85</v>
          </cell>
          <cell r="AX21">
            <v>1.83</v>
          </cell>
          <cell r="AY21">
            <v>2.61</v>
          </cell>
          <cell r="AZ21">
            <v>3.7</v>
          </cell>
          <cell r="BA21">
            <v>3.9</v>
          </cell>
          <cell r="BB21">
            <v>2.82</v>
          </cell>
          <cell r="BC21">
            <v>1.74</v>
          </cell>
          <cell r="BD21">
            <v>1.81</v>
          </cell>
          <cell r="BE21">
            <v>2.09</v>
          </cell>
          <cell r="BF21">
            <v>2.29</v>
          </cell>
          <cell r="BG21">
            <v>2.16</v>
          </cell>
          <cell r="BH21">
            <v>2.1800000000000002</v>
          </cell>
          <cell r="BI21">
            <v>2.5</v>
          </cell>
          <cell r="BJ21">
            <v>3.11</v>
          </cell>
          <cell r="BK21">
            <v>3.27</v>
          </cell>
          <cell r="BL21">
            <v>2.4500000000000002</v>
          </cell>
          <cell r="BM21">
            <v>2.2200000000000002</v>
          </cell>
          <cell r="BN21">
            <v>2.0099999999999998</v>
          </cell>
          <cell r="BO21">
            <v>2.23</v>
          </cell>
          <cell r="BP21">
            <v>2.29</v>
          </cell>
          <cell r="BQ21">
            <v>2.27</v>
          </cell>
          <cell r="BR21">
            <v>2.0499999999999998</v>
          </cell>
          <cell r="BS21">
            <v>2.38</v>
          </cell>
          <cell r="BT21">
            <v>1.96</v>
          </cell>
          <cell r="BU21">
            <v>1.66</v>
          </cell>
          <cell r="BV21">
            <v>2.04</v>
          </cell>
          <cell r="BW21">
            <v>1.99</v>
          </cell>
          <cell r="BX21">
            <v>2.08</v>
          </cell>
          <cell r="BY21">
            <v>1.78</v>
          </cell>
          <cell r="BZ21">
            <v>1.78</v>
          </cell>
          <cell r="CA21">
            <v>1.65</v>
          </cell>
          <cell r="CB21">
            <v>1.86</v>
          </cell>
          <cell r="CC21">
            <v>2.35</v>
          </cell>
          <cell r="CD21">
            <v>2.2400000000000002</v>
          </cell>
          <cell r="CE21">
            <v>2.2799999999999998</v>
          </cell>
          <cell r="CF21">
            <v>2.62</v>
          </cell>
          <cell r="CG21">
            <v>2.91</v>
          </cell>
        </row>
        <row r="22">
          <cell r="A22" t="str">
            <v>HUB</v>
          </cell>
          <cell r="B22">
            <v>19</v>
          </cell>
          <cell r="C22">
            <v>2.2999999999999998</v>
          </cell>
          <cell r="D22">
            <v>2.2999999999999998</v>
          </cell>
          <cell r="E22">
            <v>1.95</v>
          </cell>
          <cell r="F22">
            <v>1.62</v>
          </cell>
          <cell r="G22">
            <v>1.89</v>
          </cell>
          <cell r="H22">
            <v>2.23</v>
          </cell>
          <cell r="I22">
            <v>2.69</v>
          </cell>
          <cell r="J22">
            <v>1.98</v>
          </cell>
          <cell r="K22">
            <v>1.92</v>
          </cell>
          <cell r="L22">
            <v>2.11</v>
          </cell>
          <cell r="M22">
            <v>2.37</v>
          </cell>
          <cell r="N22">
            <v>2.0099999999999998</v>
          </cell>
          <cell r="O22">
            <v>2.12</v>
          </cell>
          <cell r="P22">
            <v>2.4</v>
          </cell>
          <cell r="Q22">
            <v>2.02</v>
          </cell>
          <cell r="R22">
            <v>2.39</v>
          </cell>
          <cell r="S22">
            <v>2.38</v>
          </cell>
          <cell r="T22">
            <v>1.98</v>
          </cell>
          <cell r="U22">
            <v>2.06</v>
          </cell>
          <cell r="V22">
            <v>1.82</v>
          </cell>
          <cell r="W22">
            <v>1.97</v>
          </cell>
          <cell r="X22">
            <v>1.8</v>
          </cell>
          <cell r="Y22">
            <v>1.48</v>
          </cell>
          <cell r="Z22">
            <v>1.41</v>
          </cell>
          <cell r="AA22">
            <v>1.69</v>
          </cell>
          <cell r="AB22">
            <v>1.69</v>
          </cell>
          <cell r="AC22">
            <v>1.62</v>
          </cell>
          <cell r="AD22">
            <v>1.42</v>
          </cell>
          <cell r="AE22">
            <v>1.44</v>
          </cell>
          <cell r="AF22">
            <v>1.57</v>
          </cell>
          <cell r="AG22">
            <v>1.68</v>
          </cell>
          <cell r="AH22">
            <v>1.75</v>
          </cell>
          <cell r="AI22">
            <v>1.51</v>
          </cell>
          <cell r="AJ22">
            <v>1.38</v>
          </cell>
          <cell r="AK22">
            <v>1.58</v>
          </cell>
          <cell r="AL22">
            <v>1.65</v>
          </cell>
          <cell r="AM22">
            <v>1.78</v>
          </cell>
          <cell r="AN22">
            <v>2.2599999999999998</v>
          </cell>
          <cell r="AO22">
            <v>3.42</v>
          </cell>
          <cell r="AP22">
            <v>2.4</v>
          </cell>
          <cell r="AQ22">
            <v>2.94</v>
          </cell>
          <cell r="AR22">
            <v>2.7</v>
          </cell>
          <cell r="AS22">
            <v>2.21</v>
          </cell>
          <cell r="AT22">
            <v>2.38</v>
          </cell>
          <cell r="AU22">
            <v>2.66</v>
          </cell>
          <cell r="AV22">
            <v>2.2999999999999998</v>
          </cell>
          <cell r="AW22">
            <v>1.83</v>
          </cell>
          <cell r="AX22">
            <v>1.85</v>
          </cell>
          <cell r="AY22">
            <v>2.72</v>
          </cell>
          <cell r="AZ22">
            <v>3.9</v>
          </cell>
          <cell r="BA22">
            <v>4.09</v>
          </cell>
          <cell r="BB22">
            <v>2.96</v>
          </cell>
          <cell r="BC22">
            <v>1.78</v>
          </cell>
          <cell r="BD22">
            <v>1.85</v>
          </cell>
          <cell r="BE22">
            <v>2.15</v>
          </cell>
          <cell r="BF22">
            <v>2.31</v>
          </cell>
          <cell r="BG22">
            <v>2.16</v>
          </cell>
          <cell r="BH22">
            <v>2.19</v>
          </cell>
          <cell r="BI22">
            <v>2.57</v>
          </cell>
          <cell r="BJ22">
            <v>3.16</v>
          </cell>
          <cell r="BK22">
            <v>3.3</v>
          </cell>
          <cell r="BL22">
            <v>2.5499999999999998</v>
          </cell>
          <cell r="BM22">
            <v>2.27</v>
          </cell>
          <cell r="BN22">
            <v>2.04</v>
          </cell>
          <cell r="BO22">
            <v>2.2599999999999998</v>
          </cell>
          <cell r="BP22">
            <v>2.3199999999999998</v>
          </cell>
          <cell r="BQ22">
            <v>2.27</v>
          </cell>
          <cell r="BR22">
            <v>2.0299999999999998</v>
          </cell>
          <cell r="BS22">
            <v>2.37</v>
          </cell>
          <cell r="BT22">
            <v>1.93</v>
          </cell>
          <cell r="BU22">
            <v>1.63</v>
          </cell>
          <cell r="BV22">
            <v>2.0699999999999998</v>
          </cell>
          <cell r="BW22">
            <v>2</v>
          </cell>
          <cell r="BX22">
            <v>2.12</v>
          </cell>
          <cell r="BY22">
            <v>1.8</v>
          </cell>
          <cell r="BZ22">
            <v>1.81</v>
          </cell>
          <cell r="CA22">
            <v>1.64</v>
          </cell>
          <cell r="CB22">
            <v>1.88</v>
          </cell>
          <cell r="CC22">
            <v>2.35</v>
          </cell>
          <cell r="CD22">
            <v>2.23</v>
          </cell>
          <cell r="CE22">
            <v>2.2799999999999998</v>
          </cell>
          <cell r="CF22">
            <v>2.62</v>
          </cell>
          <cell r="CG22">
            <v>2.9</v>
          </cell>
        </row>
        <row r="23">
          <cell r="A23" t="str">
            <v>KERN</v>
          </cell>
          <cell r="B23">
            <v>20</v>
          </cell>
          <cell r="C23">
            <v>1.85</v>
          </cell>
          <cell r="D23">
            <v>1.9</v>
          </cell>
          <cell r="E23">
            <v>2.3199999999999998</v>
          </cell>
          <cell r="F23">
            <v>1.6</v>
          </cell>
          <cell r="G23">
            <v>1.78</v>
          </cell>
          <cell r="H23">
            <v>1.82</v>
          </cell>
          <cell r="I23">
            <v>2.2999999999999998</v>
          </cell>
          <cell r="J23">
            <v>1.68</v>
          </cell>
          <cell r="K23">
            <v>1.64</v>
          </cell>
          <cell r="L23">
            <v>1.69</v>
          </cell>
          <cell r="M23">
            <v>1.96</v>
          </cell>
          <cell r="N23">
            <v>1.78</v>
          </cell>
          <cell r="O23">
            <v>1.8</v>
          </cell>
          <cell r="P23">
            <v>2.33</v>
          </cell>
          <cell r="Q23">
            <v>1.97</v>
          </cell>
          <cell r="R23">
            <v>1.78</v>
          </cell>
          <cell r="S23">
            <v>1.94</v>
          </cell>
          <cell r="T23">
            <v>1.63</v>
          </cell>
          <cell r="U23">
            <v>1.64</v>
          </cell>
          <cell r="V23">
            <v>1.38</v>
          </cell>
          <cell r="W23">
            <v>1.5</v>
          </cell>
          <cell r="X23">
            <v>1.46</v>
          </cell>
          <cell r="Y23">
            <v>1.36</v>
          </cell>
          <cell r="Z23">
            <v>1.18</v>
          </cell>
          <cell r="AA23">
            <v>1.5</v>
          </cell>
          <cell r="AB23">
            <v>1.63</v>
          </cell>
          <cell r="AC23">
            <v>1.39</v>
          </cell>
          <cell r="AD23">
            <v>1.07</v>
          </cell>
          <cell r="AE23">
            <v>1.07</v>
          </cell>
          <cell r="AF23">
            <v>1.06</v>
          </cell>
          <cell r="AG23">
            <v>1.07</v>
          </cell>
          <cell r="AH23">
            <v>1.1499999999999999</v>
          </cell>
          <cell r="AI23">
            <v>1</v>
          </cell>
          <cell r="AJ23">
            <v>0.84</v>
          </cell>
          <cell r="AK23">
            <v>0.95</v>
          </cell>
          <cell r="AL23">
            <v>1.04</v>
          </cell>
          <cell r="AM23">
            <v>1.25</v>
          </cell>
          <cell r="AN23">
            <v>1.31</v>
          </cell>
          <cell r="AO23">
            <v>1.27</v>
          </cell>
          <cell r="AP23">
            <v>1.17</v>
          </cell>
          <cell r="AQ23">
            <v>1.17</v>
          </cell>
          <cell r="AR23">
            <v>1.06</v>
          </cell>
          <cell r="AS23">
            <v>1.06</v>
          </cell>
          <cell r="AT23">
            <v>1.07</v>
          </cell>
          <cell r="AU23">
            <v>1.19</v>
          </cell>
          <cell r="AV23">
            <v>1.23</v>
          </cell>
          <cell r="AW23">
            <v>1.2</v>
          </cell>
          <cell r="AX23">
            <v>1.26</v>
          </cell>
          <cell r="AY23">
            <v>2.23</v>
          </cell>
          <cell r="AZ23">
            <v>3.48</v>
          </cell>
          <cell r="BA23">
            <v>4.2300000000000004</v>
          </cell>
          <cell r="BB23">
            <v>2.5</v>
          </cell>
          <cell r="BC23">
            <v>1.39</v>
          </cell>
          <cell r="BD23">
            <v>1.44</v>
          </cell>
          <cell r="BE23">
            <v>1.64</v>
          </cell>
          <cell r="BF23">
            <v>1.47</v>
          </cell>
          <cell r="BG23">
            <v>1.43</v>
          </cell>
          <cell r="BH23">
            <v>1.37</v>
          </cell>
          <cell r="BI23">
            <v>1.48</v>
          </cell>
          <cell r="BJ23">
            <v>2.09</v>
          </cell>
          <cell r="BK23">
            <v>3</v>
          </cell>
          <cell r="BL23">
            <v>1.93</v>
          </cell>
          <cell r="BM23">
            <v>2.04</v>
          </cell>
          <cell r="BN23">
            <v>1.69</v>
          </cell>
          <cell r="BO23">
            <v>1.88</v>
          </cell>
          <cell r="BP23">
            <v>1.9</v>
          </cell>
          <cell r="BQ23">
            <v>1.97</v>
          </cell>
          <cell r="BR23">
            <v>1.65</v>
          </cell>
          <cell r="BS23">
            <v>1.62</v>
          </cell>
          <cell r="BT23">
            <v>1.73</v>
          </cell>
          <cell r="BU23">
            <v>1.59</v>
          </cell>
          <cell r="BV23">
            <v>1.64</v>
          </cell>
          <cell r="BW23">
            <v>2.0099999999999998</v>
          </cell>
          <cell r="BX23">
            <v>2</v>
          </cell>
          <cell r="BY23">
            <v>1.8</v>
          </cell>
          <cell r="BZ23">
            <v>1.64</v>
          </cell>
          <cell r="CA23">
            <v>1.51</v>
          </cell>
          <cell r="CB23">
            <v>1.54</v>
          </cell>
          <cell r="CC23">
            <v>1.99</v>
          </cell>
          <cell r="CD23">
            <v>1.94</v>
          </cell>
          <cell r="CE23">
            <v>2</v>
          </cell>
          <cell r="CF23">
            <v>2.1800000000000002</v>
          </cell>
          <cell r="CG23">
            <v>2.56</v>
          </cell>
        </row>
        <row r="24">
          <cell r="A24" t="str">
            <v>KRS (SOCAL)-NGI</v>
          </cell>
          <cell r="B24">
            <v>21</v>
          </cell>
          <cell r="AD24">
            <v>1.23</v>
          </cell>
          <cell r="AE24">
            <v>1.21</v>
          </cell>
          <cell r="AF24">
            <v>1.23</v>
          </cell>
          <cell r="AG24">
            <v>1.32</v>
          </cell>
          <cell r="AH24">
            <v>1.32</v>
          </cell>
          <cell r="AI24">
            <v>1.24</v>
          </cell>
          <cell r="AJ24">
            <v>1.23</v>
          </cell>
          <cell r="AK24">
            <v>1.44</v>
          </cell>
          <cell r="AL24">
            <v>1.46</v>
          </cell>
          <cell r="AM24">
            <v>1.56</v>
          </cell>
          <cell r="AN24">
            <v>1.62</v>
          </cell>
          <cell r="AO24">
            <v>1.49</v>
          </cell>
          <cell r="AP24">
            <v>1.42</v>
          </cell>
          <cell r="AQ24">
            <v>1.39</v>
          </cell>
          <cell r="AR24">
            <v>1.28</v>
          </cell>
          <cell r="AS24">
            <v>1.28</v>
          </cell>
          <cell r="AT24">
            <v>1.37</v>
          </cell>
          <cell r="AU24">
            <v>1.68</v>
          </cell>
          <cell r="AV24">
            <v>2.15</v>
          </cell>
          <cell r="AW24">
            <v>1.71</v>
          </cell>
          <cell r="AX24">
            <v>1.72</v>
          </cell>
          <cell r="AY24">
            <v>2.61</v>
          </cell>
          <cell r="AZ24">
            <v>3.68</v>
          </cell>
          <cell r="BA24">
            <v>4.25</v>
          </cell>
          <cell r="BB24">
            <v>2.64</v>
          </cell>
          <cell r="BC24">
            <v>1.6</v>
          </cell>
          <cell r="BD24">
            <v>1.72</v>
          </cell>
          <cell r="BE24">
            <v>2.0299999999999998</v>
          </cell>
          <cell r="BF24">
            <v>2.1800000000000002</v>
          </cell>
          <cell r="BG24">
            <v>2.17</v>
          </cell>
          <cell r="BH24">
            <v>2.19</v>
          </cell>
          <cell r="BI24">
            <v>2.4900000000000002</v>
          </cell>
          <cell r="BJ24">
            <v>3.04</v>
          </cell>
          <cell r="BK24">
            <v>3.27</v>
          </cell>
          <cell r="BL24">
            <v>2.3199999999999998</v>
          </cell>
          <cell r="BM24">
            <v>2.2799999999999998</v>
          </cell>
          <cell r="BN24">
            <v>2.1</v>
          </cell>
        </row>
        <row r="25">
          <cell r="A25" t="str">
            <v>KOCH-LA</v>
          </cell>
          <cell r="B25">
            <v>22</v>
          </cell>
          <cell r="C25">
            <v>2.2200000000000002</v>
          </cell>
          <cell r="D25">
            <v>2.15</v>
          </cell>
          <cell r="E25">
            <v>1.85</v>
          </cell>
          <cell r="F25">
            <v>1.54</v>
          </cell>
          <cell r="G25">
            <v>1.85</v>
          </cell>
          <cell r="H25">
            <v>2.1</v>
          </cell>
          <cell r="I25">
            <v>2.56</v>
          </cell>
          <cell r="J25">
            <v>1.92</v>
          </cell>
          <cell r="K25">
            <v>1.85</v>
          </cell>
          <cell r="L25">
            <v>2.04</v>
          </cell>
          <cell r="M25">
            <v>2.27</v>
          </cell>
          <cell r="N25">
            <v>1.9</v>
          </cell>
          <cell r="O25">
            <v>1.98</v>
          </cell>
          <cell r="P25">
            <v>2.2999999999999998</v>
          </cell>
          <cell r="Q25">
            <v>1.92</v>
          </cell>
          <cell r="R25">
            <v>2.14</v>
          </cell>
          <cell r="S25">
            <v>2.19</v>
          </cell>
          <cell r="T25">
            <v>1.89</v>
          </cell>
          <cell r="U25">
            <v>1.94</v>
          </cell>
          <cell r="V25">
            <v>1.7</v>
          </cell>
          <cell r="W25">
            <v>1.85</v>
          </cell>
          <cell r="X25">
            <v>1.68</v>
          </cell>
          <cell r="Y25">
            <v>1.39</v>
          </cell>
          <cell r="Z25">
            <v>1.31</v>
          </cell>
          <cell r="AA25">
            <v>1.57</v>
          </cell>
          <cell r="AB25">
            <v>1.58</v>
          </cell>
          <cell r="AC25">
            <v>1.52</v>
          </cell>
          <cell r="AD25">
            <v>1.36</v>
          </cell>
          <cell r="AE25">
            <v>1.35</v>
          </cell>
          <cell r="AF25">
            <v>1.46</v>
          </cell>
          <cell r="AG25">
            <v>1.57</v>
          </cell>
          <cell r="AH25">
            <v>1.62</v>
          </cell>
          <cell r="AI25">
            <v>1.43</v>
          </cell>
          <cell r="AJ25">
            <v>1.28</v>
          </cell>
          <cell r="AK25">
            <v>1.48</v>
          </cell>
          <cell r="AL25">
            <v>1.56</v>
          </cell>
          <cell r="AM25">
            <v>1.69</v>
          </cell>
          <cell r="AN25">
            <v>2.12</v>
          </cell>
          <cell r="AO25">
            <v>2.52</v>
          </cell>
          <cell r="AP25">
            <v>2.11</v>
          </cell>
          <cell r="AQ25">
            <v>2.57</v>
          </cell>
          <cell r="AR25">
            <v>2.4500000000000002</v>
          </cell>
          <cell r="AS25">
            <v>2.1</v>
          </cell>
          <cell r="AT25">
            <v>2.2200000000000002</v>
          </cell>
          <cell r="AU25">
            <v>2.52</v>
          </cell>
          <cell r="AV25">
            <v>2.23</v>
          </cell>
          <cell r="AW25">
            <v>1.7</v>
          </cell>
          <cell r="AX25">
            <v>1.74</v>
          </cell>
          <cell r="AY25">
            <v>2.6</v>
          </cell>
          <cell r="AZ25">
            <v>3.82</v>
          </cell>
          <cell r="BA25">
            <v>3.85</v>
          </cell>
          <cell r="BB25">
            <v>2.85</v>
          </cell>
          <cell r="BC25">
            <v>1.72</v>
          </cell>
          <cell r="BD25">
            <v>1.77</v>
          </cell>
          <cell r="BE25">
            <v>2.0099999999999998</v>
          </cell>
          <cell r="BF25">
            <v>2.2599999999999998</v>
          </cell>
          <cell r="BG25">
            <v>2.09</v>
          </cell>
          <cell r="BH25">
            <v>2.12</v>
          </cell>
          <cell r="BI25">
            <v>2.4700000000000002</v>
          </cell>
          <cell r="BJ25">
            <v>3.03</v>
          </cell>
          <cell r="BK25">
            <v>3.2</v>
          </cell>
          <cell r="BL25">
            <v>2.4700000000000002</v>
          </cell>
          <cell r="BM25">
            <v>2.17</v>
          </cell>
          <cell r="BN25">
            <v>1.92</v>
          </cell>
          <cell r="BO25">
            <v>2.15</v>
          </cell>
          <cell r="BP25">
            <v>2.2200000000000002</v>
          </cell>
          <cell r="BQ25">
            <v>2.17</v>
          </cell>
          <cell r="BR25">
            <v>1.94</v>
          </cell>
          <cell r="BS25">
            <v>2.2599999999999998</v>
          </cell>
          <cell r="BT25">
            <v>1.85</v>
          </cell>
          <cell r="BU25">
            <v>1.54</v>
          </cell>
          <cell r="BV25">
            <v>1.95</v>
          </cell>
          <cell r="BW25">
            <v>1.89</v>
          </cell>
          <cell r="BX25">
            <v>2.0099999999999998</v>
          </cell>
          <cell r="BY25">
            <v>1.65</v>
          </cell>
          <cell r="BZ25">
            <v>1.7</v>
          </cell>
          <cell r="CA25">
            <v>1.52</v>
          </cell>
          <cell r="CB25">
            <v>1.76</v>
          </cell>
          <cell r="CC25">
            <v>2.2400000000000002</v>
          </cell>
          <cell r="CD25">
            <v>2.11</v>
          </cell>
          <cell r="CE25">
            <v>2.16</v>
          </cell>
          <cell r="CF25">
            <v>2.4900000000000002</v>
          </cell>
          <cell r="CG25">
            <v>2.78</v>
          </cell>
        </row>
        <row r="26">
          <cell r="A26" t="str">
            <v>KOCH-TX</v>
          </cell>
          <cell r="B26">
            <v>23</v>
          </cell>
          <cell r="C26">
            <v>2.17</v>
          </cell>
          <cell r="D26">
            <v>2.1</v>
          </cell>
          <cell r="E26">
            <v>1.82</v>
          </cell>
          <cell r="F26">
            <v>1.53</v>
          </cell>
          <cell r="G26">
            <v>1.78</v>
          </cell>
          <cell r="H26">
            <v>2.1</v>
          </cell>
          <cell r="I26">
            <v>2.56</v>
          </cell>
          <cell r="J26">
            <v>1.89</v>
          </cell>
          <cell r="K26">
            <v>1.85</v>
          </cell>
          <cell r="L26">
            <v>2</v>
          </cell>
          <cell r="M26">
            <v>2.25</v>
          </cell>
          <cell r="N26">
            <v>1.88</v>
          </cell>
          <cell r="O26">
            <v>1.95</v>
          </cell>
          <cell r="P26">
            <v>2.2599999999999998</v>
          </cell>
          <cell r="Q26">
            <v>1.87</v>
          </cell>
          <cell r="R26">
            <v>2.1</v>
          </cell>
          <cell r="S26">
            <v>2.09</v>
          </cell>
          <cell r="T26">
            <v>1.83</v>
          </cell>
          <cell r="U26">
            <v>1.9</v>
          </cell>
          <cell r="V26">
            <v>1.65</v>
          </cell>
          <cell r="W26">
            <v>1.8</v>
          </cell>
          <cell r="X26">
            <v>1.64</v>
          </cell>
          <cell r="Y26">
            <v>1.37</v>
          </cell>
          <cell r="Z26">
            <v>1.3</v>
          </cell>
          <cell r="AA26">
            <v>1.53</v>
          </cell>
          <cell r="AB26">
            <v>1.54</v>
          </cell>
          <cell r="AC26">
            <v>1.46</v>
          </cell>
          <cell r="AD26">
            <v>1.27</v>
          </cell>
          <cell r="AE26">
            <v>1.3</v>
          </cell>
          <cell r="AF26">
            <v>1.44</v>
          </cell>
          <cell r="AG26">
            <v>1.52</v>
          </cell>
          <cell r="AH26">
            <v>1.58</v>
          </cell>
          <cell r="AI26">
            <v>1.37</v>
          </cell>
          <cell r="AJ26">
            <v>1.26</v>
          </cell>
          <cell r="AK26">
            <v>1.44</v>
          </cell>
          <cell r="AL26">
            <v>1.53</v>
          </cell>
          <cell r="AM26">
            <v>1.65</v>
          </cell>
          <cell r="AN26">
            <v>2.06</v>
          </cell>
          <cell r="AO26">
            <v>2.06</v>
          </cell>
          <cell r="AP26">
            <v>1.78</v>
          </cell>
          <cell r="AQ26">
            <v>1.92</v>
          </cell>
          <cell r="AR26">
            <v>2.2400000000000002</v>
          </cell>
          <cell r="AS26">
            <v>2.0499999999999998</v>
          </cell>
          <cell r="AT26">
            <v>2.21</v>
          </cell>
          <cell r="AU26">
            <v>2.48</v>
          </cell>
          <cell r="AV26">
            <v>2.19</v>
          </cell>
          <cell r="AW26">
            <v>1.69</v>
          </cell>
          <cell r="AX26">
            <v>1.72</v>
          </cell>
          <cell r="AY26">
            <v>2.58</v>
          </cell>
          <cell r="AZ26">
            <v>3.59</v>
          </cell>
          <cell r="BA26">
            <v>3.6</v>
          </cell>
          <cell r="BB26">
            <v>2.64</v>
          </cell>
          <cell r="BC26">
            <v>1.63</v>
          </cell>
          <cell r="BD26">
            <v>1.68</v>
          </cell>
          <cell r="BE26">
            <v>2.0099999999999998</v>
          </cell>
          <cell r="BF26">
            <v>2.17</v>
          </cell>
          <cell r="BG26">
            <v>2.02</v>
          </cell>
          <cell r="BH26">
            <v>2.04</v>
          </cell>
          <cell r="BI26">
            <v>2.4</v>
          </cell>
          <cell r="BJ26">
            <v>2.88</v>
          </cell>
          <cell r="BK26">
            <v>3.04</v>
          </cell>
          <cell r="BL26">
            <v>2.25</v>
          </cell>
          <cell r="BM26">
            <v>2.04</v>
          </cell>
          <cell r="BN26">
            <v>1.82</v>
          </cell>
          <cell r="BO26">
            <v>2.0699999999999998</v>
          </cell>
          <cell r="BP26">
            <v>2.15</v>
          </cell>
          <cell r="BQ26">
            <v>2.09</v>
          </cell>
          <cell r="BR26">
            <v>1.89</v>
          </cell>
          <cell r="BS26">
            <v>2.2000000000000002</v>
          </cell>
          <cell r="BT26">
            <v>1.79</v>
          </cell>
          <cell r="BU26">
            <v>1.47</v>
          </cell>
          <cell r="BV26">
            <v>1.87</v>
          </cell>
          <cell r="BW26">
            <v>1.84</v>
          </cell>
          <cell r="BX26">
            <v>1.96</v>
          </cell>
          <cell r="BY26">
            <v>1.61</v>
          </cell>
          <cell r="BZ26">
            <v>1.63</v>
          </cell>
          <cell r="CA26">
            <v>1.47</v>
          </cell>
          <cell r="CB26">
            <v>1.7</v>
          </cell>
          <cell r="CC26">
            <v>2.1800000000000002</v>
          </cell>
          <cell r="CD26">
            <v>2.06</v>
          </cell>
          <cell r="CE26">
            <v>2.1</v>
          </cell>
          <cell r="CF26">
            <v>2.4500000000000002</v>
          </cell>
          <cell r="CG26">
            <v>2.73</v>
          </cell>
        </row>
        <row r="27">
          <cell r="A27" t="str">
            <v>MALIN-400</v>
          </cell>
          <cell r="B27">
            <v>24</v>
          </cell>
          <cell r="AA27">
            <v>1.63</v>
          </cell>
          <cell r="AB27">
            <v>1.76</v>
          </cell>
          <cell r="AC27">
            <v>1.37</v>
          </cell>
          <cell r="AD27">
            <v>1.1000000000000001</v>
          </cell>
          <cell r="AE27">
            <v>1.0900000000000001</v>
          </cell>
          <cell r="AF27">
            <v>1.1100000000000001</v>
          </cell>
          <cell r="AG27">
            <v>1.2</v>
          </cell>
          <cell r="AH27">
            <v>1.21</v>
          </cell>
          <cell r="AI27">
            <v>1.05</v>
          </cell>
          <cell r="AJ27">
            <v>1.02</v>
          </cell>
          <cell r="AK27">
            <v>1.17</v>
          </cell>
          <cell r="AL27">
            <v>1.23</v>
          </cell>
          <cell r="AM27">
            <v>1.32</v>
          </cell>
          <cell r="AN27">
            <v>1.39</v>
          </cell>
          <cell r="AO27">
            <v>1.38</v>
          </cell>
          <cell r="AP27">
            <v>1.39</v>
          </cell>
          <cell r="AQ27">
            <v>1.32</v>
          </cell>
          <cell r="AR27">
            <v>1.23</v>
          </cell>
          <cell r="AS27">
            <v>1.1499999999999999</v>
          </cell>
          <cell r="AT27">
            <v>1.07</v>
          </cell>
          <cell r="AU27">
            <v>1.19</v>
          </cell>
          <cell r="AV27">
            <v>1.58</v>
          </cell>
          <cell r="AW27">
            <v>1.29</v>
          </cell>
          <cell r="AX27">
            <v>1.34</v>
          </cell>
          <cell r="AY27">
            <v>2.33</v>
          </cell>
          <cell r="AZ27">
            <v>3.62</v>
          </cell>
          <cell r="BA27">
            <v>4.1100000000000003</v>
          </cell>
          <cell r="BB27">
            <v>2.5</v>
          </cell>
          <cell r="BC27">
            <v>1.33</v>
          </cell>
          <cell r="BD27">
            <v>1.46</v>
          </cell>
          <cell r="BE27">
            <v>1.73</v>
          </cell>
          <cell r="BF27">
            <v>1.72</v>
          </cell>
          <cell r="BG27">
            <v>1.59</v>
          </cell>
          <cell r="BH27">
            <v>1.54</v>
          </cell>
          <cell r="BI27">
            <v>1.72</v>
          </cell>
          <cell r="BJ27">
            <v>2.2799999999999998</v>
          </cell>
          <cell r="BK27">
            <v>3.05</v>
          </cell>
          <cell r="BL27">
            <v>1.92</v>
          </cell>
          <cell r="BM27">
            <v>2.1</v>
          </cell>
          <cell r="BN27">
            <v>1.76</v>
          </cell>
          <cell r="BO27">
            <v>1.88</v>
          </cell>
          <cell r="BZ27">
            <v>1.74</v>
          </cell>
          <cell r="CA27">
            <v>1.62</v>
          </cell>
          <cell r="CB27">
            <v>1.64</v>
          </cell>
        </row>
        <row r="28">
          <cell r="A28" t="str">
            <v>MALIN-401</v>
          </cell>
          <cell r="B28">
            <v>25</v>
          </cell>
          <cell r="AC28">
            <v>1.1399999999999999</v>
          </cell>
          <cell r="AD28">
            <v>0.89</v>
          </cell>
          <cell r="AE28">
            <v>0.92</v>
          </cell>
          <cell r="AF28">
            <v>0.95</v>
          </cell>
          <cell r="AG28">
            <v>1.04</v>
          </cell>
          <cell r="AH28">
            <v>1.1000000000000001</v>
          </cell>
          <cell r="AI28">
            <v>0.91</v>
          </cell>
          <cell r="AJ28">
            <v>0.91</v>
          </cell>
          <cell r="AK28">
            <v>1.05</v>
          </cell>
          <cell r="AL28">
            <v>1.1100000000000001</v>
          </cell>
          <cell r="AM28">
            <v>1.17</v>
          </cell>
          <cell r="AN28">
            <v>1.27</v>
          </cell>
          <cell r="AO28">
            <v>1.23</v>
          </cell>
          <cell r="AP28">
            <v>1.24</v>
          </cell>
          <cell r="AQ28">
            <v>1.18</v>
          </cell>
          <cell r="AR28">
            <v>1.1000000000000001</v>
          </cell>
          <cell r="AS28">
            <v>1.03</v>
          </cell>
          <cell r="AT28">
            <v>1</v>
          </cell>
          <cell r="AU28">
            <v>1.19</v>
          </cell>
          <cell r="AV28">
            <v>1.56</v>
          </cell>
          <cell r="AW28">
            <v>1.25</v>
          </cell>
          <cell r="AX28">
            <v>1.29</v>
          </cell>
          <cell r="AY28">
            <v>2.2400000000000002</v>
          </cell>
          <cell r="AZ28">
            <v>3.52</v>
          </cell>
          <cell r="BA28">
            <v>4.0599999999999996</v>
          </cell>
          <cell r="BB28">
            <v>2.44</v>
          </cell>
          <cell r="BC28">
            <v>1.28</v>
          </cell>
          <cell r="BD28">
            <v>1.39</v>
          </cell>
          <cell r="BE28">
            <v>1.67</v>
          </cell>
          <cell r="BF28">
            <v>1.68</v>
          </cell>
          <cell r="BG28">
            <v>1.49</v>
          </cell>
          <cell r="BH28">
            <v>1.5</v>
          </cell>
          <cell r="BI28">
            <v>1.69</v>
          </cell>
          <cell r="BJ28">
            <v>2.25</v>
          </cell>
          <cell r="BK28">
            <v>2.88</v>
          </cell>
          <cell r="BL28">
            <v>1.8</v>
          </cell>
          <cell r="BM28">
            <v>1.96</v>
          </cell>
          <cell r="BN28">
            <v>1.7</v>
          </cell>
          <cell r="BO28">
            <v>2.3199999999999998</v>
          </cell>
        </row>
        <row r="29">
          <cell r="A29" t="str">
            <v>MICH</v>
          </cell>
          <cell r="B29">
            <v>26</v>
          </cell>
          <cell r="D29">
            <v>2.5</v>
          </cell>
          <cell r="E29">
            <v>2.29</v>
          </cell>
          <cell r="F29">
            <v>1.98</v>
          </cell>
          <cell r="G29">
            <v>2.12</v>
          </cell>
          <cell r="H29">
            <v>2.4900000000000002</v>
          </cell>
          <cell r="I29">
            <v>3.03</v>
          </cell>
          <cell r="J29">
            <v>2.36</v>
          </cell>
          <cell r="K29">
            <v>2.2200000000000002</v>
          </cell>
          <cell r="L29">
            <v>2.29</v>
          </cell>
          <cell r="M29">
            <v>2.61</v>
          </cell>
          <cell r="N29">
            <v>2.2000000000000002</v>
          </cell>
          <cell r="O29">
            <v>2.23</v>
          </cell>
          <cell r="P29">
            <v>2.54</v>
          </cell>
          <cell r="Q29">
            <v>2.25</v>
          </cell>
          <cell r="R29">
            <v>2.64</v>
          </cell>
          <cell r="S29">
            <v>2.77</v>
          </cell>
          <cell r="T29">
            <v>2.23</v>
          </cell>
          <cell r="U29">
            <v>2.23</v>
          </cell>
          <cell r="V29">
            <v>1.97</v>
          </cell>
          <cell r="W29">
            <v>2.0699999999999998</v>
          </cell>
          <cell r="X29">
            <v>1.91</v>
          </cell>
          <cell r="Y29">
            <v>1.61</v>
          </cell>
          <cell r="Z29">
            <v>1.49</v>
          </cell>
          <cell r="AA29">
            <v>1.85</v>
          </cell>
          <cell r="AB29">
            <v>1.86</v>
          </cell>
          <cell r="AC29">
            <v>1.75</v>
          </cell>
          <cell r="AD29">
            <v>1.52</v>
          </cell>
          <cell r="AE29">
            <v>1.5</v>
          </cell>
          <cell r="AF29">
            <v>1.64</v>
          </cell>
          <cell r="AG29">
            <v>1.76</v>
          </cell>
          <cell r="AH29">
            <v>1.82</v>
          </cell>
          <cell r="AI29">
            <v>1.59</v>
          </cell>
          <cell r="AJ29">
            <v>1.46</v>
          </cell>
          <cell r="AK29">
            <v>1.68</v>
          </cell>
          <cell r="AL29">
            <v>1.75</v>
          </cell>
          <cell r="AM29">
            <v>1.92</v>
          </cell>
          <cell r="AN29">
            <v>2.35</v>
          </cell>
          <cell r="AO29">
            <v>3.43</v>
          </cell>
          <cell r="AP29">
            <v>3.06</v>
          </cell>
          <cell r="AQ29">
            <v>4.8</v>
          </cell>
          <cell r="AR29">
            <v>3.01</v>
          </cell>
          <cell r="AS29">
            <v>2.38</v>
          </cell>
          <cell r="AT29">
            <v>2.6</v>
          </cell>
          <cell r="AU29">
            <v>2.9</v>
          </cell>
          <cell r="AV29">
            <v>2.5</v>
          </cell>
          <cell r="AW29">
            <v>2.0299999999999998</v>
          </cell>
          <cell r="AX29">
            <v>2.16</v>
          </cell>
          <cell r="AY29">
            <v>3.05</v>
          </cell>
          <cell r="AZ29">
            <v>4.08</v>
          </cell>
          <cell r="BA29">
            <v>4.38</v>
          </cell>
          <cell r="BB29">
            <v>3.36</v>
          </cell>
          <cell r="BC29">
            <v>1.94</v>
          </cell>
          <cell r="BD29">
            <v>2.12</v>
          </cell>
          <cell r="BE29">
            <v>2.2999999999999998</v>
          </cell>
          <cell r="BF29">
            <v>2.5299999999999998</v>
          </cell>
          <cell r="BG29">
            <v>2.3199999999999998</v>
          </cell>
          <cell r="BH29">
            <v>2.31</v>
          </cell>
          <cell r="BI29">
            <v>2.71</v>
          </cell>
          <cell r="BJ29">
            <v>3.37</v>
          </cell>
          <cell r="BK29">
            <v>3.54</v>
          </cell>
          <cell r="BL29">
            <v>3.54</v>
          </cell>
          <cell r="BM29">
            <v>2.38</v>
          </cell>
          <cell r="BN29">
            <v>2.1800000000000002</v>
          </cell>
          <cell r="BO29">
            <v>2.37</v>
          </cell>
          <cell r="BP29">
            <v>2.4700000000000002</v>
          </cell>
          <cell r="BQ29">
            <v>2.41</v>
          </cell>
          <cell r="BR29">
            <v>2.17</v>
          </cell>
          <cell r="BS29">
            <v>2.4300000000000002</v>
          </cell>
          <cell r="CE29">
            <v>2.34</v>
          </cell>
          <cell r="CF29">
            <v>2.7</v>
          </cell>
          <cell r="CG29">
            <v>2.98</v>
          </cell>
        </row>
        <row r="30">
          <cell r="A30" t="str">
            <v>MRC</v>
          </cell>
          <cell r="B30">
            <v>27</v>
          </cell>
          <cell r="C30">
            <v>2.36</v>
          </cell>
          <cell r="D30">
            <v>2.31</v>
          </cell>
          <cell r="E30">
            <v>2.04</v>
          </cell>
          <cell r="F30">
            <v>1.66</v>
          </cell>
          <cell r="G30">
            <v>1.99</v>
          </cell>
          <cell r="H30">
            <v>2.2799999999999998</v>
          </cell>
          <cell r="I30">
            <v>2.7</v>
          </cell>
          <cell r="J30">
            <v>2</v>
          </cell>
          <cell r="K30">
            <v>2.0299999999999998</v>
          </cell>
          <cell r="L30">
            <v>2.1800000000000002</v>
          </cell>
          <cell r="M30">
            <v>2.42</v>
          </cell>
          <cell r="N30">
            <v>2.08</v>
          </cell>
          <cell r="O30">
            <v>2.16</v>
          </cell>
          <cell r="P30">
            <v>2.4700000000000002</v>
          </cell>
          <cell r="Q30">
            <v>2.08</v>
          </cell>
          <cell r="R30">
            <v>2.4</v>
          </cell>
          <cell r="S30">
            <v>2.4300000000000002</v>
          </cell>
          <cell r="T30">
            <v>2.04</v>
          </cell>
          <cell r="U30">
            <v>2.1</v>
          </cell>
          <cell r="V30">
            <v>1.86</v>
          </cell>
          <cell r="W30">
            <v>1.99</v>
          </cell>
          <cell r="X30">
            <v>1.82</v>
          </cell>
          <cell r="Y30">
            <v>1.52</v>
          </cell>
          <cell r="Z30">
            <v>1.45</v>
          </cell>
          <cell r="AA30">
            <v>1.71</v>
          </cell>
          <cell r="AB30">
            <v>1.7</v>
          </cell>
          <cell r="AC30">
            <v>1.65</v>
          </cell>
          <cell r="AD30">
            <v>1.44</v>
          </cell>
          <cell r="AE30">
            <v>1.51</v>
          </cell>
          <cell r="AF30">
            <v>1.61</v>
          </cell>
          <cell r="AG30">
            <v>1.69</v>
          </cell>
          <cell r="AH30">
            <v>1.75</v>
          </cell>
          <cell r="AI30">
            <v>1.55</v>
          </cell>
          <cell r="AJ30">
            <v>1.41</v>
          </cell>
          <cell r="AK30">
            <v>1.59</v>
          </cell>
          <cell r="AL30">
            <v>1.67</v>
          </cell>
          <cell r="AM30">
            <v>1.82</v>
          </cell>
          <cell r="AN30">
            <v>2.31</v>
          </cell>
          <cell r="AO30">
            <v>3.47</v>
          </cell>
          <cell r="AP30">
            <v>2.4300000000000002</v>
          </cell>
          <cell r="AQ30">
            <v>2.86</v>
          </cell>
          <cell r="AR30">
            <v>2.74</v>
          </cell>
          <cell r="AS30">
            <v>2.25</v>
          </cell>
          <cell r="AT30">
            <v>2.42</v>
          </cell>
          <cell r="AU30">
            <v>2.69</v>
          </cell>
          <cell r="AV30">
            <v>2.37</v>
          </cell>
          <cell r="AW30">
            <v>1.87</v>
          </cell>
          <cell r="AX30">
            <v>1.9</v>
          </cell>
          <cell r="AY30">
            <v>2.75</v>
          </cell>
          <cell r="AZ30">
            <v>3.94</v>
          </cell>
          <cell r="BA30">
            <v>4.1500000000000004</v>
          </cell>
          <cell r="BB30">
            <v>2.99</v>
          </cell>
          <cell r="BC30">
            <v>1.76</v>
          </cell>
          <cell r="BD30">
            <v>1.87</v>
          </cell>
          <cell r="BE30">
            <v>2.16</v>
          </cell>
          <cell r="BF30">
            <v>2.36</v>
          </cell>
          <cell r="BG30">
            <v>2.21</v>
          </cell>
          <cell r="BH30">
            <v>2.23</v>
          </cell>
          <cell r="BI30">
            <v>2.58</v>
          </cell>
          <cell r="BJ30">
            <v>3.15</v>
          </cell>
          <cell r="BK30">
            <v>3.32</v>
          </cell>
          <cell r="BL30">
            <v>2.58</v>
          </cell>
          <cell r="BM30">
            <v>2.3199999999999998</v>
          </cell>
          <cell r="BN30">
            <v>2.06</v>
          </cell>
        </row>
        <row r="31">
          <cell r="A31" t="str">
            <v>NGPL-LA</v>
          </cell>
          <cell r="B31">
            <v>28</v>
          </cell>
          <cell r="C31">
            <v>2.2999999999999998</v>
          </cell>
          <cell r="D31">
            <v>2.2000000000000002</v>
          </cell>
          <cell r="E31">
            <v>1.92</v>
          </cell>
          <cell r="F31">
            <v>1.62</v>
          </cell>
          <cell r="G31">
            <v>1.86</v>
          </cell>
          <cell r="H31">
            <v>2.16</v>
          </cell>
          <cell r="I31">
            <v>2.67</v>
          </cell>
          <cell r="J31">
            <v>1.98</v>
          </cell>
          <cell r="K31">
            <v>1.9</v>
          </cell>
          <cell r="L31">
            <v>2.04</v>
          </cell>
          <cell r="M31">
            <v>2.33</v>
          </cell>
          <cell r="N31">
            <v>1.97</v>
          </cell>
          <cell r="O31">
            <v>2.08</v>
          </cell>
          <cell r="P31">
            <v>2.33</v>
          </cell>
          <cell r="Q31">
            <v>1.98</v>
          </cell>
          <cell r="R31">
            <v>2.2799999999999998</v>
          </cell>
          <cell r="S31">
            <v>2.25</v>
          </cell>
          <cell r="T31">
            <v>1.92</v>
          </cell>
          <cell r="U31">
            <v>2</v>
          </cell>
          <cell r="V31">
            <v>1.74</v>
          </cell>
          <cell r="W31">
            <v>1.86</v>
          </cell>
          <cell r="X31">
            <v>1.72</v>
          </cell>
          <cell r="Y31">
            <v>1.43</v>
          </cell>
          <cell r="Z31">
            <v>1.36</v>
          </cell>
          <cell r="AA31">
            <v>1.61</v>
          </cell>
          <cell r="AB31">
            <v>1.61</v>
          </cell>
          <cell r="AC31">
            <v>1.55</v>
          </cell>
          <cell r="AD31">
            <v>1.35</v>
          </cell>
          <cell r="AE31">
            <v>1.37</v>
          </cell>
          <cell r="AF31">
            <v>1.49</v>
          </cell>
          <cell r="AG31">
            <v>1.61</v>
          </cell>
          <cell r="AH31">
            <v>1.65</v>
          </cell>
          <cell r="AI31">
            <v>1.44</v>
          </cell>
          <cell r="AJ31">
            <v>1.31</v>
          </cell>
          <cell r="AK31">
            <v>1.51</v>
          </cell>
          <cell r="AL31">
            <v>1.59</v>
          </cell>
          <cell r="AM31">
            <v>1.72</v>
          </cell>
          <cell r="AN31">
            <v>2.15</v>
          </cell>
          <cell r="AO31">
            <v>2.13</v>
          </cell>
          <cell r="AP31">
            <v>1.9</v>
          </cell>
          <cell r="AQ31">
            <v>2.15</v>
          </cell>
          <cell r="AR31">
            <v>2.4</v>
          </cell>
          <cell r="AS31">
            <v>2.12</v>
          </cell>
          <cell r="AT31">
            <v>2.25</v>
          </cell>
          <cell r="AU31">
            <v>2.57</v>
          </cell>
          <cell r="AV31">
            <v>2.2200000000000002</v>
          </cell>
          <cell r="AW31">
            <v>1.74</v>
          </cell>
          <cell r="AX31">
            <v>1.78</v>
          </cell>
          <cell r="AY31">
            <v>2.61</v>
          </cell>
          <cell r="AZ31">
            <v>3.72</v>
          </cell>
          <cell r="BA31">
            <v>4</v>
          </cell>
          <cell r="BB31">
            <v>2.82</v>
          </cell>
          <cell r="BC31">
            <v>1.69</v>
          </cell>
          <cell r="BD31">
            <v>1.74</v>
          </cell>
          <cell r="BE31">
            <v>2.04</v>
          </cell>
          <cell r="BF31">
            <v>2.23</v>
          </cell>
          <cell r="BG31">
            <v>2.09</v>
          </cell>
          <cell r="BH31">
            <v>2.11</v>
          </cell>
          <cell r="BI31">
            <v>2.4700000000000002</v>
          </cell>
          <cell r="BJ31">
            <v>3.05</v>
          </cell>
          <cell r="BK31">
            <v>3.17</v>
          </cell>
          <cell r="BL31">
            <v>2.37</v>
          </cell>
          <cell r="BM31">
            <v>2.15</v>
          </cell>
          <cell r="BN31">
            <v>1.92</v>
          </cell>
          <cell r="BO31">
            <v>2.1800000000000002</v>
          </cell>
          <cell r="BP31">
            <v>2.23</v>
          </cell>
          <cell r="BQ31">
            <v>2.2000000000000002</v>
          </cell>
          <cell r="BR31">
            <v>1.97</v>
          </cell>
          <cell r="BS31">
            <v>2.31</v>
          </cell>
          <cell r="BT31">
            <v>1.86</v>
          </cell>
          <cell r="BU31">
            <v>1.56</v>
          </cell>
          <cell r="BV31">
            <v>1.96</v>
          </cell>
          <cell r="BW31">
            <v>1.95</v>
          </cell>
          <cell r="BX31">
            <v>2.08</v>
          </cell>
          <cell r="BY31">
            <v>1.72</v>
          </cell>
          <cell r="BZ31">
            <v>1.75</v>
          </cell>
          <cell r="CA31">
            <v>1.58</v>
          </cell>
          <cell r="CB31">
            <v>1.83</v>
          </cell>
          <cell r="CC31">
            <v>2.2999999999999998</v>
          </cell>
          <cell r="CD31">
            <v>2.1800000000000002</v>
          </cell>
          <cell r="CE31">
            <v>2.21</v>
          </cell>
          <cell r="CF31">
            <v>2.57</v>
          </cell>
          <cell r="CG31">
            <v>2.84</v>
          </cell>
        </row>
        <row r="32">
          <cell r="A32" t="str">
            <v>NGPL-MC</v>
          </cell>
          <cell r="B32">
            <v>29</v>
          </cell>
          <cell r="AQ32">
            <v>1.9</v>
          </cell>
          <cell r="AR32">
            <v>2.14</v>
          </cell>
          <cell r="AS32">
            <v>2.0099999999999998</v>
          </cell>
          <cell r="AT32">
            <v>2.0499999999999998</v>
          </cell>
          <cell r="AU32">
            <v>2.1800000000000002</v>
          </cell>
          <cell r="AV32">
            <v>2.14</v>
          </cell>
          <cell r="AW32">
            <v>1.67</v>
          </cell>
          <cell r="AX32">
            <v>1.69</v>
          </cell>
          <cell r="AY32">
            <v>2.4900000000000002</v>
          </cell>
          <cell r="AZ32">
            <v>3.62</v>
          </cell>
          <cell r="BA32">
            <v>3.95</v>
          </cell>
          <cell r="BB32">
            <v>2.76</v>
          </cell>
          <cell r="BC32">
            <v>1.62</v>
          </cell>
          <cell r="BD32">
            <v>1.71</v>
          </cell>
          <cell r="BE32">
            <v>1.95</v>
          </cell>
          <cell r="BF32">
            <v>2.13</v>
          </cell>
          <cell r="BG32">
            <v>2.0099999999999998</v>
          </cell>
          <cell r="BH32">
            <v>2.06</v>
          </cell>
          <cell r="BI32">
            <v>2.41</v>
          </cell>
          <cell r="BJ32">
            <v>3</v>
          </cell>
          <cell r="BK32">
            <v>3.12</v>
          </cell>
          <cell r="BL32">
            <v>2.3199999999999998</v>
          </cell>
          <cell r="BM32">
            <v>2.14</v>
          </cell>
          <cell r="BN32">
            <v>1.92</v>
          </cell>
          <cell r="BO32">
            <v>2.15</v>
          </cell>
          <cell r="BP32">
            <v>2.19</v>
          </cell>
          <cell r="BQ32">
            <v>2.17</v>
          </cell>
          <cell r="BR32">
            <v>1.94</v>
          </cell>
          <cell r="BS32">
            <v>2.27</v>
          </cell>
          <cell r="BT32">
            <v>1.84</v>
          </cell>
          <cell r="BU32">
            <v>1.56</v>
          </cell>
          <cell r="BV32">
            <v>1.9</v>
          </cell>
          <cell r="BW32">
            <v>1.95</v>
          </cell>
          <cell r="BX32">
            <v>2.0499999999999998</v>
          </cell>
          <cell r="BY32">
            <v>1.74</v>
          </cell>
          <cell r="BZ32">
            <v>1.73</v>
          </cell>
          <cell r="CA32">
            <v>1.55</v>
          </cell>
          <cell r="CB32">
            <v>1.74</v>
          </cell>
          <cell r="CC32">
            <v>2.21</v>
          </cell>
          <cell r="CD32">
            <v>2.11</v>
          </cell>
          <cell r="CE32">
            <v>2.16</v>
          </cell>
          <cell r="CF32">
            <v>2.5</v>
          </cell>
          <cell r="CG32">
            <v>2.76</v>
          </cell>
        </row>
        <row r="33">
          <cell r="A33" t="str">
            <v>NGPL-OK</v>
          </cell>
          <cell r="B33">
            <v>30</v>
          </cell>
          <cell r="C33">
            <v>2.0499999999999998</v>
          </cell>
          <cell r="D33">
            <v>2.02</v>
          </cell>
          <cell r="E33">
            <v>1.91</v>
          </cell>
          <cell r="F33">
            <v>1.6</v>
          </cell>
          <cell r="G33">
            <v>1.84</v>
          </cell>
          <cell r="H33">
            <v>2.08</v>
          </cell>
          <cell r="I33">
            <v>2.58</v>
          </cell>
          <cell r="J33">
            <v>1.8</v>
          </cell>
          <cell r="K33">
            <v>1.8</v>
          </cell>
          <cell r="L33">
            <v>1.93</v>
          </cell>
          <cell r="M33">
            <v>2.17</v>
          </cell>
          <cell r="N33">
            <v>1.85</v>
          </cell>
          <cell r="O33">
            <v>1.88</v>
          </cell>
          <cell r="P33">
            <v>2.2200000000000002</v>
          </cell>
          <cell r="Q33">
            <v>1.93</v>
          </cell>
          <cell r="R33">
            <v>2.09</v>
          </cell>
          <cell r="S33">
            <v>2.14</v>
          </cell>
          <cell r="T33">
            <v>1.8</v>
          </cell>
          <cell r="U33">
            <v>1.84</v>
          </cell>
          <cell r="V33">
            <v>1.56</v>
          </cell>
          <cell r="W33">
            <v>1.68</v>
          </cell>
          <cell r="X33">
            <v>1.59</v>
          </cell>
          <cell r="Y33">
            <v>1.4</v>
          </cell>
          <cell r="Z33">
            <v>1.3</v>
          </cell>
          <cell r="AA33">
            <v>1.52</v>
          </cell>
          <cell r="AB33">
            <v>1.6</v>
          </cell>
          <cell r="AC33">
            <v>1.5</v>
          </cell>
          <cell r="AD33">
            <v>1.26</v>
          </cell>
          <cell r="AE33">
            <v>1.27</v>
          </cell>
          <cell r="AF33">
            <v>1.34</v>
          </cell>
          <cell r="AG33">
            <v>1.44</v>
          </cell>
          <cell r="AH33">
            <v>1.45</v>
          </cell>
          <cell r="AI33">
            <v>1.24</v>
          </cell>
          <cell r="AJ33">
            <v>1.2</v>
          </cell>
          <cell r="AK33">
            <v>1.41</v>
          </cell>
          <cell r="AL33">
            <v>1.5</v>
          </cell>
          <cell r="AM33">
            <v>1.7</v>
          </cell>
          <cell r="AN33">
            <v>1.88</v>
          </cell>
          <cell r="AO33">
            <v>2</v>
          </cell>
          <cell r="AP33">
            <v>1.79</v>
          </cell>
          <cell r="BB33">
            <v>2.83</v>
          </cell>
          <cell r="BC33">
            <v>1.65</v>
          </cell>
          <cell r="BD33">
            <v>1.74</v>
          </cell>
          <cell r="BE33">
            <v>1.96</v>
          </cell>
          <cell r="BF33">
            <v>2.13</v>
          </cell>
          <cell r="BG33">
            <v>2.02</v>
          </cell>
          <cell r="BH33">
            <v>2.08</v>
          </cell>
          <cell r="BI33">
            <v>2.4300000000000002</v>
          </cell>
        </row>
        <row r="34">
          <cell r="A34" t="str">
            <v>NGPL-TOK</v>
          </cell>
          <cell r="B34">
            <v>31</v>
          </cell>
          <cell r="AQ34">
            <v>1.97</v>
          </cell>
          <cell r="AR34">
            <v>2.23</v>
          </cell>
          <cell r="AS34">
            <v>2.14</v>
          </cell>
          <cell r="AT34">
            <v>2.2400000000000002</v>
          </cell>
          <cell r="AU34">
            <v>2.5099999999999998</v>
          </cell>
          <cell r="AV34">
            <v>2.23</v>
          </cell>
          <cell r="AW34">
            <v>1.75</v>
          </cell>
          <cell r="AX34">
            <v>1.76</v>
          </cell>
          <cell r="AY34">
            <v>2.57</v>
          </cell>
          <cell r="AZ34">
            <v>3.69</v>
          </cell>
          <cell r="BA34">
            <v>3.8</v>
          </cell>
          <cell r="BB34">
            <v>2.75</v>
          </cell>
          <cell r="BC34">
            <v>1.64</v>
          </cell>
          <cell r="BD34">
            <v>1.74</v>
          </cell>
          <cell r="BE34">
            <v>2.0299999999999998</v>
          </cell>
          <cell r="BF34">
            <v>2.2400000000000002</v>
          </cell>
          <cell r="BG34">
            <v>2.08</v>
          </cell>
          <cell r="BH34">
            <v>2.12</v>
          </cell>
          <cell r="BI34">
            <v>2.46</v>
          </cell>
          <cell r="BJ34">
            <v>3.07</v>
          </cell>
          <cell r="BK34">
            <v>3.18</v>
          </cell>
          <cell r="BL34">
            <v>2.35</v>
          </cell>
          <cell r="BM34">
            <v>2.16</v>
          </cell>
          <cell r="BN34">
            <v>1.96</v>
          </cell>
          <cell r="BO34">
            <v>2.19</v>
          </cell>
          <cell r="BP34">
            <v>2.23</v>
          </cell>
          <cell r="BQ34">
            <v>2.2200000000000002</v>
          </cell>
          <cell r="BR34">
            <v>1.98</v>
          </cell>
          <cell r="BS34">
            <v>2.31</v>
          </cell>
          <cell r="BT34">
            <v>1.88</v>
          </cell>
          <cell r="BU34">
            <v>1.58</v>
          </cell>
          <cell r="BV34">
            <v>1.95</v>
          </cell>
          <cell r="BW34">
            <v>1.96</v>
          </cell>
          <cell r="BX34">
            <v>2.06</v>
          </cell>
          <cell r="BY34">
            <v>1.74</v>
          </cell>
          <cell r="BZ34">
            <v>1.75</v>
          </cell>
          <cell r="CA34">
            <v>1.57</v>
          </cell>
          <cell r="CB34">
            <v>1.8</v>
          </cell>
          <cell r="CC34">
            <v>2.2799999999999998</v>
          </cell>
          <cell r="CD34">
            <v>2.1800000000000002</v>
          </cell>
          <cell r="CE34">
            <v>2.2200000000000002</v>
          </cell>
          <cell r="CF34">
            <v>2.5499999999999998</v>
          </cell>
          <cell r="CG34">
            <v>2.83</v>
          </cell>
        </row>
        <row r="35">
          <cell r="A35" t="str">
            <v>NGPL-STX</v>
          </cell>
          <cell r="B35">
            <v>32</v>
          </cell>
          <cell r="C35">
            <v>2.2000000000000002</v>
          </cell>
          <cell r="D35">
            <v>2.1</v>
          </cell>
          <cell r="E35">
            <v>1.92</v>
          </cell>
          <cell r="F35">
            <v>1.58</v>
          </cell>
          <cell r="G35">
            <v>1.85</v>
          </cell>
          <cell r="H35">
            <v>2.15</v>
          </cell>
          <cell r="I35">
            <v>2.6</v>
          </cell>
          <cell r="J35">
            <v>1.9</v>
          </cell>
          <cell r="K35">
            <v>1.89</v>
          </cell>
          <cell r="L35">
            <v>2.02</v>
          </cell>
          <cell r="M35">
            <v>2.3199999999999998</v>
          </cell>
          <cell r="N35">
            <v>1.95</v>
          </cell>
          <cell r="O35">
            <v>2.04</v>
          </cell>
          <cell r="P35">
            <v>2.2999999999999998</v>
          </cell>
          <cell r="Q35">
            <v>1.97</v>
          </cell>
          <cell r="R35">
            <v>2.23</v>
          </cell>
          <cell r="S35">
            <v>2.2400000000000002</v>
          </cell>
          <cell r="T35">
            <v>1.86</v>
          </cell>
          <cell r="U35">
            <v>1.97</v>
          </cell>
          <cell r="V35">
            <v>1.72</v>
          </cell>
          <cell r="W35">
            <v>1.88</v>
          </cell>
          <cell r="X35">
            <v>1.72</v>
          </cell>
          <cell r="Y35">
            <v>1.41</v>
          </cell>
          <cell r="Z35">
            <v>1.34</v>
          </cell>
          <cell r="AA35">
            <v>1.6</v>
          </cell>
          <cell r="AB35">
            <v>1.61</v>
          </cell>
          <cell r="AC35">
            <v>1.52</v>
          </cell>
          <cell r="AD35">
            <v>1.32</v>
          </cell>
          <cell r="AE35">
            <v>1.34</v>
          </cell>
          <cell r="AF35">
            <v>1.48</v>
          </cell>
          <cell r="AG35">
            <v>1.59</v>
          </cell>
          <cell r="AH35">
            <v>1.63</v>
          </cell>
          <cell r="AI35">
            <v>1.41</v>
          </cell>
          <cell r="AJ35">
            <v>1.3</v>
          </cell>
          <cell r="AK35">
            <v>1.51</v>
          </cell>
          <cell r="AL35">
            <v>1.58</v>
          </cell>
          <cell r="AM35">
            <v>1.7</v>
          </cell>
          <cell r="AN35">
            <v>2.1</v>
          </cell>
          <cell r="AO35">
            <v>2.0499999999999998</v>
          </cell>
          <cell r="AP35">
            <v>1.8</v>
          </cell>
          <cell r="AQ35">
            <v>1.97</v>
          </cell>
          <cell r="AR35">
            <v>2.25</v>
          </cell>
          <cell r="AS35">
            <v>2.11</v>
          </cell>
          <cell r="AT35">
            <v>2.2400000000000002</v>
          </cell>
          <cell r="AU35">
            <v>2.52</v>
          </cell>
          <cell r="AV35">
            <v>2.23</v>
          </cell>
          <cell r="AW35">
            <v>1.73</v>
          </cell>
          <cell r="AX35">
            <v>1.75</v>
          </cell>
          <cell r="AY35">
            <v>2.61</v>
          </cell>
          <cell r="AZ35">
            <v>3.66</v>
          </cell>
          <cell r="BA35">
            <v>3.85</v>
          </cell>
          <cell r="BB35">
            <v>2.73</v>
          </cell>
          <cell r="BC35">
            <v>1.64</v>
          </cell>
          <cell r="BD35">
            <v>1.75</v>
          </cell>
          <cell r="BE35">
            <v>2.04</v>
          </cell>
          <cell r="BF35">
            <v>2.2200000000000002</v>
          </cell>
          <cell r="BG35">
            <v>2.09</v>
          </cell>
          <cell r="BH35">
            <v>2.1</v>
          </cell>
          <cell r="BI35">
            <v>2.4500000000000002</v>
          </cell>
          <cell r="BJ35">
            <v>3.05</v>
          </cell>
          <cell r="BK35">
            <v>3.18</v>
          </cell>
          <cell r="BL35">
            <v>2.35</v>
          </cell>
          <cell r="BM35">
            <v>2.16</v>
          </cell>
          <cell r="BN35">
            <v>1.93</v>
          </cell>
          <cell r="BO35">
            <v>2.17</v>
          </cell>
          <cell r="BP35">
            <v>2.23</v>
          </cell>
          <cell r="BQ35">
            <v>2.2000000000000002</v>
          </cell>
          <cell r="BR35">
            <v>1.96</v>
          </cell>
          <cell r="BS35">
            <v>2.29</v>
          </cell>
          <cell r="BT35">
            <v>1.85</v>
          </cell>
          <cell r="BU35">
            <v>1.53</v>
          </cell>
          <cell r="BV35">
            <v>1.93</v>
          </cell>
          <cell r="BW35">
            <v>1.88</v>
          </cell>
          <cell r="BX35">
            <v>2.02</v>
          </cell>
          <cell r="BY35">
            <v>1.69</v>
          </cell>
          <cell r="BZ35">
            <v>1.73</v>
          </cell>
          <cell r="CA35">
            <v>1.56</v>
          </cell>
          <cell r="CB35">
            <v>1.8</v>
          </cell>
          <cell r="CC35">
            <v>2.2799999999999998</v>
          </cell>
          <cell r="CD35">
            <v>2.15</v>
          </cell>
          <cell r="CE35">
            <v>2.19</v>
          </cell>
          <cell r="CF35">
            <v>2.5499999999999998</v>
          </cell>
          <cell r="CG35">
            <v>2.82</v>
          </cell>
        </row>
        <row r="36">
          <cell r="A36" t="str">
            <v>NNG-DEMARC</v>
          </cell>
          <cell r="B36">
            <v>33</v>
          </cell>
          <cell r="M36">
            <v>2.1</v>
          </cell>
          <cell r="N36">
            <v>1.9</v>
          </cell>
          <cell r="O36">
            <v>1.89</v>
          </cell>
          <cell r="Q36">
            <v>1.95</v>
          </cell>
          <cell r="R36">
            <v>2.0499999999999998</v>
          </cell>
          <cell r="S36">
            <v>2.14</v>
          </cell>
          <cell r="T36">
            <v>1.77</v>
          </cell>
          <cell r="U36">
            <v>1.77</v>
          </cell>
          <cell r="V36">
            <v>1.5</v>
          </cell>
          <cell r="W36">
            <v>1.61</v>
          </cell>
          <cell r="X36">
            <v>1.55</v>
          </cell>
          <cell r="Y36">
            <v>1.39</v>
          </cell>
          <cell r="Z36">
            <v>1.39</v>
          </cell>
          <cell r="AA36">
            <v>1.47</v>
          </cell>
          <cell r="AB36">
            <v>1.6</v>
          </cell>
          <cell r="AC36">
            <v>1.5</v>
          </cell>
          <cell r="AD36">
            <v>1.25</v>
          </cell>
          <cell r="AE36">
            <v>1.24</v>
          </cell>
          <cell r="AF36">
            <v>1.28</v>
          </cell>
          <cell r="AG36">
            <v>1.41</v>
          </cell>
          <cell r="AH36">
            <v>1.42</v>
          </cell>
          <cell r="AI36">
            <v>1.23</v>
          </cell>
          <cell r="AJ36">
            <v>1.19</v>
          </cell>
          <cell r="AK36">
            <v>1.41</v>
          </cell>
          <cell r="AL36">
            <v>1.5</v>
          </cell>
          <cell r="AM36">
            <v>1.63</v>
          </cell>
          <cell r="AN36">
            <v>1.9</v>
          </cell>
          <cell r="AO36">
            <v>2.0499999999999998</v>
          </cell>
          <cell r="AP36">
            <v>1.86</v>
          </cell>
          <cell r="AQ36">
            <v>1.98</v>
          </cell>
          <cell r="AR36">
            <v>2.16</v>
          </cell>
          <cell r="AS36">
            <v>1.99</v>
          </cell>
          <cell r="AT36">
            <v>2.0299999999999998</v>
          </cell>
          <cell r="AU36">
            <v>2.17</v>
          </cell>
          <cell r="AV36">
            <v>2.08</v>
          </cell>
          <cell r="AW36">
            <v>1.63</v>
          </cell>
          <cell r="AX36">
            <v>1.71</v>
          </cell>
          <cell r="AY36">
            <v>2.59</v>
          </cell>
          <cell r="AZ36">
            <v>3.62</v>
          </cell>
          <cell r="BA36">
            <v>4.22</v>
          </cell>
          <cell r="BB36">
            <v>2.87</v>
          </cell>
          <cell r="BC36">
            <v>1.65</v>
          </cell>
          <cell r="BD36">
            <v>1.73</v>
          </cell>
          <cell r="BE36">
            <v>1.94</v>
          </cell>
          <cell r="BF36">
            <v>2.11</v>
          </cell>
          <cell r="BG36">
            <v>2.0099999999999998</v>
          </cell>
          <cell r="BH36">
            <v>2.0499999999999998</v>
          </cell>
          <cell r="BI36">
            <v>2.42</v>
          </cell>
          <cell r="BJ36">
            <v>3.02</v>
          </cell>
          <cell r="BK36">
            <v>3.29</v>
          </cell>
          <cell r="BL36">
            <v>2.4500000000000002</v>
          </cell>
          <cell r="BM36">
            <v>2.1800000000000002</v>
          </cell>
          <cell r="BN36">
            <v>1.95</v>
          </cell>
          <cell r="BO36">
            <v>2.16</v>
          </cell>
          <cell r="BP36">
            <v>2.1800000000000002</v>
          </cell>
          <cell r="BQ36">
            <v>2.16</v>
          </cell>
          <cell r="BR36">
            <v>1.93</v>
          </cell>
          <cell r="BS36">
            <v>2.27</v>
          </cell>
          <cell r="BT36">
            <v>1.86</v>
          </cell>
          <cell r="BU36">
            <v>1.57</v>
          </cell>
          <cell r="BV36">
            <v>1.92</v>
          </cell>
          <cell r="BW36">
            <v>2</v>
          </cell>
          <cell r="BX36">
            <v>2.12</v>
          </cell>
          <cell r="BY36">
            <v>1.83</v>
          </cell>
          <cell r="BZ36">
            <v>1.8</v>
          </cell>
          <cell r="CA36">
            <v>1.59</v>
          </cell>
          <cell r="CB36">
            <v>1.76</v>
          </cell>
          <cell r="CC36">
            <v>2.21</v>
          </cell>
          <cell r="CD36">
            <v>2.14</v>
          </cell>
          <cell r="CE36">
            <v>2.19</v>
          </cell>
          <cell r="CF36">
            <v>2.5299999999999998</v>
          </cell>
          <cell r="CG36">
            <v>2.78</v>
          </cell>
        </row>
        <row r="37">
          <cell r="A37" t="str">
            <v>NNG-TOK</v>
          </cell>
          <cell r="B37">
            <v>34</v>
          </cell>
          <cell r="C37">
            <v>1.96</v>
          </cell>
          <cell r="D37">
            <v>1.92</v>
          </cell>
          <cell r="E37">
            <v>1.9</v>
          </cell>
          <cell r="F37">
            <v>1.5</v>
          </cell>
          <cell r="G37">
            <v>1.75</v>
          </cell>
          <cell r="H37">
            <v>1.95</v>
          </cell>
          <cell r="I37">
            <v>2.4500000000000002</v>
          </cell>
          <cell r="J37">
            <v>1.71</v>
          </cell>
          <cell r="K37">
            <v>1.71</v>
          </cell>
          <cell r="L37">
            <v>1.81</v>
          </cell>
          <cell r="M37">
            <v>2.0499999999999998</v>
          </cell>
          <cell r="N37">
            <v>1.8</v>
          </cell>
          <cell r="O37">
            <v>1.81</v>
          </cell>
          <cell r="P37">
            <v>2.2599999999999998</v>
          </cell>
          <cell r="Q37">
            <v>1.89</v>
          </cell>
          <cell r="R37">
            <v>1.97</v>
          </cell>
          <cell r="S37">
            <v>2.0299999999999998</v>
          </cell>
          <cell r="T37">
            <v>1.73</v>
          </cell>
          <cell r="U37">
            <v>1.73</v>
          </cell>
          <cell r="V37">
            <v>1.47</v>
          </cell>
          <cell r="W37">
            <v>1.6</v>
          </cell>
          <cell r="X37">
            <v>1.53</v>
          </cell>
          <cell r="Y37">
            <v>1.36</v>
          </cell>
          <cell r="Z37">
            <v>1.22</v>
          </cell>
          <cell r="AA37">
            <v>1.44</v>
          </cell>
          <cell r="AB37">
            <v>1.57</v>
          </cell>
          <cell r="AC37">
            <v>1.46</v>
          </cell>
          <cell r="AD37">
            <v>1.21</v>
          </cell>
          <cell r="AE37">
            <v>1.2</v>
          </cell>
          <cell r="AF37">
            <v>1.26</v>
          </cell>
          <cell r="AG37">
            <v>1.37</v>
          </cell>
          <cell r="AH37">
            <v>1.39</v>
          </cell>
          <cell r="AI37">
            <v>1.2</v>
          </cell>
          <cell r="AJ37">
            <v>1.17</v>
          </cell>
          <cell r="AK37">
            <v>1.38</v>
          </cell>
          <cell r="AL37">
            <v>1.46</v>
          </cell>
          <cell r="AM37">
            <v>1.57</v>
          </cell>
          <cell r="AN37">
            <v>1.84</v>
          </cell>
          <cell r="AO37">
            <v>1.93</v>
          </cell>
          <cell r="AP37">
            <v>1.73</v>
          </cell>
          <cell r="AQ37">
            <v>1.87</v>
          </cell>
          <cell r="AR37">
            <v>2.06</v>
          </cell>
          <cell r="AS37">
            <v>1.95</v>
          </cell>
          <cell r="AT37">
            <v>1.98</v>
          </cell>
          <cell r="AU37">
            <v>2.1</v>
          </cell>
          <cell r="AV37">
            <v>2.0299999999999998</v>
          </cell>
          <cell r="AW37">
            <v>1.57</v>
          </cell>
          <cell r="AX37">
            <v>1.64</v>
          </cell>
          <cell r="AY37">
            <v>2.48</v>
          </cell>
          <cell r="AZ37">
            <v>3.52</v>
          </cell>
          <cell r="BA37">
            <v>3.8</v>
          </cell>
          <cell r="BB37">
            <v>2.73</v>
          </cell>
          <cell r="BC37">
            <v>1.56</v>
          </cell>
          <cell r="BD37">
            <v>1.63</v>
          </cell>
          <cell r="BE37">
            <v>1.85</v>
          </cell>
          <cell r="BF37">
            <v>2.04</v>
          </cell>
          <cell r="BG37">
            <v>1.91</v>
          </cell>
          <cell r="BH37">
            <v>1.96</v>
          </cell>
          <cell r="BI37">
            <v>2.33</v>
          </cell>
          <cell r="BJ37">
            <v>2.86</v>
          </cell>
          <cell r="BK37">
            <v>3.09</v>
          </cell>
          <cell r="BL37">
            <v>2.2799999999999998</v>
          </cell>
          <cell r="BM37">
            <v>2.0499999999999998</v>
          </cell>
          <cell r="BN37">
            <v>1.86</v>
          </cell>
          <cell r="BO37">
            <v>2.06</v>
          </cell>
          <cell r="BP37">
            <v>2.06</v>
          </cell>
          <cell r="BQ37">
            <v>2.0499999999999998</v>
          </cell>
          <cell r="BR37">
            <v>1.84</v>
          </cell>
          <cell r="BS37">
            <v>2.15</v>
          </cell>
          <cell r="BT37">
            <v>1.79</v>
          </cell>
          <cell r="BU37">
            <v>1.5</v>
          </cell>
          <cell r="BV37">
            <v>1.78</v>
          </cell>
          <cell r="BW37">
            <v>1.86</v>
          </cell>
          <cell r="BX37">
            <v>1.98</v>
          </cell>
          <cell r="BY37">
            <v>1.74</v>
          </cell>
          <cell r="BZ37">
            <v>1.72</v>
          </cell>
          <cell r="CA37">
            <v>1.48</v>
          </cell>
          <cell r="CB37">
            <v>1.67</v>
          </cell>
          <cell r="CC37">
            <v>2.13</v>
          </cell>
          <cell r="CD37">
            <v>2.06</v>
          </cell>
          <cell r="CE37">
            <v>2.1</v>
          </cell>
          <cell r="CF37">
            <v>2.44</v>
          </cell>
          <cell r="CG37">
            <v>2.7</v>
          </cell>
        </row>
        <row r="38">
          <cell r="A38" t="str">
            <v>NNG-VENT</v>
          </cell>
          <cell r="B38">
            <v>35</v>
          </cell>
          <cell r="C38">
            <v>2.0499999999999998</v>
          </cell>
          <cell r="D38">
            <v>2.0499999999999998</v>
          </cell>
          <cell r="E38">
            <v>1.96</v>
          </cell>
          <cell r="F38">
            <v>1.6</v>
          </cell>
          <cell r="G38">
            <v>1.86</v>
          </cell>
          <cell r="H38">
            <v>2.09</v>
          </cell>
          <cell r="I38">
            <v>2.59</v>
          </cell>
          <cell r="J38">
            <v>1.8</v>
          </cell>
          <cell r="K38">
            <v>1.78</v>
          </cell>
          <cell r="L38">
            <v>1.8</v>
          </cell>
          <cell r="M38">
            <v>2.15</v>
          </cell>
          <cell r="N38">
            <v>1.9</v>
          </cell>
          <cell r="O38">
            <v>1.88</v>
          </cell>
          <cell r="P38">
            <v>2.3199999999999998</v>
          </cell>
          <cell r="Q38">
            <v>1.93</v>
          </cell>
          <cell r="R38">
            <v>2.0499999999999998</v>
          </cell>
          <cell r="S38">
            <v>2.14</v>
          </cell>
          <cell r="T38">
            <v>1.75</v>
          </cell>
          <cell r="U38">
            <v>1.8</v>
          </cell>
          <cell r="V38">
            <v>1.5</v>
          </cell>
          <cell r="W38">
            <v>1.61</v>
          </cell>
          <cell r="X38">
            <v>1.54</v>
          </cell>
          <cell r="Y38">
            <v>1.39</v>
          </cell>
          <cell r="Z38">
            <v>1.27</v>
          </cell>
          <cell r="AA38">
            <v>1.48</v>
          </cell>
          <cell r="AB38">
            <v>1.62</v>
          </cell>
          <cell r="AC38">
            <v>1.49</v>
          </cell>
          <cell r="AD38">
            <v>1.25</v>
          </cell>
          <cell r="AE38">
            <v>1.23</v>
          </cell>
          <cell r="AF38">
            <v>1.28</v>
          </cell>
          <cell r="AG38">
            <v>1.39</v>
          </cell>
          <cell r="AH38">
            <v>1.41</v>
          </cell>
          <cell r="AI38">
            <v>1.18</v>
          </cell>
          <cell r="AJ38">
            <v>1.0900000000000001</v>
          </cell>
          <cell r="AK38">
            <v>1.33</v>
          </cell>
          <cell r="AL38">
            <v>1.48</v>
          </cell>
          <cell r="AM38">
            <v>1.61</v>
          </cell>
          <cell r="AN38">
            <v>1.84</v>
          </cell>
          <cell r="AO38">
            <v>2</v>
          </cell>
          <cell r="AP38">
            <v>1.84</v>
          </cell>
          <cell r="AQ38">
            <v>1.94</v>
          </cell>
          <cell r="AR38">
            <v>2.11</v>
          </cell>
          <cell r="AS38">
            <v>1.91</v>
          </cell>
          <cell r="AT38">
            <v>1.96</v>
          </cell>
          <cell r="AU38">
            <v>2.0699999999999998</v>
          </cell>
          <cell r="AV38">
            <v>2.0699999999999998</v>
          </cell>
          <cell r="AW38">
            <v>1.62</v>
          </cell>
          <cell r="AX38">
            <v>1.71</v>
          </cell>
          <cell r="AY38">
            <v>2.5499999999999998</v>
          </cell>
          <cell r="AZ38">
            <v>3.61</v>
          </cell>
          <cell r="BA38">
            <v>4.2</v>
          </cell>
          <cell r="BB38">
            <v>2.85</v>
          </cell>
          <cell r="BC38">
            <v>1.63</v>
          </cell>
          <cell r="BD38">
            <v>1.71</v>
          </cell>
          <cell r="BE38">
            <v>1.94</v>
          </cell>
          <cell r="BF38">
            <v>2.1</v>
          </cell>
          <cell r="BG38">
            <v>1.97</v>
          </cell>
          <cell r="BH38">
            <v>2.0499999999999998</v>
          </cell>
          <cell r="BI38">
            <v>2.41</v>
          </cell>
          <cell r="BJ38">
            <v>3.03</v>
          </cell>
          <cell r="BK38">
            <v>3.29</v>
          </cell>
          <cell r="BL38">
            <v>2.44</v>
          </cell>
          <cell r="BM38">
            <v>2.17</v>
          </cell>
          <cell r="BN38">
            <v>1.96</v>
          </cell>
          <cell r="BO38">
            <v>2.15</v>
          </cell>
          <cell r="BP38">
            <v>2.1800000000000002</v>
          </cell>
          <cell r="BQ38">
            <v>2.15</v>
          </cell>
          <cell r="BR38">
            <v>1.92</v>
          </cell>
          <cell r="BS38">
            <v>2.2599999999999998</v>
          </cell>
          <cell r="BT38">
            <v>1.84</v>
          </cell>
          <cell r="BU38">
            <v>1.56</v>
          </cell>
          <cell r="BV38">
            <v>1.91</v>
          </cell>
          <cell r="BW38">
            <v>2</v>
          </cell>
          <cell r="BX38">
            <v>2.13</v>
          </cell>
          <cell r="BY38">
            <v>1.84</v>
          </cell>
          <cell r="BZ38">
            <v>1.8</v>
          </cell>
          <cell r="CA38">
            <v>1.6</v>
          </cell>
          <cell r="CB38">
            <v>1.75</v>
          </cell>
          <cell r="CC38">
            <v>2.2000000000000002</v>
          </cell>
          <cell r="CD38">
            <v>2.12</v>
          </cell>
          <cell r="CE38">
            <v>2.1800000000000002</v>
          </cell>
          <cell r="CF38">
            <v>2.5</v>
          </cell>
          <cell r="CG38">
            <v>2.76</v>
          </cell>
        </row>
        <row r="39">
          <cell r="A39" t="str">
            <v>NOR-EAST</v>
          </cell>
          <cell r="B39">
            <v>36</v>
          </cell>
          <cell r="AE39">
            <v>1.33</v>
          </cell>
          <cell r="AF39">
            <v>1.44</v>
          </cell>
          <cell r="AG39">
            <v>1.57</v>
          </cell>
          <cell r="AH39">
            <v>1.61</v>
          </cell>
          <cell r="AI39">
            <v>1.4</v>
          </cell>
          <cell r="AJ39">
            <v>1.3</v>
          </cell>
          <cell r="AK39">
            <v>1.5</v>
          </cell>
          <cell r="AL39">
            <v>1.54</v>
          </cell>
          <cell r="AM39">
            <v>1.68</v>
          </cell>
          <cell r="AN39">
            <v>2.02</v>
          </cell>
          <cell r="AO39">
            <v>2.09</v>
          </cell>
          <cell r="AP39">
            <v>1.89</v>
          </cell>
          <cell r="AQ39">
            <v>1.93</v>
          </cell>
          <cell r="AR39">
            <v>2.23</v>
          </cell>
          <cell r="AS39">
            <v>2.12</v>
          </cell>
          <cell r="AT39">
            <v>2.1800000000000002</v>
          </cell>
          <cell r="AU39">
            <v>2.31</v>
          </cell>
          <cell r="AV39">
            <v>2.25</v>
          </cell>
          <cell r="AW39">
            <v>1.75</v>
          </cell>
          <cell r="AX39">
            <v>1.74</v>
          </cell>
          <cell r="AY39">
            <v>2.4700000000000002</v>
          </cell>
          <cell r="AZ39">
            <v>3.61</v>
          </cell>
          <cell r="BA39">
            <v>4.1500000000000004</v>
          </cell>
          <cell r="BB39">
            <v>2.78</v>
          </cell>
          <cell r="BC39">
            <v>1.65</v>
          </cell>
          <cell r="BD39">
            <v>1.74</v>
          </cell>
          <cell r="BE39">
            <v>2.0099999999999998</v>
          </cell>
          <cell r="BF39">
            <v>2.19</v>
          </cell>
          <cell r="BG39">
            <v>2.0699999999999998</v>
          </cell>
          <cell r="BH39">
            <v>2.11</v>
          </cell>
          <cell r="BI39">
            <v>2.44</v>
          </cell>
          <cell r="BJ39">
            <v>3.05</v>
          </cell>
          <cell r="BK39">
            <v>3.17</v>
          </cell>
          <cell r="BL39">
            <v>2.37</v>
          </cell>
          <cell r="BM39">
            <v>2.16</v>
          </cell>
          <cell r="BN39">
            <v>1.94</v>
          </cell>
          <cell r="BO39">
            <v>2.16</v>
          </cell>
          <cell r="BP39">
            <v>2.2000000000000002</v>
          </cell>
          <cell r="BQ39">
            <v>2.1800000000000002</v>
          </cell>
          <cell r="BR39">
            <v>1.96</v>
          </cell>
          <cell r="BS39">
            <v>2.2999999999999998</v>
          </cell>
          <cell r="BT39">
            <v>1.86</v>
          </cell>
          <cell r="BU39">
            <v>1.57</v>
          </cell>
          <cell r="BV39">
            <v>1.94</v>
          </cell>
          <cell r="BW39">
            <v>1.93</v>
          </cell>
          <cell r="BX39">
            <v>2.0299999999999998</v>
          </cell>
          <cell r="BY39">
            <v>1.74</v>
          </cell>
          <cell r="BZ39">
            <v>1.74</v>
          </cell>
          <cell r="CA39">
            <v>1.56</v>
          </cell>
          <cell r="CB39">
            <v>1.77</v>
          </cell>
          <cell r="CC39">
            <v>2.27</v>
          </cell>
          <cell r="CD39">
            <v>2.17</v>
          </cell>
          <cell r="CE39">
            <v>2.21</v>
          </cell>
          <cell r="CF39">
            <v>2.5499999999999998</v>
          </cell>
          <cell r="CG39">
            <v>2.82</v>
          </cell>
        </row>
        <row r="40">
          <cell r="A40" t="str">
            <v>NOR-WEST</v>
          </cell>
          <cell r="B40">
            <v>37</v>
          </cell>
          <cell r="AE40">
            <v>1.28</v>
          </cell>
          <cell r="AF40">
            <v>1.35</v>
          </cell>
          <cell r="AG40">
            <v>1.46</v>
          </cell>
          <cell r="AH40">
            <v>1.48</v>
          </cell>
          <cell r="AI40">
            <v>1.28</v>
          </cell>
          <cell r="AJ40">
            <v>1.22</v>
          </cell>
          <cell r="AK40">
            <v>1.43</v>
          </cell>
          <cell r="AL40">
            <v>1.5</v>
          </cell>
          <cell r="AM40">
            <v>1.62</v>
          </cell>
          <cell r="AN40">
            <v>1.89</v>
          </cell>
          <cell r="AO40">
            <v>2.0099999999999998</v>
          </cell>
          <cell r="AP40">
            <v>1.83</v>
          </cell>
          <cell r="AQ40">
            <v>1.9</v>
          </cell>
          <cell r="AR40">
            <v>2.15</v>
          </cell>
          <cell r="AS40">
            <v>2.02</v>
          </cell>
          <cell r="AT40">
            <v>2.0699999999999998</v>
          </cell>
          <cell r="AU40">
            <v>2.2000000000000002</v>
          </cell>
          <cell r="AV40">
            <v>2.16</v>
          </cell>
          <cell r="AW40">
            <v>1.68</v>
          </cell>
          <cell r="AX40">
            <v>1.69</v>
          </cell>
          <cell r="AY40">
            <v>2.4300000000000002</v>
          </cell>
          <cell r="AZ40">
            <v>3.55</v>
          </cell>
          <cell r="BA40">
            <v>4.1100000000000003</v>
          </cell>
          <cell r="BB40">
            <v>2.73</v>
          </cell>
          <cell r="BC40">
            <v>1.61</v>
          </cell>
          <cell r="BD40">
            <v>1.72</v>
          </cell>
          <cell r="BE40">
            <v>1.96</v>
          </cell>
          <cell r="BF40">
            <v>2.15</v>
          </cell>
          <cell r="BG40">
            <v>2.0099999999999998</v>
          </cell>
          <cell r="BH40">
            <v>2.0699999999999998</v>
          </cell>
          <cell r="BI40">
            <v>2.41</v>
          </cell>
          <cell r="BJ40">
            <v>2.98</v>
          </cell>
          <cell r="BK40">
            <v>3.1</v>
          </cell>
          <cell r="BL40">
            <v>2.3199999999999998</v>
          </cell>
          <cell r="BM40">
            <v>2.15</v>
          </cell>
          <cell r="BN40">
            <v>1.92</v>
          </cell>
          <cell r="BO40">
            <v>2.14</v>
          </cell>
          <cell r="BP40">
            <v>2.17</v>
          </cell>
          <cell r="BQ40">
            <v>2.15</v>
          </cell>
          <cell r="BR40">
            <v>1.92</v>
          </cell>
          <cell r="BS40">
            <v>2.2599999999999998</v>
          </cell>
          <cell r="BT40">
            <v>1.83</v>
          </cell>
          <cell r="BU40">
            <v>1.52</v>
          </cell>
          <cell r="BV40">
            <v>1.89</v>
          </cell>
          <cell r="BW40">
            <v>1.9</v>
          </cell>
          <cell r="BX40">
            <v>2.0099999999999998</v>
          </cell>
          <cell r="BY40">
            <v>1.73</v>
          </cell>
          <cell r="BZ40">
            <v>1.73</v>
          </cell>
          <cell r="CA40">
            <v>1.54</v>
          </cell>
          <cell r="CB40">
            <v>1.74</v>
          </cell>
          <cell r="CC40">
            <v>2.2200000000000002</v>
          </cell>
          <cell r="CD40">
            <v>2.12</v>
          </cell>
          <cell r="CE40">
            <v>2.1800000000000002</v>
          </cell>
          <cell r="CF40">
            <v>2.5099999999999998</v>
          </cell>
          <cell r="CG40">
            <v>2.77</v>
          </cell>
        </row>
        <row r="41">
          <cell r="A41" t="str">
            <v>NWPL-CAN</v>
          </cell>
          <cell r="B41">
            <v>38</v>
          </cell>
          <cell r="C41">
            <v>1.5</v>
          </cell>
          <cell r="D41">
            <v>1.74</v>
          </cell>
          <cell r="E41">
            <v>2.25</v>
          </cell>
          <cell r="F41">
            <v>1.74</v>
          </cell>
          <cell r="G41">
            <v>1.8</v>
          </cell>
          <cell r="H41">
            <v>1.8</v>
          </cell>
          <cell r="I41">
            <v>2.25</v>
          </cell>
          <cell r="J41">
            <v>1.58</v>
          </cell>
          <cell r="K41">
            <v>1.55</v>
          </cell>
          <cell r="L41">
            <v>1.65</v>
          </cell>
          <cell r="M41">
            <v>1.92</v>
          </cell>
          <cell r="N41">
            <v>1.75</v>
          </cell>
          <cell r="O41">
            <v>1.8</v>
          </cell>
          <cell r="P41">
            <v>2.4</v>
          </cell>
          <cell r="Q41">
            <v>2.1800000000000002</v>
          </cell>
          <cell r="R41">
            <v>1.79</v>
          </cell>
          <cell r="S41">
            <v>1.98</v>
          </cell>
          <cell r="T41">
            <v>1.62</v>
          </cell>
          <cell r="U41">
            <v>1.6</v>
          </cell>
          <cell r="V41">
            <v>1.39</v>
          </cell>
          <cell r="W41">
            <v>1.48</v>
          </cell>
          <cell r="X41">
            <v>1.45</v>
          </cell>
          <cell r="Y41">
            <v>1.36</v>
          </cell>
          <cell r="Z41">
            <v>1.18</v>
          </cell>
          <cell r="AA41">
            <v>1.52</v>
          </cell>
          <cell r="AB41">
            <v>1.63</v>
          </cell>
          <cell r="AC41">
            <v>1.4</v>
          </cell>
          <cell r="AD41">
            <v>1.03</v>
          </cell>
          <cell r="AE41">
            <v>1</v>
          </cell>
          <cell r="AF41">
            <v>0.97</v>
          </cell>
          <cell r="AG41">
            <v>0.99</v>
          </cell>
          <cell r="AH41">
            <v>0.97</v>
          </cell>
          <cell r="AI41">
            <v>0.85</v>
          </cell>
          <cell r="AJ41">
            <v>0.75</v>
          </cell>
          <cell r="AK41">
            <v>0.85</v>
          </cell>
          <cell r="AL41">
            <v>0.96</v>
          </cell>
          <cell r="AM41">
            <v>1.26</v>
          </cell>
          <cell r="AN41">
            <v>1.29</v>
          </cell>
          <cell r="AO41">
            <v>1.24</v>
          </cell>
          <cell r="AP41">
            <v>1.2</v>
          </cell>
          <cell r="AQ41">
            <v>1.1499999999999999</v>
          </cell>
          <cell r="AR41">
            <v>0.93</v>
          </cell>
          <cell r="AS41">
            <v>0.93</v>
          </cell>
          <cell r="AT41">
            <v>0.9</v>
          </cell>
          <cell r="AU41">
            <v>0.96</v>
          </cell>
          <cell r="AV41">
            <v>1.01</v>
          </cell>
          <cell r="AW41">
            <v>1.01</v>
          </cell>
          <cell r="AX41">
            <v>1.1000000000000001</v>
          </cell>
          <cell r="AY41">
            <v>2.17</v>
          </cell>
          <cell r="AZ41">
            <v>3.55</v>
          </cell>
          <cell r="BA41">
            <v>4.1500000000000004</v>
          </cell>
          <cell r="BB41">
            <v>2.37</v>
          </cell>
          <cell r="BC41">
            <v>1.05</v>
          </cell>
          <cell r="BD41">
            <v>1.1100000000000001</v>
          </cell>
          <cell r="BE41">
            <v>1.33</v>
          </cell>
          <cell r="BF41">
            <v>1.38</v>
          </cell>
          <cell r="BG41">
            <v>1.22</v>
          </cell>
          <cell r="BH41">
            <v>1.08</v>
          </cell>
          <cell r="BI41">
            <v>1.19</v>
          </cell>
          <cell r="BJ41">
            <v>1.48</v>
          </cell>
          <cell r="BK41">
            <v>2.7</v>
          </cell>
          <cell r="BL41">
            <v>1.4</v>
          </cell>
          <cell r="BM41">
            <v>1.85</v>
          </cell>
          <cell r="BN41">
            <v>1.43</v>
          </cell>
          <cell r="BO41">
            <v>1.1200000000000001</v>
          </cell>
          <cell r="BP41">
            <v>1.43</v>
          </cell>
          <cell r="BQ41">
            <v>1.7</v>
          </cell>
          <cell r="BR41">
            <v>1.38</v>
          </cell>
          <cell r="BS41">
            <v>1.45</v>
          </cell>
          <cell r="BT41">
            <v>1.57</v>
          </cell>
          <cell r="BU41">
            <v>1.46</v>
          </cell>
          <cell r="BV41">
            <v>1.67</v>
          </cell>
          <cell r="BW41">
            <v>2.14</v>
          </cell>
          <cell r="BX41">
            <v>2.09</v>
          </cell>
          <cell r="BY41">
            <v>2.88</v>
          </cell>
          <cell r="BZ41">
            <v>1.77</v>
          </cell>
          <cell r="CA41">
            <v>1.5</v>
          </cell>
          <cell r="CB41">
            <v>1.51</v>
          </cell>
          <cell r="CC41">
            <v>1.95</v>
          </cell>
          <cell r="CD41">
            <v>1.91</v>
          </cell>
          <cell r="CE41">
            <v>1.94</v>
          </cell>
          <cell r="CF41">
            <v>2.21</v>
          </cell>
          <cell r="CG41">
            <v>2.5</v>
          </cell>
        </row>
        <row r="42">
          <cell r="A42" t="str">
            <v>NWPL-ROCK</v>
          </cell>
          <cell r="B42">
            <v>39</v>
          </cell>
          <cell r="C42">
            <v>1.79</v>
          </cell>
          <cell r="D42">
            <v>1.95</v>
          </cell>
          <cell r="E42">
            <v>2.2999999999999998</v>
          </cell>
          <cell r="F42">
            <v>1.61</v>
          </cell>
          <cell r="G42">
            <v>1.78</v>
          </cell>
          <cell r="H42">
            <v>1.79</v>
          </cell>
          <cell r="I42">
            <v>2.25</v>
          </cell>
          <cell r="J42">
            <v>1.58</v>
          </cell>
          <cell r="K42">
            <v>1.55</v>
          </cell>
          <cell r="L42">
            <v>1.65</v>
          </cell>
          <cell r="M42">
            <v>1.92</v>
          </cell>
          <cell r="N42">
            <v>1.75</v>
          </cell>
          <cell r="O42">
            <v>1.74</v>
          </cell>
          <cell r="P42">
            <v>2.35</v>
          </cell>
          <cell r="Q42">
            <v>1.92</v>
          </cell>
          <cell r="R42">
            <v>1.78</v>
          </cell>
          <cell r="S42">
            <v>1.95</v>
          </cell>
          <cell r="T42">
            <v>1.61</v>
          </cell>
          <cell r="U42">
            <v>1.6</v>
          </cell>
          <cell r="V42">
            <v>1.37</v>
          </cell>
          <cell r="W42">
            <v>1.46</v>
          </cell>
          <cell r="X42">
            <v>1.45</v>
          </cell>
          <cell r="Y42">
            <v>1.36</v>
          </cell>
          <cell r="Z42">
            <v>1.18</v>
          </cell>
          <cell r="AA42">
            <v>1.48</v>
          </cell>
          <cell r="AB42">
            <v>1.61</v>
          </cell>
          <cell r="AC42">
            <v>1.37</v>
          </cell>
          <cell r="AD42">
            <v>1.06</v>
          </cell>
          <cell r="AE42">
            <v>1.05</v>
          </cell>
          <cell r="AF42">
            <v>1.05</v>
          </cell>
          <cell r="AG42">
            <v>1.06</v>
          </cell>
          <cell r="AH42">
            <v>1.1399999999999999</v>
          </cell>
          <cell r="AI42">
            <v>0.98</v>
          </cell>
          <cell r="AJ42">
            <v>0.84</v>
          </cell>
          <cell r="AK42">
            <v>0.96</v>
          </cell>
          <cell r="AL42">
            <v>1.05</v>
          </cell>
          <cell r="AM42">
            <v>1.25</v>
          </cell>
          <cell r="AN42">
            <v>1.31</v>
          </cell>
          <cell r="AO42">
            <v>1.25</v>
          </cell>
          <cell r="AP42">
            <v>1.19</v>
          </cell>
          <cell r="AQ42">
            <v>1.17</v>
          </cell>
          <cell r="AR42">
            <v>1.06</v>
          </cell>
          <cell r="AS42">
            <v>1.05</v>
          </cell>
          <cell r="AT42">
            <v>1.07</v>
          </cell>
          <cell r="AU42">
            <v>1.19</v>
          </cell>
          <cell r="AV42">
            <v>1.23</v>
          </cell>
          <cell r="AW42">
            <v>1.18</v>
          </cell>
          <cell r="AX42">
            <v>1.26</v>
          </cell>
          <cell r="AY42">
            <v>2.29</v>
          </cell>
          <cell r="AZ42">
            <v>3.52</v>
          </cell>
          <cell r="BA42">
            <v>4.2</v>
          </cell>
          <cell r="BB42">
            <v>2.48</v>
          </cell>
          <cell r="BC42">
            <v>1.39</v>
          </cell>
          <cell r="BD42">
            <v>1.44</v>
          </cell>
          <cell r="BE42">
            <v>1.64</v>
          </cell>
          <cell r="BF42">
            <v>1.48</v>
          </cell>
          <cell r="BG42">
            <v>1.44</v>
          </cell>
          <cell r="BH42">
            <v>1.38</v>
          </cell>
          <cell r="BI42">
            <v>1.48</v>
          </cell>
          <cell r="BJ42">
            <v>2.12</v>
          </cell>
          <cell r="BK42">
            <v>3</v>
          </cell>
          <cell r="BL42">
            <v>1.94</v>
          </cell>
          <cell r="BM42">
            <v>2.06</v>
          </cell>
          <cell r="BN42">
            <v>1.69</v>
          </cell>
          <cell r="BO42">
            <v>1.87</v>
          </cell>
          <cell r="BP42">
            <v>1.9</v>
          </cell>
          <cell r="BQ42">
            <v>1.98</v>
          </cell>
          <cell r="BR42">
            <v>1.64</v>
          </cell>
          <cell r="BS42">
            <v>1.62</v>
          </cell>
          <cell r="BT42">
            <v>1.73</v>
          </cell>
          <cell r="BU42">
            <v>1.57</v>
          </cell>
          <cell r="BV42">
            <v>1.65</v>
          </cell>
          <cell r="BW42">
            <v>2.02</v>
          </cell>
          <cell r="BX42">
            <v>2</v>
          </cell>
          <cell r="BY42">
            <v>1.82</v>
          </cell>
          <cell r="BZ42">
            <v>1.63</v>
          </cell>
          <cell r="CA42">
            <v>1.51</v>
          </cell>
          <cell r="CB42">
            <v>1.54</v>
          </cell>
          <cell r="CC42">
            <v>2</v>
          </cell>
          <cell r="CD42">
            <v>1.94</v>
          </cell>
          <cell r="CE42">
            <v>1.99</v>
          </cell>
          <cell r="CF42">
            <v>2.1800000000000002</v>
          </cell>
          <cell r="CG42">
            <v>2.56</v>
          </cell>
        </row>
        <row r="43">
          <cell r="A43" t="str">
            <v>ONG-OKL</v>
          </cell>
          <cell r="B43">
            <v>40</v>
          </cell>
          <cell r="C43">
            <v>1.97</v>
          </cell>
          <cell r="D43">
            <v>1.98</v>
          </cell>
          <cell r="E43">
            <v>1.92</v>
          </cell>
          <cell r="F43">
            <v>1.62</v>
          </cell>
          <cell r="G43">
            <v>1.81</v>
          </cell>
          <cell r="H43">
            <v>2.0699999999999998</v>
          </cell>
          <cell r="I43">
            <v>2.4</v>
          </cell>
          <cell r="J43">
            <v>1.78</v>
          </cell>
          <cell r="K43">
            <v>1.76</v>
          </cell>
          <cell r="L43">
            <v>1.91</v>
          </cell>
          <cell r="M43">
            <v>2.16</v>
          </cell>
          <cell r="N43">
            <v>1.85</v>
          </cell>
          <cell r="O43">
            <v>1.88</v>
          </cell>
          <cell r="P43">
            <v>2.2400000000000002</v>
          </cell>
          <cell r="Q43">
            <v>1.92</v>
          </cell>
          <cell r="R43">
            <v>2.1</v>
          </cell>
          <cell r="S43">
            <v>2.12</v>
          </cell>
          <cell r="T43">
            <v>1.78</v>
          </cell>
          <cell r="U43">
            <v>1.83</v>
          </cell>
          <cell r="V43">
            <v>1.58</v>
          </cell>
          <cell r="W43">
            <v>1.68</v>
          </cell>
          <cell r="X43">
            <v>1.59</v>
          </cell>
          <cell r="Y43">
            <v>1.39</v>
          </cell>
          <cell r="Z43">
            <v>1.3</v>
          </cell>
          <cell r="AA43">
            <v>1.49</v>
          </cell>
          <cell r="AB43">
            <v>1.59</v>
          </cell>
          <cell r="AC43">
            <v>1.51</v>
          </cell>
          <cell r="AD43">
            <v>1.29</v>
          </cell>
          <cell r="AE43">
            <v>1.29</v>
          </cell>
          <cell r="AF43">
            <v>1.35</v>
          </cell>
          <cell r="AG43">
            <v>1.45</v>
          </cell>
          <cell r="AH43">
            <v>1.48</v>
          </cell>
          <cell r="AI43">
            <v>1.28</v>
          </cell>
          <cell r="AJ43">
            <v>1.22</v>
          </cell>
          <cell r="AK43">
            <v>1.44</v>
          </cell>
          <cell r="AL43">
            <v>1.5</v>
          </cell>
          <cell r="AM43">
            <v>1.61</v>
          </cell>
          <cell r="AN43">
            <v>1.89</v>
          </cell>
          <cell r="AO43">
            <v>2.02</v>
          </cell>
          <cell r="AP43">
            <v>1.81</v>
          </cell>
          <cell r="AQ43">
            <v>1.91</v>
          </cell>
          <cell r="AR43">
            <v>2.15</v>
          </cell>
          <cell r="AS43">
            <v>2.02</v>
          </cell>
          <cell r="AT43">
            <v>2.06</v>
          </cell>
          <cell r="AU43">
            <v>2.2000000000000002</v>
          </cell>
          <cell r="AV43">
            <v>2.17</v>
          </cell>
          <cell r="AW43">
            <v>1.68</v>
          </cell>
          <cell r="AX43">
            <v>1.7</v>
          </cell>
          <cell r="AY43">
            <v>2.5099999999999998</v>
          </cell>
          <cell r="AZ43">
            <v>3.61</v>
          </cell>
          <cell r="BA43">
            <v>4.3</v>
          </cell>
          <cell r="BB43">
            <v>2.77</v>
          </cell>
          <cell r="BC43">
            <v>1.65</v>
          </cell>
          <cell r="BD43">
            <v>1.71</v>
          </cell>
          <cell r="BE43">
            <v>1.95</v>
          </cell>
          <cell r="BF43">
            <v>2.14</v>
          </cell>
          <cell r="BG43">
            <v>2.06</v>
          </cell>
          <cell r="BH43">
            <v>2.06</v>
          </cell>
          <cell r="BI43">
            <v>2.39</v>
          </cell>
          <cell r="BJ43">
            <v>3.01</v>
          </cell>
          <cell r="BK43">
            <v>3.16</v>
          </cell>
          <cell r="BL43">
            <v>2.36</v>
          </cell>
          <cell r="BM43">
            <v>2.15</v>
          </cell>
          <cell r="BN43">
            <v>1.93</v>
          </cell>
          <cell r="BO43">
            <v>2.16</v>
          </cell>
          <cell r="BP43">
            <v>2.19</v>
          </cell>
          <cell r="BQ43">
            <v>2.17</v>
          </cell>
          <cell r="BR43">
            <v>1.95</v>
          </cell>
          <cell r="BS43">
            <v>2.29</v>
          </cell>
          <cell r="BT43">
            <v>1.86</v>
          </cell>
          <cell r="BU43">
            <v>1.58</v>
          </cell>
          <cell r="BV43">
            <v>1.93</v>
          </cell>
          <cell r="BW43">
            <v>1.95</v>
          </cell>
          <cell r="BX43">
            <v>2.06</v>
          </cell>
          <cell r="BY43">
            <v>1.77</v>
          </cell>
          <cell r="BZ43">
            <v>1.75</v>
          </cell>
          <cell r="CA43">
            <v>1.58</v>
          </cell>
          <cell r="CB43">
            <v>1.76</v>
          </cell>
          <cell r="CC43">
            <v>2.23</v>
          </cell>
          <cell r="CD43">
            <v>2.13</v>
          </cell>
          <cell r="CE43">
            <v>2.1800000000000002</v>
          </cell>
          <cell r="CF43">
            <v>2.5099999999999998</v>
          </cell>
          <cell r="CG43">
            <v>2.78</v>
          </cell>
        </row>
        <row r="44">
          <cell r="A44" t="str">
            <v>PEPL-FZ</v>
          </cell>
          <cell r="B44">
            <v>41</v>
          </cell>
          <cell r="C44">
            <v>2.0699999999999998</v>
          </cell>
          <cell r="D44">
            <v>2.0299999999999998</v>
          </cell>
          <cell r="E44">
            <v>1.95</v>
          </cell>
          <cell r="F44">
            <v>1.61</v>
          </cell>
          <cell r="G44">
            <v>1.83</v>
          </cell>
          <cell r="H44">
            <v>2.1</v>
          </cell>
          <cell r="I44">
            <v>2.5499999999999998</v>
          </cell>
          <cell r="J44">
            <v>1.85</v>
          </cell>
          <cell r="K44">
            <v>1.79</v>
          </cell>
          <cell r="L44">
            <v>1.93</v>
          </cell>
          <cell r="M44">
            <v>2.1800000000000002</v>
          </cell>
          <cell r="N44">
            <v>1.9</v>
          </cell>
          <cell r="O44">
            <v>1.9</v>
          </cell>
          <cell r="P44">
            <v>2.23</v>
          </cell>
          <cell r="Q44">
            <v>1.97</v>
          </cell>
          <cell r="R44">
            <v>2.12</v>
          </cell>
          <cell r="S44">
            <v>2.14</v>
          </cell>
          <cell r="T44">
            <v>1.8</v>
          </cell>
          <cell r="U44">
            <v>1.84</v>
          </cell>
          <cell r="V44">
            <v>1.57</v>
          </cell>
          <cell r="W44">
            <v>1.65</v>
          </cell>
          <cell r="X44">
            <v>1.57</v>
          </cell>
          <cell r="Y44">
            <v>1.41</v>
          </cell>
          <cell r="Z44">
            <v>1.31</v>
          </cell>
          <cell r="AA44">
            <v>1.52</v>
          </cell>
          <cell r="AB44">
            <v>1.6</v>
          </cell>
          <cell r="AC44">
            <v>1.51</v>
          </cell>
          <cell r="AD44">
            <v>1.27</v>
          </cell>
          <cell r="AE44">
            <v>1.27</v>
          </cell>
          <cell r="AF44">
            <v>1.34</v>
          </cell>
          <cell r="AG44">
            <v>1.45</v>
          </cell>
          <cell r="AH44">
            <v>1.47</v>
          </cell>
          <cell r="AI44">
            <v>1.25</v>
          </cell>
          <cell r="AJ44">
            <v>1.2</v>
          </cell>
          <cell r="AK44">
            <v>1.41</v>
          </cell>
          <cell r="AL44">
            <v>1.5</v>
          </cell>
          <cell r="AM44">
            <v>1.61</v>
          </cell>
          <cell r="AN44">
            <v>1.89</v>
          </cell>
          <cell r="AO44">
            <v>2</v>
          </cell>
          <cell r="AP44">
            <v>1.81</v>
          </cell>
          <cell r="AQ44">
            <v>1.9</v>
          </cell>
          <cell r="AR44">
            <v>2.14</v>
          </cell>
          <cell r="AS44">
            <v>2</v>
          </cell>
          <cell r="AT44">
            <v>2.0499999999999998</v>
          </cell>
          <cell r="AU44">
            <v>2.1800000000000002</v>
          </cell>
          <cell r="AV44">
            <v>2.13</v>
          </cell>
          <cell r="AW44">
            <v>1.67</v>
          </cell>
          <cell r="AX44">
            <v>1.69</v>
          </cell>
          <cell r="AY44">
            <v>2.5099999999999998</v>
          </cell>
          <cell r="AZ44">
            <v>3.61</v>
          </cell>
          <cell r="BA44">
            <v>4.0999999999999996</v>
          </cell>
          <cell r="BB44">
            <v>2.84</v>
          </cell>
          <cell r="BC44">
            <v>1.64</v>
          </cell>
          <cell r="BD44">
            <v>1.73</v>
          </cell>
          <cell r="BE44">
            <v>1.95</v>
          </cell>
          <cell r="BF44">
            <v>2.13</v>
          </cell>
          <cell r="BG44">
            <v>2.0099999999999998</v>
          </cell>
          <cell r="BH44">
            <v>2.06</v>
          </cell>
          <cell r="BI44">
            <v>2.42</v>
          </cell>
          <cell r="BJ44">
            <v>3.01</v>
          </cell>
          <cell r="BK44">
            <v>3.16</v>
          </cell>
          <cell r="BL44">
            <v>2.35</v>
          </cell>
          <cell r="BM44">
            <v>2.15</v>
          </cell>
          <cell r="BN44">
            <v>1.93</v>
          </cell>
          <cell r="BO44">
            <v>2.15</v>
          </cell>
          <cell r="BP44">
            <v>2.19</v>
          </cell>
          <cell r="BQ44">
            <v>2.1800000000000002</v>
          </cell>
          <cell r="BR44">
            <v>1.94</v>
          </cell>
          <cell r="BS44">
            <v>2.27</v>
          </cell>
          <cell r="BT44">
            <v>1.84</v>
          </cell>
          <cell r="BU44">
            <v>1.56</v>
          </cell>
          <cell r="BV44">
            <v>1.9</v>
          </cell>
          <cell r="BW44">
            <v>1.95</v>
          </cell>
          <cell r="BX44">
            <v>2.06</v>
          </cell>
          <cell r="BY44">
            <v>1.78</v>
          </cell>
          <cell r="BZ44">
            <v>1.76</v>
          </cell>
          <cell r="CA44">
            <v>1.58</v>
          </cell>
          <cell r="CB44">
            <v>1.76</v>
          </cell>
          <cell r="CC44">
            <v>2.2200000000000002</v>
          </cell>
          <cell r="CD44">
            <v>2.12</v>
          </cell>
          <cell r="CE44">
            <v>2.17</v>
          </cell>
          <cell r="CF44">
            <v>2.5099999999999998</v>
          </cell>
          <cell r="CG44">
            <v>2.77</v>
          </cell>
        </row>
        <row r="45">
          <cell r="A45" t="str">
            <v>QUEST</v>
          </cell>
          <cell r="B45">
            <v>42</v>
          </cell>
          <cell r="C45">
            <v>1.87</v>
          </cell>
          <cell r="D45">
            <v>1.88</v>
          </cell>
          <cell r="E45">
            <v>2.2599999999999998</v>
          </cell>
          <cell r="F45">
            <v>1.59</v>
          </cell>
          <cell r="G45">
            <v>1.7</v>
          </cell>
          <cell r="H45">
            <v>1.75</v>
          </cell>
          <cell r="I45">
            <v>2.2000000000000002</v>
          </cell>
          <cell r="J45">
            <v>1.58</v>
          </cell>
          <cell r="K45">
            <v>1.56</v>
          </cell>
          <cell r="L45">
            <v>1.65</v>
          </cell>
          <cell r="M45">
            <v>1.88</v>
          </cell>
          <cell r="N45">
            <v>1.72</v>
          </cell>
          <cell r="O45">
            <v>1.71</v>
          </cell>
          <cell r="P45">
            <v>2.2599999999999998</v>
          </cell>
          <cell r="Q45">
            <v>1.86</v>
          </cell>
          <cell r="R45">
            <v>1.77</v>
          </cell>
          <cell r="S45">
            <v>1.88</v>
          </cell>
          <cell r="T45">
            <v>1.55</v>
          </cell>
          <cell r="U45">
            <v>1.55</v>
          </cell>
          <cell r="V45">
            <v>1.31</v>
          </cell>
          <cell r="W45">
            <v>1.42</v>
          </cell>
          <cell r="X45">
            <v>1.41</v>
          </cell>
          <cell r="Y45">
            <v>1.34</v>
          </cell>
          <cell r="Z45">
            <v>1.1499999999999999</v>
          </cell>
          <cell r="AA45">
            <v>1.45</v>
          </cell>
          <cell r="AB45">
            <v>1.57</v>
          </cell>
          <cell r="AC45">
            <v>1.35</v>
          </cell>
          <cell r="AD45">
            <v>1.06</v>
          </cell>
          <cell r="AE45">
            <v>1.05</v>
          </cell>
          <cell r="AF45">
            <v>1.05</v>
          </cell>
          <cell r="AG45">
            <v>1.07</v>
          </cell>
          <cell r="AH45">
            <v>1.1299999999999999</v>
          </cell>
          <cell r="AI45">
            <v>0.98</v>
          </cell>
          <cell r="AJ45">
            <v>0.85</v>
          </cell>
          <cell r="AK45">
            <v>0.95</v>
          </cell>
          <cell r="AL45">
            <v>1.04</v>
          </cell>
          <cell r="AM45">
            <v>1.23</v>
          </cell>
          <cell r="AN45">
            <v>1.31</v>
          </cell>
          <cell r="AO45">
            <v>1.26</v>
          </cell>
          <cell r="AP45">
            <v>1.17</v>
          </cell>
          <cell r="AQ45">
            <v>1.1599999999999999</v>
          </cell>
          <cell r="AR45">
            <v>1.05</v>
          </cell>
          <cell r="AS45">
            <v>1.05</v>
          </cell>
          <cell r="AT45">
            <v>1.06</v>
          </cell>
          <cell r="AU45">
            <v>1.17</v>
          </cell>
          <cell r="AV45">
            <v>1.19</v>
          </cell>
          <cell r="AW45">
            <v>1.18</v>
          </cell>
          <cell r="AX45">
            <v>1.25</v>
          </cell>
          <cell r="AY45">
            <v>2.2000000000000002</v>
          </cell>
          <cell r="AZ45">
            <v>3.36</v>
          </cell>
          <cell r="BA45">
            <v>4.2</v>
          </cell>
          <cell r="BB45">
            <v>2.4500000000000002</v>
          </cell>
          <cell r="BC45">
            <v>1.38</v>
          </cell>
          <cell r="BD45">
            <v>1.42</v>
          </cell>
          <cell r="BE45">
            <v>1.61</v>
          </cell>
          <cell r="BF45">
            <v>1.45</v>
          </cell>
          <cell r="BG45">
            <v>1.42</v>
          </cell>
          <cell r="BH45">
            <v>1.38</v>
          </cell>
          <cell r="BI45">
            <v>1.47</v>
          </cell>
          <cell r="BJ45">
            <v>2.1</v>
          </cell>
          <cell r="BK45">
            <v>2.99</v>
          </cell>
          <cell r="BL45">
            <v>1.93</v>
          </cell>
          <cell r="BM45">
            <v>2.04</v>
          </cell>
          <cell r="BN45">
            <v>1.68</v>
          </cell>
          <cell r="BO45">
            <v>1.86</v>
          </cell>
          <cell r="BP45">
            <v>1.89</v>
          </cell>
          <cell r="BQ45">
            <v>1.97</v>
          </cell>
          <cell r="BR45">
            <v>1.62</v>
          </cell>
          <cell r="BS45">
            <v>1.61</v>
          </cell>
          <cell r="BT45">
            <v>1.73</v>
          </cell>
          <cell r="BU45">
            <v>1.53</v>
          </cell>
          <cell r="BV45">
            <v>1.64</v>
          </cell>
          <cell r="BW45">
            <v>1.91</v>
          </cell>
          <cell r="BX45">
            <v>2</v>
          </cell>
          <cell r="BY45">
            <v>1.73</v>
          </cell>
          <cell r="BZ45">
            <v>1.58</v>
          </cell>
          <cell r="CA45">
            <v>1.45</v>
          </cell>
          <cell r="CB45">
            <v>1.43</v>
          </cell>
          <cell r="CC45">
            <v>1.9</v>
          </cell>
          <cell r="CD45">
            <v>1.85</v>
          </cell>
          <cell r="CE45">
            <v>1.92</v>
          </cell>
          <cell r="CF45">
            <v>2.12</v>
          </cell>
          <cell r="CG45">
            <v>2.48</v>
          </cell>
        </row>
        <row r="46">
          <cell r="A46" t="str">
            <v>NGI-SOCAL</v>
          </cell>
          <cell r="B46">
            <v>43</v>
          </cell>
          <cell r="C46">
            <v>2.42</v>
          </cell>
          <cell r="D46">
            <v>2.3199999999999998</v>
          </cell>
          <cell r="E46">
            <v>2.33</v>
          </cell>
          <cell r="F46">
            <v>1.82</v>
          </cell>
          <cell r="G46">
            <v>2.04</v>
          </cell>
          <cell r="H46">
            <v>2.1800000000000002</v>
          </cell>
          <cell r="I46">
            <v>2.58</v>
          </cell>
          <cell r="J46">
            <v>1.92</v>
          </cell>
          <cell r="K46">
            <v>2.04</v>
          </cell>
          <cell r="L46">
            <v>2.29</v>
          </cell>
          <cell r="M46">
            <v>2.4300000000000002</v>
          </cell>
          <cell r="N46">
            <v>2.2000000000000002</v>
          </cell>
          <cell r="O46">
            <v>2.0699999999999998</v>
          </cell>
          <cell r="P46">
            <v>2.5499999999999998</v>
          </cell>
          <cell r="Q46">
            <v>2.23</v>
          </cell>
          <cell r="R46">
            <v>2</v>
          </cell>
          <cell r="S46">
            <v>2.19</v>
          </cell>
          <cell r="T46">
            <v>1.93</v>
          </cell>
          <cell r="U46">
            <v>1.92</v>
          </cell>
          <cell r="V46">
            <v>1.66</v>
          </cell>
          <cell r="W46">
            <v>1.76</v>
          </cell>
          <cell r="X46">
            <v>1.74</v>
          </cell>
          <cell r="Y46">
            <v>1.64</v>
          </cell>
          <cell r="Z46">
            <v>1.4</v>
          </cell>
          <cell r="AA46">
            <v>1.69</v>
          </cell>
          <cell r="AB46">
            <v>1.85</v>
          </cell>
          <cell r="AC46">
            <v>1.66</v>
          </cell>
          <cell r="AD46">
            <v>1.27</v>
          </cell>
          <cell r="AE46">
            <v>1.23</v>
          </cell>
          <cell r="AF46">
            <v>1.25</v>
          </cell>
          <cell r="AG46">
            <v>1.34</v>
          </cell>
          <cell r="AH46">
            <v>1.38</v>
          </cell>
          <cell r="AI46">
            <v>1.25</v>
          </cell>
          <cell r="AJ46">
            <v>1.24</v>
          </cell>
          <cell r="AK46">
            <v>1.46</v>
          </cell>
          <cell r="AL46">
            <v>1.53</v>
          </cell>
          <cell r="AM46">
            <v>1.56</v>
          </cell>
          <cell r="AN46">
            <v>1.63</v>
          </cell>
          <cell r="AO46">
            <v>1.48</v>
          </cell>
          <cell r="AP46">
            <v>1.42</v>
          </cell>
          <cell r="AQ46">
            <v>1.39</v>
          </cell>
          <cell r="AR46">
            <v>1.29</v>
          </cell>
          <cell r="AS46">
            <v>1.29</v>
          </cell>
          <cell r="AT46">
            <v>1.37</v>
          </cell>
          <cell r="AU46">
            <v>1.69</v>
          </cell>
          <cell r="AV46">
            <v>2.16</v>
          </cell>
          <cell r="AW46">
            <v>1.72</v>
          </cell>
          <cell r="AX46">
            <v>1.73</v>
          </cell>
          <cell r="AY46">
            <v>2.62</v>
          </cell>
          <cell r="AZ46">
            <v>3.7</v>
          </cell>
          <cell r="BA46">
            <v>4.2699999999999996</v>
          </cell>
          <cell r="BB46">
            <v>2.65</v>
          </cell>
          <cell r="BC46">
            <v>1.61</v>
          </cell>
          <cell r="BD46">
            <v>1.74</v>
          </cell>
          <cell r="BE46">
            <v>2.0499999999999998</v>
          </cell>
          <cell r="BF46">
            <v>2.2000000000000002</v>
          </cell>
          <cell r="BG46">
            <v>2.19</v>
          </cell>
          <cell r="BH46">
            <v>2.2200000000000002</v>
          </cell>
          <cell r="BI46">
            <v>2.5</v>
          </cell>
          <cell r="BJ46">
            <v>3.08</v>
          </cell>
          <cell r="BK46">
            <v>3.34</v>
          </cell>
          <cell r="BL46">
            <v>2.36</v>
          </cell>
          <cell r="BM46">
            <v>2.2799999999999998</v>
          </cell>
          <cell r="BN46">
            <v>2.11</v>
          </cell>
        </row>
        <row r="47">
          <cell r="A47" t="str">
            <v>SONAT-LA</v>
          </cell>
          <cell r="B47">
            <v>44</v>
          </cell>
          <cell r="C47">
            <v>2.2599999999999998</v>
          </cell>
          <cell r="D47">
            <v>2.2000000000000002</v>
          </cell>
          <cell r="E47">
            <v>1.91</v>
          </cell>
          <cell r="F47">
            <v>1.61</v>
          </cell>
          <cell r="G47">
            <v>1.9</v>
          </cell>
          <cell r="H47">
            <v>2.1800000000000002</v>
          </cell>
          <cell r="I47">
            <v>2.6</v>
          </cell>
          <cell r="J47">
            <v>1.95</v>
          </cell>
          <cell r="K47">
            <v>1.9</v>
          </cell>
          <cell r="L47">
            <v>2.0499999999999998</v>
          </cell>
          <cell r="M47">
            <v>2.31</v>
          </cell>
          <cell r="N47">
            <v>1.95</v>
          </cell>
          <cell r="O47">
            <v>2.0499999999999998</v>
          </cell>
          <cell r="P47">
            <v>2.2999999999999998</v>
          </cell>
          <cell r="Q47">
            <v>2.0099999999999998</v>
          </cell>
          <cell r="R47">
            <v>2.31</v>
          </cell>
          <cell r="S47">
            <v>2.3199999999999998</v>
          </cell>
          <cell r="T47">
            <v>1.91</v>
          </cell>
          <cell r="U47">
            <v>1.92</v>
          </cell>
          <cell r="V47">
            <v>1.75</v>
          </cell>
          <cell r="W47">
            <v>1.85</v>
          </cell>
          <cell r="X47">
            <v>1.73</v>
          </cell>
          <cell r="Y47">
            <v>1.44</v>
          </cell>
          <cell r="Z47">
            <v>1.38</v>
          </cell>
          <cell r="AA47">
            <v>1.62</v>
          </cell>
          <cell r="AB47">
            <v>1.65</v>
          </cell>
          <cell r="AC47">
            <v>1.57</v>
          </cell>
          <cell r="AD47">
            <v>1.38</v>
          </cell>
          <cell r="AE47">
            <v>1.41</v>
          </cell>
          <cell r="AF47">
            <v>1.53</v>
          </cell>
          <cell r="AG47">
            <v>1.64</v>
          </cell>
          <cell r="AH47">
            <v>1.66</v>
          </cell>
          <cell r="AI47">
            <v>1.46</v>
          </cell>
          <cell r="AJ47">
            <v>1.34</v>
          </cell>
          <cell r="AK47">
            <v>1.54</v>
          </cell>
          <cell r="AL47">
            <v>1.61</v>
          </cell>
          <cell r="AM47">
            <v>1.76</v>
          </cell>
          <cell r="AN47">
            <v>2.2400000000000002</v>
          </cell>
          <cell r="AO47">
            <v>3.38</v>
          </cell>
          <cell r="AP47">
            <v>2.34</v>
          </cell>
          <cell r="AQ47">
            <v>2.84</v>
          </cell>
          <cell r="AR47">
            <v>2.65</v>
          </cell>
          <cell r="AS47">
            <v>2.17</v>
          </cell>
          <cell r="AT47">
            <v>2.2999999999999998</v>
          </cell>
          <cell r="AU47">
            <v>2.61</v>
          </cell>
          <cell r="AV47">
            <v>2.2599999999999998</v>
          </cell>
          <cell r="AW47">
            <v>1.74</v>
          </cell>
          <cell r="AX47">
            <v>1.78</v>
          </cell>
          <cell r="AY47">
            <v>2.66</v>
          </cell>
          <cell r="AZ47">
            <v>3.84</v>
          </cell>
          <cell r="BA47">
            <v>3.95</v>
          </cell>
          <cell r="BB47">
            <v>2.88</v>
          </cell>
          <cell r="BC47">
            <v>1.74</v>
          </cell>
          <cell r="BD47">
            <v>1.78</v>
          </cell>
          <cell r="BE47">
            <v>2.08</v>
          </cell>
          <cell r="BF47">
            <v>2.2799999999999998</v>
          </cell>
          <cell r="BG47">
            <v>2.1</v>
          </cell>
          <cell r="BH47">
            <v>2.14</v>
          </cell>
          <cell r="BI47">
            <v>2.5</v>
          </cell>
          <cell r="BJ47">
            <v>3.05</v>
          </cell>
          <cell r="BK47">
            <v>3.25</v>
          </cell>
          <cell r="BL47">
            <v>2.52</v>
          </cell>
          <cell r="BM47">
            <v>2.27</v>
          </cell>
          <cell r="BN47">
            <v>2.02</v>
          </cell>
          <cell r="BO47">
            <v>2.23</v>
          </cell>
          <cell r="BP47">
            <v>2.2799999999999998</v>
          </cell>
          <cell r="BQ47">
            <v>2.25</v>
          </cell>
          <cell r="BR47">
            <v>2.0099999999999998</v>
          </cell>
          <cell r="BS47">
            <v>2.35</v>
          </cell>
          <cell r="BT47">
            <v>1.91</v>
          </cell>
          <cell r="BU47">
            <v>1.6</v>
          </cell>
          <cell r="BV47">
            <v>2.02</v>
          </cell>
          <cell r="BW47">
            <v>1.96</v>
          </cell>
          <cell r="BX47">
            <v>2.09</v>
          </cell>
          <cell r="BY47">
            <v>1.76</v>
          </cell>
          <cell r="BZ47">
            <v>1.78</v>
          </cell>
          <cell r="CA47">
            <v>1.62</v>
          </cell>
          <cell r="CB47">
            <v>1.87</v>
          </cell>
          <cell r="CC47">
            <v>2.2999999999999998</v>
          </cell>
          <cell r="CD47">
            <v>2.21</v>
          </cell>
          <cell r="CE47">
            <v>2.2599999999999998</v>
          </cell>
          <cell r="CF47">
            <v>2.6</v>
          </cell>
          <cell r="CG47">
            <v>2.87</v>
          </cell>
        </row>
        <row r="48">
          <cell r="A48" t="str">
            <v>TANG</v>
          </cell>
          <cell r="B48">
            <v>45</v>
          </cell>
          <cell r="C48">
            <v>2.2090000000000001</v>
          </cell>
          <cell r="D48">
            <v>2.1240000000000001</v>
          </cell>
          <cell r="E48">
            <v>1.85</v>
          </cell>
          <cell r="F48">
            <v>1.5489999999999999</v>
          </cell>
          <cell r="G48">
            <v>1.806</v>
          </cell>
          <cell r="H48">
            <v>2.109</v>
          </cell>
          <cell r="I48">
            <v>2.581</v>
          </cell>
          <cell r="J48">
            <v>1.927</v>
          </cell>
          <cell r="K48">
            <v>1.8540000000000001</v>
          </cell>
          <cell r="L48">
            <v>2.0030000000000001</v>
          </cell>
          <cell r="M48">
            <v>2.2959999999999998</v>
          </cell>
          <cell r="N48">
            <v>1.9379999999999999</v>
          </cell>
          <cell r="O48">
            <v>2.0230000000000001</v>
          </cell>
          <cell r="P48">
            <v>2.3010000000000002</v>
          </cell>
          <cell r="Q48">
            <v>1.9690000000000001</v>
          </cell>
          <cell r="R48">
            <v>2.1930000000000001</v>
          </cell>
          <cell r="S48">
            <v>2.198</v>
          </cell>
          <cell r="T48">
            <v>1.871</v>
          </cell>
          <cell r="U48">
            <v>1.9670000000000001</v>
          </cell>
          <cell r="V48">
            <v>1.7090000000000001</v>
          </cell>
          <cell r="W48">
            <v>1.86</v>
          </cell>
          <cell r="X48">
            <v>1.7</v>
          </cell>
          <cell r="Y48">
            <v>1.397</v>
          </cell>
          <cell r="Z48">
            <v>1.333</v>
          </cell>
          <cell r="AA48">
            <v>1.5920000000000001</v>
          </cell>
          <cell r="AB48">
            <v>1.601</v>
          </cell>
          <cell r="AC48">
            <v>1.514</v>
          </cell>
          <cell r="AD48">
            <v>1.3120000000000001</v>
          </cell>
          <cell r="AE48">
            <v>1.3380000000000001</v>
          </cell>
          <cell r="AF48">
            <v>1.4610000000000001</v>
          </cell>
          <cell r="AG48">
            <v>1.577</v>
          </cell>
          <cell r="AH48">
            <v>1.6180000000000001</v>
          </cell>
          <cell r="AI48">
            <v>1.399</v>
          </cell>
          <cell r="AJ48">
            <v>1.288</v>
          </cell>
          <cell r="AK48">
            <v>1.4810000000000001</v>
          </cell>
          <cell r="AL48">
            <v>1.544</v>
          </cell>
          <cell r="AM48">
            <v>1.6779999999999999</v>
          </cell>
          <cell r="AN48">
            <v>2.0640000000000001</v>
          </cell>
          <cell r="AO48">
            <v>2.0859999999999999</v>
          </cell>
          <cell r="AP48">
            <v>1.806</v>
          </cell>
          <cell r="AQ48">
            <v>1.92</v>
          </cell>
          <cell r="AR48">
            <v>2.2050000000000001</v>
          </cell>
          <cell r="AS48">
            <v>2.1040000000000001</v>
          </cell>
          <cell r="AT48">
            <v>2.2410000000000001</v>
          </cell>
          <cell r="AU48">
            <v>2.5099999999999998</v>
          </cell>
          <cell r="AV48">
            <v>2.1619999999999999</v>
          </cell>
          <cell r="AW48">
            <v>1.6859999999999999</v>
          </cell>
          <cell r="AX48">
            <v>1.7270000000000001</v>
          </cell>
          <cell r="AY48">
            <v>2.5539999999999998</v>
          </cell>
          <cell r="AZ48">
            <v>3.6459999999999999</v>
          </cell>
          <cell r="BA48">
            <v>3.7229999999999999</v>
          </cell>
          <cell r="BB48">
            <v>2.706</v>
          </cell>
          <cell r="BC48">
            <v>1.62</v>
          </cell>
          <cell r="BD48">
            <v>1.716</v>
          </cell>
          <cell r="BE48">
            <v>2.0179999999999998</v>
          </cell>
        </row>
        <row r="49">
          <cell r="A49" t="str">
            <v>TENN-Z0</v>
          </cell>
          <cell r="B49">
            <v>46</v>
          </cell>
          <cell r="C49">
            <v>2.2799999999999998</v>
          </cell>
          <cell r="D49">
            <v>2.12</v>
          </cell>
          <cell r="E49">
            <v>1.82</v>
          </cell>
          <cell r="F49">
            <v>1.54</v>
          </cell>
          <cell r="G49">
            <v>1.8</v>
          </cell>
          <cell r="H49">
            <v>2.1</v>
          </cell>
          <cell r="I49">
            <v>2.58</v>
          </cell>
          <cell r="J49">
            <v>1.83</v>
          </cell>
          <cell r="K49">
            <v>1.73</v>
          </cell>
          <cell r="L49">
            <v>1.89</v>
          </cell>
          <cell r="M49">
            <v>2.23</v>
          </cell>
          <cell r="N49">
            <v>1.88</v>
          </cell>
          <cell r="O49">
            <v>2.02</v>
          </cell>
          <cell r="P49">
            <v>2.29</v>
          </cell>
          <cell r="Q49">
            <v>1.94</v>
          </cell>
          <cell r="R49">
            <v>2.1800000000000002</v>
          </cell>
          <cell r="S49">
            <v>2.17</v>
          </cell>
          <cell r="T49">
            <v>1.85</v>
          </cell>
          <cell r="U49">
            <v>1.98</v>
          </cell>
          <cell r="V49">
            <v>1.7</v>
          </cell>
          <cell r="W49">
            <v>1.84</v>
          </cell>
          <cell r="X49">
            <v>1.68</v>
          </cell>
          <cell r="Y49">
            <v>1.38</v>
          </cell>
          <cell r="Z49">
            <v>1.33</v>
          </cell>
          <cell r="AA49">
            <v>1.62</v>
          </cell>
          <cell r="AB49">
            <v>1.6</v>
          </cell>
          <cell r="AC49">
            <v>1.5</v>
          </cell>
          <cell r="AD49">
            <v>1.32</v>
          </cell>
          <cell r="AE49">
            <v>1.35</v>
          </cell>
          <cell r="AF49">
            <v>1.47</v>
          </cell>
          <cell r="AG49">
            <v>1.58</v>
          </cell>
          <cell r="AH49">
            <v>1.63</v>
          </cell>
          <cell r="AI49">
            <v>1.4</v>
          </cell>
          <cell r="AJ49">
            <v>1.28</v>
          </cell>
          <cell r="AK49">
            <v>1.48</v>
          </cell>
          <cell r="AL49">
            <v>1.56</v>
          </cell>
          <cell r="AM49">
            <v>1.7</v>
          </cell>
          <cell r="AN49">
            <v>2.08</v>
          </cell>
          <cell r="AO49">
            <v>2.11</v>
          </cell>
          <cell r="AP49">
            <v>1.8</v>
          </cell>
          <cell r="AQ49">
            <v>1.97</v>
          </cell>
          <cell r="AR49">
            <v>2.2200000000000002</v>
          </cell>
          <cell r="AS49">
            <v>2.11</v>
          </cell>
          <cell r="AT49">
            <v>2.2599999999999998</v>
          </cell>
          <cell r="AU49">
            <v>2.5299999999999998</v>
          </cell>
          <cell r="AV49">
            <v>2.19</v>
          </cell>
          <cell r="AW49">
            <v>1.69</v>
          </cell>
          <cell r="AX49">
            <v>1.73</v>
          </cell>
          <cell r="AY49">
            <v>2.59</v>
          </cell>
          <cell r="AZ49">
            <v>3.68</v>
          </cell>
          <cell r="BA49">
            <v>3.82</v>
          </cell>
          <cell r="BB49">
            <v>2.73</v>
          </cell>
          <cell r="BC49">
            <v>1.62</v>
          </cell>
          <cell r="BD49">
            <v>1.74</v>
          </cell>
          <cell r="BE49">
            <v>2.02</v>
          </cell>
          <cell r="BF49">
            <v>2.23</v>
          </cell>
          <cell r="BG49">
            <v>2.06</v>
          </cell>
          <cell r="BH49">
            <v>2.1</v>
          </cell>
          <cell r="BI49">
            <v>2.4300000000000002</v>
          </cell>
          <cell r="BJ49">
            <v>2.99</v>
          </cell>
          <cell r="BK49">
            <v>3.17</v>
          </cell>
          <cell r="BL49">
            <v>2.36</v>
          </cell>
          <cell r="BM49">
            <v>2.14</v>
          </cell>
          <cell r="BN49">
            <v>1.92</v>
          </cell>
          <cell r="BO49">
            <v>2.16</v>
          </cell>
          <cell r="BP49">
            <v>2.2200000000000002</v>
          </cell>
          <cell r="BQ49">
            <v>2.2000000000000002</v>
          </cell>
          <cell r="BR49">
            <v>1.95</v>
          </cell>
          <cell r="BS49">
            <v>2.27</v>
          </cell>
          <cell r="BT49">
            <v>1.83</v>
          </cell>
          <cell r="BU49">
            <v>1.53</v>
          </cell>
          <cell r="BV49">
            <v>1.92</v>
          </cell>
          <cell r="BW49">
            <v>1.89</v>
          </cell>
          <cell r="BX49">
            <v>2.02</v>
          </cell>
          <cell r="BY49">
            <v>1.69</v>
          </cell>
          <cell r="BZ49">
            <v>1.74</v>
          </cell>
          <cell r="CA49">
            <v>1.56</v>
          </cell>
          <cell r="CB49">
            <v>1.83</v>
          </cell>
          <cell r="CC49">
            <v>2.2799999999999998</v>
          </cell>
          <cell r="CD49">
            <v>2.14</v>
          </cell>
          <cell r="CE49">
            <v>2.19</v>
          </cell>
          <cell r="CF49">
            <v>2.5299999999999998</v>
          </cell>
          <cell r="CG49">
            <v>2.8</v>
          </cell>
        </row>
        <row r="50">
          <cell r="A50" t="str">
            <v>TENN-Z1</v>
          </cell>
          <cell r="B50">
            <v>47</v>
          </cell>
          <cell r="C50">
            <v>2.2999999999999998</v>
          </cell>
          <cell r="D50">
            <v>2.1800000000000002</v>
          </cell>
          <cell r="E50">
            <v>1.88</v>
          </cell>
          <cell r="F50">
            <v>1.59</v>
          </cell>
          <cell r="G50">
            <v>1.84</v>
          </cell>
          <cell r="H50">
            <v>2.14</v>
          </cell>
          <cell r="I50">
            <v>2.6</v>
          </cell>
          <cell r="J50">
            <v>1.86</v>
          </cell>
          <cell r="K50">
            <v>1.81</v>
          </cell>
          <cell r="L50">
            <v>1.95</v>
          </cell>
          <cell r="M50">
            <v>2.27</v>
          </cell>
          <cell r="N50">
            <v>1.92</v>
          </cell>
          <cell r="O50">
            <v>2.0499999999999998</v>
          </cell>
          <cell r="P50">
            <v>2.33</v>
          </cell>
          <cell r="Q50">
            <v>1.98</v>
          </cell>
          <cell r="R50">
            <v>2.31</v>
          </cell>
          <cell r="S50">
            <v>2.3199999999999998</v>
          </cell>
          <cell r="T50">
            <v>1.92</v>
          </cell>
          <cell r="U50">
            <v>2</v>
          </cell>
          <cell r="V50">
            <v>1.73</v>
          </cell>
          <cell r="W50">
            <v>1.87</v>
          </cell>
          <cell r="X50">
            <v>1.7</v>
          </cell>
          <cell r="Y50">
            <v>1.4</v>
          </cell>
          <cell r="Z50">
            <v>1.35</v>
          </cell>
          <cell r="AA50">
            <v>1.62</v>
          </cell>
          <cell r="AB50">
            <v>1.64</v>
          </cell>
          <cell r="AC50">
            <v>1.57</v>
          </cell>
          <cell r="AD50">
            <v>1.37</v>
          </cell>
          <cell r="AE50">
            <v>1.42</v>
          </cell>
          <cell r="AF50">
            <v>1.5</v>
          </cell>
          <cell r="AG50">
            <v>1.6</v>
          </cell>
          <cell r="AH50">
            <v>1.64</v>
          </cell>
          <cell r="AI50">
            <v>1.42</v>
          </cell>
          <cell r="AJ50">
            <v>1.3</v>
          </cell>
          <cell r="AK50">
            <v>1.5</v>
          </cell>
          <cell r="AL50">
            <v>1.58</v>
          </cell>
          <cell r="AM50">
            <v>1.73</v>
          </cell>
          <cell r="AN50">
            <v>2.2400000000000002</v>
          </cell>
          <cell r="AO50">
            <v>3.25</v>
          </cell>
          <cell r="AP50">
            <v>2.33</v>
          </cell>
          <cell r="AQ50">
            <v>2.81</v>
          </cell>
          <cell r="AR50">
            <v>2.58</v>
          </cell>
          <cell r="AS50">
            <v>2.1</v>
          </cell>
          <cell r="AT50">
            <v>2.2799999999999998</v>
          </cell>
          <cell r="AU50">
            <v>2.57</v>
          </cell>
          <cell r="AV50">
            <v>2.2200000000000002</v>
          </cell>
          <cell r="AW50">
            <v>1.72</v>
          </cell>
          <cell r="AX50">
            <v>1.75</v>
          </cell>
          <cell r="AY50">
            <v>2.63</v>
          </cell>
          <cell r="AZ50">
            <v>3.73</v>
          </cell>
          <cell r="BA50">
            <v>3.84</v>
          </cell>
          <cell r="BB50">
            <v>2.79</v>
          </cell>
          <cell r="BC50">
            <v>1.66</v>
          </cell>
          <cell r="BD50">
            <v>1.76</v>
          </cell>
          <cell r="BE50">
            <v>2.04</v>
          </cell>
          <cell r="BF50">
            <v>2.2400000000000002</v>
          </cell>
          <cell r="BG50">
            <v>2.0699999999999998</v>
          </cell>
          <cell r="BH50">
            <v>2.11</v>
          </cell>
          <cell r="BI50">
            <v>2.46</v>
          </cell>
          <cell r="BJ50">
            <v>3.02</v>
          </cell>
          <cell r="BK50">
            <v>3.2</v>
          </cell>
          <cell r="BL50">
            <v>2.4500000000000002</v>
          </cell>
          <cell r="BM50">
            <v>2.19</v>
          </cell>
          <cell r="BN50">
            <v>1.93</v>
          </cell>
          <cell r="BO50">
            <v>2.19</v>
          </cell>
          <cell r="BP50">
            <v>2.2400000000000002</v>
          </cell>
          <cell r="BQ50">
            <v>2.21</v>
          </cell>
          <cell r="BR50">
            <v>1.96</v>
          </cell>
          <cell r="BS50">
            <v>2.29</v>
          </cell>
          <cell r="BT50">
            <v>1.85</v>
          </cell>
          <cell r="BU50">
            <v>1.53</v>
          </cell>
          <cell r="BV50">
            <v>1.95</v>
          </cell>
          <cell r="BW50">
            <v>1.93</v>
          </cell>
          <cell r="BX50">
            <v>2.0499999999999998</v>
          </cell>
          <cell r="BY50">
            <v>1.71</v>
          </cell>
          <cell r="BZ50">
            <v>1.75</v>
          </cell>
          <cell r="CA50">
            <v>1.57</v>
          </cell>
          <cell r="CB50">
            <v>1.84</v>
          </cell>
          <cell r="CC50">
            <v>2.2999999999999998</v>
          </cell>
          <cell r="CD50">
            <v>2.16</v>
          </cell>
          <cell r="CE50">
            <v>2.21</v>
          </cell>
          <cell r="CF50">
            <v>2.54</v>
          </cell>
          <cell r="CG50">
            <v>2.83</v>
          </cell>
        </row>
        <row r="51">
          <cell r="A51" t="str">
            <v>TET-ELA</v>
          </cell>
          <cell r="B51">
            <v>48</v>
          </cell>
          <cell r="L51">
            <v>2.0499999999999998</v>
          </cell>
          <cell r="M51">
            <v>2.35</v>
          </cell>
          <cell r="N51">
            <v>2</v>
          </cell>
          <cell r="O51">
            <v>2.1</v>
          </cell>
          <cell r="P51">
            <v>2.35</v>
          </cell>
          <cell r="Q51">
            <v>2</v>
          </cell>
          <cell r="R51">
            <v>2.35</v>
          </cell>
          <cell r="S51">
            <v>2.35</v>
          </cell>
          <cell r="T51">
            <v>1.96</v>
          </cell>
          <cell r="U51">
            <v>2.0499999999999998</v>
          </cell>
          <cell r="V51">
            <v>1.81</v>
          </cell>
          <cell r="W51">
            <v>1.93</v>
          </cell>
          <cell r="X51">
            <v>1.76</v>
          </cell>
          <cell r="Y51">
            <v>1.45</v>
          </cell>
          <cell r="Z51">
            <v>1.38</v>
          </cell>
          <cell r="AA51">
            <v>1.66</v>
          </cell>
          <cell r="AB51">
            <v>1.65</v>
          </cell>
          <cell r="AC51">
            <v>1.59</v>
          </cell>
          <cell r="AD51">
            <v>1.4</v>
          </cell>
          <cell r="AE51">
            <v>1.43</v>
          </cell>
          <cell r="AF51">
            <v>1.54</v>
          </cell>
          <cell r="AG51">
            <v>1.65</v>
          </cell>
          <cell r="AH51">
            <v>1.69</v>
          </cell>
          <cell r="AI51">
            <v>1.46</v>
          </cell>
          <cell r="AJ51">
            <v>1.34</v>
          </cell>
          <cell r="AK51">
            <v>1.54</v>
          </cell>
          <cell r="AL51">
            <v>1.61</v>
          </cell>
          <cell r="AM51">
            <v>1.76</v>
          </cell>
          <cell r="AN51">
            <v>2.2599999999999998</v>
          </cell>
          <cell r="AO51">
            <v>3.5</v>
          </cell>
          <cell r="AP51">
            <v>2.5</v>
          </cell>
          <cell r="AQ51">
            <v>2.92</v>
          </cell>
          <cell r="AR51">
            <v>2.65</v>
          </cell>
          <cell r="AS51">
            <v>2.1800000000000002</v>
          </cell>
          <cell r="AT51">
            <v>2.34</v>
          </cell>
          <cell r="AU51">
            <v>2.61</v>
          </cell>
          <cell r="AV51">
            <v>2.25</v>
          </cell>
          <cell r="AW51">
            <v>1.73</v>
          </cell>
          <cell r="AX51">
            <v>1.78</v>
          </cell>
          <cell r="AY51">
            <v>2.65</v>
          </cell>
          <cell r="AZ51">
            <v>3.83</v>
          </cell>
          <cell r="BA51">
            <v>3.9</v>
          </cell>
          <cell r="BB51">
            <v>2.85</v>
          </cell>
          <cell r="BC51">
            <v>1.7</v>
          </cell>
          <cell r="BD51">
            <v>1.78</v>
          </cell>
          <cell r="BE51">
            <v>2.0699999999999998</v>
          </cell>
          <cell r="BF51">
            <v>2.2400000000000002</v>
          </cell>
          <cell r="BG51">
            <v>2.1</v>
          </cell>
          <cell r="BH51">
            <v>2.13</v>
          </cell>
          <cell r="BI51">
            <v>2.48</v>
          </cell>
          <cell r="BJ51">
            <v>3.04</v>
          </cell>
          <cell r="BK51">
            <v>3.23</v>
          </cell>
          <cell r="BL51">
            <v>2.48</v>
          </cell>
          <cell r="BM51">
            <v>2.2200000000000002</v>
          </cell>
          <cell r="BN51">
            <v>1.97</v>
          </cell>
          <cell r="BO51">
            <v>2.2000000000000002</v>
          </cell>
          <cell r="BP51">
            <v>2.2599999999999998</v>
          </cell>
          <cell r="BQ51">
            <v>2.23</v>
          </cell>
          <cell r="BR51">
            <v>1.98</v>
          </cell>
          <cell r="BS51">
            <v>2.31</v>
          </cell>
          <cell r="BT51">
            <v>1.87</v>
          </cell>
          <cell r="BU51">
            <v>1.56</v>
          </cell>
          <cell r="BV51">
            <v>1.98</v>
          </cell>
          <cell r="BW51">
            <v>1.96</v>
          </cell>
          <cell r="BX51">
            <v>2.0499999999999998</v>
          </cell>
          <cell r="BY51">
            <v>1.72</v>
          </cell>
          <cell r="BZ51">
            <v>1.77</v>
          </cell>
          <cell r="CA51">
            <v>1.58</v>
          </cell>
          <cell r="CB51">
            <v>1.86</v>
          </cell>
          <cell r="CC51">
            <v>2.3199999999999998</v>
          </cell>
          <cell r="CD51">
            <v>2.1800000000000002</v>
          </cell>
          <cell r="CE51">
            <v>2.23</v>
          </cell>
          <cell r="CF51">
            <v>2.57</v>
          </cell>
          <cell r="CG51">
            <v>2.82</v>
          </cell>
        </row>
        <row r="52">
          <cell r="A52" t="str">
            <v>TET-ETX</v>
          </cell>
          <cell r="B52">
            <v>49</v>
          </cell>
          <cell r="L52">
            <v>2.02</v>
          </cell>
          <cell r="M52">
            <v>2.31</v>
          </cell>
          <cell r="N52">
            <v>1.96</v>
          </cell>
          <cell r="O52">
            <v>2.0499999999999998</v>
          </cell>
          <cell r="P52">
            <v>2.3199999999999998</v>
          </cell>
          <cell r="Q52">
            <v>1.95</v>
          </cell>
          <cell r="R52">
            <v>2.25</v>
          </cell>
          <cell r="S52">
            <v>2.2400000000000002</v>
          </cell>
          <cell r="T52">
            <v>1.9</v>
          </cell>
          <cell r="U52">
            <v>1.98</v>
          </cell>
          <cell r="V52">
            <v>1.74</v>
          </cell>
          <cell r="W52">
            <v>1.88</v>
          </cell>
          <cell r="X52">
            <v>1.73</v>
          </cell>
          <cell r="Y52">
            <v>1.41</v>
          </cell>
          <cell r="Z52">
            <v>1.34</v>
          </cell>
          <cell r="AA52">
            <v>1.6</v>
          </cell>
          <cell r="AB52">
            <v>1.6</v>
          </cell>
          <cell r="AC52">
            <v>1.54</v>
          </cell>
          <cell r="AD52">
            <v>1.33</v>
          </cell>
          <cell r="AE52">
            <v>1.35</v>
          </cell>
          <cell r="AF52">
            <v>1.48</v>
          </cell>
          <cell r="AG52">
            <v>1.6</v>
          </cell>
          <cell r="AH52">
            <v>1.64</v>
          </cell>
          <cell r="AI52">
            <v>1.41</v>
          </cell>
          <cell r="AJ52">
            <v>1.3</v>
          </cell>
          <cell r="AK52">
            <v>1.5</v>
          </cell>
          <cell r="AL52">
            <v>1.58</v>
          </cell>
          <cell r="AM52">
            <v>1.7</v>
          </cell>
          <cell r="AN52">
            <v>2.11</v>
          </cell>
          <cell r="AO52">
            <v>2.0499999999999998</v>
          </cell>
          <cell r="AP52">
            <v>1.82</v>
          </cell>
          <cell r="AQ52">
            <v>1.96</v>
          </cell>
          <cell r="AR52">
            <v>2.23</v>
          </cell>
          <cell r="AS52">
            <v>2.13</v>
          </cell>
          <cell r="AT52">
            <v>2.25</v>
          </cell>
          <cell r="AU52">
            <v>2.56</v>
          </cell>
          <cell r="AV52">
            <v>2.19</v>
          </cell>
          <cell r="AW52">
            <v>1.69</v>
          </cell>
          <cell r="AX52">
            <v>1.73</v>
          </cell>
          <cell r="AY52">
            <v>2.61</v>
          </cell>
          <cell r="AZ52">
            <v>3.69</v>
          </cell>
          <cell r="BA52">
            <v>3.92</v>
          </cell>
          <cell r="BB52">
            <v>2.75</v>
          </cell>
          <cell r="BC52">
            <v>1.63</v>
          </cell>
          <cell r="BD52">
            <v>1.73</v>
          </cell>
          <cell r="BE52">
            <v>2.0299999999999998</v>
          </cell>
          <cell r="BF52">
            <v>2.2000000000000002</v>
          </cell>
          <cell r="BG52">
            <v>2.06</v>
          </cell>
          <cell r="BH52">
            <v>2.1</v>
          </cell>
          <cell r="BI52">
            <v>2.4500000000000002</v>
          </cell>
          <cell r="BJ52">
            <v>2.93</v>
          </cell>
          <cell r="BK52">
            <v>3.17</v>
          </cell>
          <cell r="BL52">
            <v>2.38</v>
          </cell>
          <cell r="BM52">
            <v>2.16</v>
          </cell>
          <cell r="BN52">
            <v>1.92</v>
          </cell>
          <cell r="BO52">
            <v>2.16</v>
          </cell>
          <cell r="BP52">
            <v>2.2200000000000002</v>
          </cell>
          <cell r="BQ52">
            <v>2.2200000000000002</v>
          </cell>
          <cell r="BR52">
            <v>1.95</v>
          </cell>
          <cell r="BS52">
            <v>2.2799999999999998</v>
          </cell>
          <cell r="BT52">
            <v>1.88</v>
          </cell>
          <cell r="BU52">
            <v>1.54</v>
          </cell>
          <cell r="BV52">
            <v>1.95</v>
          </cell>
          <cell r="BW52">
            <v>1.91</v>
          </cell>
          <cell r="BX52">
            <v>2.0299999999999998</v>
          </cell>
          <cell r="BY52">
            <v>1.68</v>
          </cell>
          <cell r="BZ52">
            <v>1.74</v>
          </cell>
          <cell r="CA52">
            <v>1.56</v>
          </cell>
          <cell r="CB52">
            <v>1.81</v>
          </cell>
          <cell r="CC52">
            <v>2.29</v>
          </cell>
          <cell r="CD52">
            <v>2.15</v>
          </cell>
          <cell r="CE52">
            <v>2.2000000000000002</v>
          </cell>
          <cell r="CF52">
            <v>2.5299999999999998</v>
          </cell>
          <cell r="CG52">
            <v>2.79</v>
          </cell>
        </row>
        <row r="53">
          <cell r="A53" t="str">
            <v>TET-STX</v>
          </cell>
          <cell r="B53">
            <v>50</v>
          </cell>
          <cell r="L53">
            <v>2.04</v>
          </cell>
          <cell r="M53">
            <v>2.31</v>
          </cell>
          <cell r="N53">
            <v>1.96</v>
          </cell>
          <cell r="O53">
            <v>2.0699999999999998</v>
          </cell>
          <cell r="P53">
            <v>2.3199999999999998</v>
          </cell>
          <cell r="Q53">
            <v>1.94</v>
          </cell>
          <cell r="R53">
            <v>2.2000000000000002</v>
          </cell>
          <cell r="S53">
            <v>2.1800000000000002</v>
          </cell>
          <cell r="T53">
            <v>1.87</v>
          </cell>
          <cell r="U53">
            <v>1.99</v>
          </cell>
          <cell r="V53">
            <v>1.73</v>
          </cell>
          <cell r="W53">
            <v>1.88</v>
          </cell>
          <cell r="X53">
            <v>1.71</v>
          </cell>
          <cell r="Y53">
            <v>1.41</v>
          </cell>
          <cell r="Z53">
            <v>1.34</v>
          </cell>
          <cell r="AA53">
            <v>1.6</v>
          </cell>
          <cell r="AB53">
            <v>1.61</v>
          </cell>
          <cell r="AC53">
            <v>1.53</v>
          </cell>
          <cell r="AD53">
            <v>1.32</v>
          </cell>
          <cell r="AE53">
            <v>1.36</v>
          </cell>
          <cell r="AF53">
            <v>1.47</v>
          </cell>
          <cell r="AG53">
            <v>1.58</v>
          </cell>
          <cell r="AH53">
            <v>1.62</v>
          </cell>
          <cell r="AI53">
            <v>1.41</v>
          </cell>
          <cell r="AJ53">
            <v>1.29</v>
          </cell>
          <cell r="AK53">
            <v>1.48</v>
          </cell>
          <cell r="AL53">
            <v>1.56</v>
          </cell>
          <cell r="AM53">
            <v>1.69</v>
          </cell>
          <cell r="AN53">
            <v>2.09</v>
          </cell>
          <cell r="AO53">
            <v>2.1</v>
          </cell>
          <cell r="AP53">
            <v>1.78</v>
          </cell>
          <cell r="AQ53">
            <v>1.95</v>
          </cell>
          <cell r="AR53">
            <v>2.2200000000000002</v>
          </cell>
          <cell r="AS53">
            <v>2.12</v>
          </cell>
          <cell r="AT53">
            <v>2.2400000000000002</v>
          </cell>
          <cell r="AU53">
            <v>2.54</v>
          </cell>
          <cell r="AV53">
            <v>2.2000000000000002</v>
          </cell>
          <cell r="AW53">
            <v>1.69</v>
          </cell>
          <cell r="AX53">
            <v>1.73</v>
          </cell>
          <cell r="AY53">
            <v>2.6</v>
          </cell>
          <cell r="AZ53">
            <v>3.68</v>
          </cell>
          <cell r="BA53">
            <v>3.8</v>
          </cell>
          <cell r="BB53">
            <v>2.73</v>
          </cell>
          <cell r="BC53">
            <v>1.62</v>
          </cell>
          <cell r="BD53">
            <v>1.75</v>
          </cell>
          <cell r="BE53">
            <v>2.0299999999999998</v>
          </cell>
          <cell r="BF53">
            <v>2.21</v>
          </cell>
          <cell r="BG53">
            <v>2.0699999999999998</v>
          </cell>
          <cell r="BH53">
            <v>2.1</v>
          </cell>
          <cell r="BI53">
            <v>2.44</v>
          </cell>
          <cell r="BJ53">
            <v>2.96</v>
          </cell>
          <cell r="BK53">
            <v>3.16</v>
          </cell>
          <cell r="BL53">
            <v>2.33</v>
          </cell>
          <cell r="BM53">
            <v>2.15</v>
          </cell>
          <cell r="BN53">
            <v>1.92</v>
          </cell>
          <cell r="BO53">
            <v>2.15</v>
          </cell>
          <cell r="BP53">
            <v>2.21</v>
          </cell>
          <cell r="BQ53">
            <v>2.19</v>
          </cell>
          <cell r="BR53">
            <v>1.95</v>
          </cell>
          <cell r="BS53">
            <v>2.2799999999999998</v>
          </cell>
          <cell r="BT53">
            <v>1.85</v>
          </cell>
          <cell r="BU53">
            <v>1.52</v>
          </cell>
          <cell r="BV53">
            <v>1.94</v>
          </cell>
          <cell r="BW53">
            <v>1.92</v>
          </cell>
          <cell r="BX53">
            <v>2.02</v>
          </cell>
          <cell r="BY53">
            <v>1.69</v>
          </cell>
          <cell r="BZ53">
            <v>1.74</v>
          </cell>
          <cell r="CA53">
            <v>1.556</v>
          </cell>
          <cell r="CB53">
            <v>1.81</v>
          </cell>
          <cell r="CC53">
            <v>2.2799999999999998</v>
          </cell>
          <cell r="CD53">
            <v>2.14</v>
          </cell>
          <cell r="CE53">
            <v>2.1800000000000002</v>
          </cell>
          <cell r="CF53">
            <v>2.52</v>
          </cell>
          <cell r="CG53">
            <v>2.8</v>
          </cell>
        </row>
        <row r="54">
          <cell r="A54" t="str">
            <v>TET-WLA</v>
          </cell>
          <cell r="B54">
            <v>51</v>
          </cell>
          <cell r="L54">
            <v>2.0499999999999998</v>
          </cell>
          <cell r="M54">
            <v>2.33</v>
          </cell>
          <cell r="N54">
            <v>2</v>
          </cell>
          <cell r="O54">
            <v>2.09</v>
          </cell>
          <cell r="P54">
            <v>2.34</v>
          </cell>
          <cell r="Q54">
            <v>2</v>
          </cell>
          <cell r="R54">
            <v>2.3199999999999998</v>
          </cell>
          <cell r="S54">
            <v>2.3199999999999998</v>
          </cell>
          <cell r="T54">
            <v>1.94</v>
          </cell>
          <cell r="U54">
            <v>2.04</v>
          </cell>
          <cell r="V54">
            <v>1.8</v>
          </cell>
          <cell r="W54">
            <v>1.92</v>
          </cell>
          <cell r="X54">
            <v>1.75</v>
          </cell>
          <cell r="Y54">
            <v>1.44</v>
          </cell>
          <cell r="Z54">
            <v>1.37</v>
          </cell>
          <cell r="AA54">
            <v>1.65</v>
          </cell>
          <cell r="AB54">
            <v>1.63</v>
          </cell>
          <cell r="AC54">
            <v>1.56</v>
          </cell>
          <cell r="AD54">
            <v>1.36</v>
          </cell>
          <cell r="AE54">
            <v>1.4</v>
          </cell>
          <cell r="AF54">
            <v>1.51</v>
          </cell>
          <cell r="AG54">
            <v>1.63</v>
          </cell>
          <cell r="AH54">
            <v>1.68</v>
          </cell>
          <cell r="AI54">
            <v>1.44</v>
          </cell>
          <cell r="AJ54">
            <v>1.33</v>
          </cell>
          <cell r="AK54">
            <v>1.52</v>
          </cell>
          <cell r="AL54">
            <v>1.59</v>
          </cell>
          <cell r="AM54">
            <v>1.74</v>
          </cell>
          <cell r="AN54">
            <v>2.2200000000000002</v>
          </cell>
          <cell r="AO54">
            <v>2.85</v>
          </cell>
          <cell r="AP54">
            <v>2.2000000000000002</v>
          </cell>
          <cell r="AQ54">
            <v>2.73</v>
          </cell>
          <cell r="AR54">
            <v>2.56</v>
          </cell>
          <cell r="AS54">
            <v>2.16</v>
          </cell>
          <cell r="AT54">
            <v>2.31</v>
          </cell>
          <cell r="AU54">
            <v>2.58</v>
          </cell>
          <cell r="AV54">
            <v>2.2200000000000002</v>
          </cell>
          <cell r="AW54">
            <v>1.72</v>
          </cell>
          <cell r="AX54">
            <v>1.77</v>
          </cell>
          <cell r="AY54">
            <v>2.64</v>
          </cell>
          <cell r="AZ54">
            <v>3.81</v>
          </cell>
          <cell r="BA54">
            <v>3.87</v>
          </cell>
          <cell r="BB54">
            <v>2.83</v>
          </cell>
          <cell r="BC54">
            <v>1.68</v>
          </cell>
          <cell r="BD54">
            <v>1.75</v>
          </cell>
          <cell r="BE54">
            <v>2.0499999999999998</v>
          </cell>
          <cell r="BF54">
            <v>2.23</v>
          </cell>
          <cell r="BG54">
            <v>2.08</v>
          </cell>
          <cell r="BH54">
            <v>2.12</v>
          </cell>
          <cell r="BI54">
            <v>2.46</v>
          </cell>
          <cell r="BJ54">
            <v>3.02</v>
          </cell>
          <cell r="BK54">
            <v>3.21</v>
          </cell>
          <cell r="BL54">
            <v>2.46</v>
          </cell>
          <cell r="BM54">
            <v>2.2000000000000002</v>
          </cell>
          <cell r="BN54">
            <v>1.94</v>
          </cell>
          <cell r="BO54">
            <v>2.19</v>
          </cell>
          <cell r="BP54">
            <v>2.2400000000000002</v>
          </cell>
          <cell r="BQ54">
            <v>2.2200000000000002</v>
          </cell>
          <cell r="BR54">
            <v>1.96</v>
          </cell>
          <cell r="BS54">
            <v>2.2999999999999998</v>
          </cell>
          <cell r="BT54">
            <v>1.86</v>
          </cell>
          <cell r="BU54">
            <v>1.54</v>
          </cell>
          <cell r="BV54">
            <v>1.97</v>
          </cell>
          <cell r="BW54">
            <v>1.93</v>
          </cell>
          <cell r="BX54">
            <v>2.0499999999999998</v>
          </cell>
          <cell r="BY54">
            <v>1.72</v>
          </cell>
          <cell r="BZ54">
            <v>1.75</v>
          </cell>
          <cell r="CA54">
            <v>1.57</v>
          </cell>
          <cell r="CB54">
            <v>1.85</v>
          </cell>
          <cell r="CC54">
            <v>2.31</v>
          </cell>
          <cell r="CD54">
            <v>2.16</v>
          </cell>
          <cell r="CE54">
            <v>2.2200000000000002</v>
          </cell>
          <cell r="CF54">
            <v>2.5499999999999998</v>
          </cell>
          <cell r="CG54">
            <v>2.81</v>
          </cell>
        </row>
        <row r="55">
          <cell r="A55" t="str">
            <v>TET-M3</v>
          </cell>
          <cell r="B55">
            <v>52</v>
          </cell>
          <cell r="AU55">
            <v>2.93</v>
          </cell>
          <cell r="AV55">
            <v>2.5499999999999998</v>
          </cell>
          <cell r="AW55">
            <v>2.04</v>
          </cell>
          <cell r="AX55">
            <v>2.08</v>
          </cell>
          <cell r="AY55">
            <v>3.26</v>
          </cell>
          <cell r="AZ55">
            <v>4.9800000000000004</v>
          </cell>
          <cell r="BA55">
            <v>5.15</v>
          </cell>
          <cell r="BB55">
            <v>3.58</v>
          </cell>
          <cell r="BC55">
            <v>2.1</v>
          </cell>
          <cell r="BD55">
            <v>2.13</v>
          </cell>
          <cell r="BE55">
            <v>2.41</v>
          </cell>
          <cell r="BF55">
            <v>2.57</v>
          </cell>
          <cell r="BG55">
            <v>2.41</v>
          </cell>
          <cell r="BH55">
            <v>2.4</v>
          </cell>
          <cell r="BI55">
            <v>2.75</v>
          </cell>
          <cell r="BJ55">
            <v>3.45</v>
          </cell>
          <cell r="BK55">
            <v>3.75</v>
          </cell>
          <cell r="BL55">
            <v>3.24</v>
          </cell>
          <cell r="BM55">
            <v>2.83</v>
          </cell>
          <cell r="BN55">
            <v>2.33</v>
          </cell>
          <cell r="BO55">
            <v>2.4700000000000002</v>
          </cell>
          <cell r="BP55">
            <v>2.57</v>
          </cell>
          <cell r="BQ55">
            <v>2.52</v>
          </cell>
          <cell r="BR55">
            <v>2.25</v>
          </cell>
          <cell r="BS55">
            <v>2.58</v>
          </cell>
          <cell r="BT55">
            <v>2.15</v>
          </cell>
          <cell r="BU55">
            <v>1.78</v>
          </cell>
          <cell r="BV55">
            <v>2.27</v>
          </cell>
          <cell r="BW55">
            <v>2.38</v>
          </cell>
          <cell r="BX55">
            <v>2.4300000000000002</v>
          </cell>
          <cell r="BY55">
            <v>2.19</v>
          </cell>
          <cell r="BZ55">
            <v>2.16</v>
          </cell>
          <cell r="CA55">
            <v>1.84</v>
          </cell>
          <cell r="CB55">
            <v>2.11</v>
          </cell>
          <cell r="CC55">
            <v>2.54</v>
          </cell>
          <cell r="CD55">
            <v>2.42</v>
          </cell>
          <cell r="CE55">
            <v>2.4900000000000002</v>
          </cell>
          <cell r="CF55">
            <v>2.86</v>
          </cell>
          <cell r="CG55">
            <v>3.12</v>
          </cell>
        </row>
        <row r="56">
          <cell r="A56" t="str">
            <v>TRAN-Z1</v>
          </cell>
          <cell r="B56">
            <v>53</v>
          </cell>
          <cell r="C56">
            <v>2.35</v>
          </cell>
          <cell r="D56">
            <v>2.25</v>
          </cell>
          <cell r="E56">
            <v>1.86</v>
          </cell>
          <cell r="F56">
            <v>1.56</v>
          </cell>
          <cell r="G56">
            <v>1.847</v>
          </cell>
          <cell r="H56">
            <v>2.15</v>
          </cell>
          <cell r="I56">
            <v>2.68</v>
          </cell>
          <cell r="J56">
            <v>2.08</v>
          </cell>
          <cell r="K56">
            <v>1.89</v>
          </cell>
          <cell r="L56">
            <v>2.02</v>
          </cell>
          <cell r="M56">
            <v>2.33</v>
          </cell>
          <cell r="N56">
            <v>2.04</v>
          </cell>
          <cell r="O56">
            <v>2.09</v>
          </cell>
          <cell r="P56">
            <v>2.34</v>
          </cell>
          <cell r="Q56">
            <v>2.02</v>
          </cell>
          <cell r="R56">
            <v>2.3199999999999998</v>
          </cell>
          <cell r="S56">
            <v>2.3199999999999998</v>
          </cell>
          <cell r="T56">
            <v>1.93</v>
          </cell>
          <cell r="U56">
            <v>2.02</v>
          </cell>
          <cell r="V56">
            <v>1.81</v>
          </cell>
          <cell r="W56">
            <v>1.92</v>
          </cell>
          <cell r="X56">
            <v>1.76</v>
          </cell>
          <cell r="Y56">
            <v>1.43</v>
          </cell>
          <cell r="Z56">
            <v>1.35</v>
          </cell>
          <cell r="AA56">
            <v>1.61</v>
          </cell>
          <cell r="AB56">
            <v>1.65</v>
          </cell>
          <cell r="AC56">
            <v>1.56</v>
          </cell>
          <cell r="AD56">
            <v>1.36</v>
          </cell>
          <cell r="AE56">
            <v>1.38</v>
          </cell>
          <cell r="AF56">
            <v>1.49</v>
          </cell>
          <cell r="AG56">
            <v>1.6</v>
          </cell>
          <cell r="AH56">
            <v>1.65</v>
          </cell>
          <cell r="AI56">
            <v>1.43</v>
          </cell>
          <cell r="AJ56">
            <v>1.29</v>
          </cell>
          <cell r="AK56">
            <v>1.49</v>
          </cell>
          <cell r="AL56">
            <v>1.56</v>
          </cell>
          <cell r="AM56">
            <v>1.72</v>
          </cell>
          <cell r="AN56">
            <v>2.12</v>
          </cell>
          <cell r="AO56">
            <v>2.15</v>
          </cell>
          <cell r="AP56">
            <v>1.8</v>
          </cell>
          <cell r="AQ56">
            <v>1.96</v>
          </cell>
          <cell r="AR56">
            <v>2.25</v>
          </cell>
          <cell r="AS56">
            <v>2.12</v>
          </cell>
          <cell r="AT56">
            <v>2.27</v>
          </cell>
          <cell r="AU56">
            <v>2.54</v>
          </cell>
          <cell r="AV56">
            <v>2.2200000000000002</v>
          </cell>
          <cell r="AW56">
            <v>1.7</v>
          </cell>
          <cell r="AX56">
            <v>1.73</v>
          </cell>
          <cell r="AY56">
            <v>2.57</v>
          </cell>
          <cell r="AZ56">
            <v>3.67</v>
          </cell>
          <cell r="BA56">
            <v>3.81</v>
          </cell>
          <cell r="BB56">
            <v>2.77</v>
          </cell>
          <cell r="BC56">
            <v>1.62</v>
          </cell>
          <cell r="BD56">
            <v>1.74</v>
          </cell>
          <cell r="BE56">
            <v>2.02</v>
          </cell>
          <cell r="BF56">
            <v>2.2000000000000002</v>
          </cell>
          <cell r="BG56">
            <v>2.06</v>
          </cell>
          <cell r="BH56">
            <v>2.1</v>
          </cell>
          <cell r="BI56">
            <v>2.4500000000000002</v>
          </cell>
          <cell r="BJ56">
            <v>2.97</v>
          </cell>
          <cell r="BK56">
            <v>3.17</v>
          </cell>
          <cell r="BL56">
            <v>2.4</v>
          </cell>
          <cell r="BM56">
            <v>2.17</v>
          </cell>
          <cell r="BN56">
            <v>1.91</v>
          </cell>
          <cell r="BO56">
            <v>2.16</v>
          </cell>
          <cell r="BP56">
            <v>2.23</v>
          </cell>
          <cell r="BQ56">
            <v>2.2000000000000002</v>
          </cell>
          <cell r="BR56">
            <v>1.95</v>
          </cell>
          <cell r="BS56">
            <v>2.29</v>
          </cell>
          <cell r="BT56">
            <v>1.85</v>
          </cell>
          <cell r="BU56">
            <v>1.53</v>
          </cell>
          <cell r="BV56">
            <v>1.96</v>
          </cell>
          <cell r="BW56">
            <v>1.91</v>
          </cell>
          <cell r="BX56">
            <v>2.04</v>
          </cell>
          <cell r="BY56">
            <v>1.71</v>
          </cell>
          <cell r="BZ56">
            <v>1.75</v>
          </cell>
          <cell r="CA56">
            <v>1.58</v>
          </cell>
          <cell r="CB56">
            <v>1.81</v>
          </cell>
          <cell r="CC56">
            <v>2.29</v>
          </cell>
          <cell r="CD56">
            <v>2.16</v>
          </cell>
          <cell r="CE56">
            <v>2.21</v>
          </cell>
          <cell r="CF56">
            <v>2.56</v>
          </cell>
          <cell r="CG56">
            <v>2.83</v>
          </cell>
        </row>
        <row r="57">
          <cell r="A57" t="str">
            <v>TRAN-Z2</v>
          </cell>
          <cell r="B57">
            <v>54</v>
          </cell>
          <cell r="C57">
            <v>2.36</v>
          </cell>
          <cell r="D57">
            <v>2.2799999999999998</v>
          </cell>
          <cell r="E57">
            <v>1.88</v>
          </cell>
          <cell r="F57">
            <v>1.6</v>
          </cell>
          <cell r="G57">
            <v>1.86</v>
          </cell>
          <cell r="H57">
            <v>2.16</v>
          </cell>
          <cell r="I57">
            <v>2.69</v>
          </cell>
          <cell r="J57">
            <v>2.11</v>
          </cell>
          <cell r="K57">
            <v>1.93</v>
          </cell>
          <cell r="L57">
            <v>2.0499999999999998</v>
          </cell>
          <cell r="M57">
            <v>2.36</v>
          </cell>
          <cell r="N57">
            <v>2.06</v>
          </cell>
          <cell r="O57">
            <v>2.11</v>
          </cell>
          <cell r="P57">
            <v>2.37</v>
          </cell>
          <cell r="Q57">
            <v>2.0299999999999998</v>
          </cell>
          <cell r="R57">
            <v>2.36</v>
          </cell>
          <cell r="S57">
            <v>2.36</v>
          </cell>
          <cell r="T57">
            <v>1.97</v>
          </cell>
          <cell r="U57">
            <v>2.04</v>
          </cell>
          <cell r="V57">
            <v>1.83</v>
          </cell>
          <cell r="W57">
            <v>1.93</v>
          </cell>
          <cell r="X57">
            <v>1.8</v>
          </cell>
          <cell r="Y57">
            <v>1.47</v>
          </cell>
          <cell r="Z57">
            <v>1.39</v>
          </cell>
          <cell r="AA57">
            <v>1.66</v>
          </cell>
          <cell r="AB57">
            <v>1.66</v>
          </cell>
          <cell r="AC57">
            <v>1.59</v>
          </cell>
          <cell r="AD57">
            <v>1.4</v>
          </cell>
          <cell r="AE57">
            <v>1.42</v>
          </cell>
          <cell r="AF57">
            <v>1.53</v>
          </cell>
          <cell r="AG57">
            <v>1.64</v>
          </cell>
          <cell r="AH57">
            <v>1.7</v>
          </cell>
          <cell r="AI57">
            <v>1.48</v>
          </cell>
          <cell r="AJ57">
            <v>1.33</v>
          </cell>
          <cell r="AK57">
            <v>1.55</v>
          </cell>
          <cell r="AL57">
            <v>1.61</v>
          </cell>
          <cell r="AM57">
            <v>1.77</v>
          </cell>
          <cell r="AN57">
            <v>2.23</v>
          </cell>
          <cell r="AO57">
            <v>3.29</v>
          </cell>
          <cell r="AP57">
            <v>2.2999999999999998</v>
          </cell>
          <cell r="AQ57">
            <v>2.7</v>
          </cell>
          <cell r="AR57">
            <v>2.58</v>
          </cell>
          <cell r="AS57">
            <v>2.16</v>
          </cell>
          <cell r="AT57">
            <v>2.31</v>
          </cell>
          <cell r="AU57">
            <v>2.6</v>
          </cell>
          <cell r="AV57">
            <v>2.27</v>
          </cell>
          <cell r="AW57">
            <v>1.77</v>
          </cell>
          <cell r="AX57">
            <v>1.8</v>
          </cell>
          <cell r="AY57">
            <v>2.64</v>
          </cell>
          <cell r="AZ57">
            <v>3.77</v>
          </cell>
          <cell r="BA57">
            <v>3.9</v>
          </cell>
          <cell r="BB57">
            <v>2.87</v>
          </cell>
          <cell r="BC57">
            <v>1.71</v>
          </cell>
          <cell r="BD57">
            <v>1.77</v>
          </cell>
          <cell r="BE57">
            <v>2.09</v>
          </cell>
          <cell r="BF57">
            <v>2.25</v>
          </cell>
          <cell r="BG57">
            <v>2.1</v>
          </cell>
          <cell r="BH57">
            <v>2.13</v>
          </cell>
          <cell r="BI57">
            <v>2.48</v>
          </cell>
          <cell r="BJ57">
            <v>3.02</v>
          </cell>
          <cell r="BK57">
            <v>3.21</v>
          </cell>
          <cell r="BL57">
            <v>2.4900000000000002</v>
          </cell>
          <cell r="BM57">
            <v>2.2200000000000002</v>
          </cell>
          <cell r="BN57">
            <v>1.97</v>
          </cell>
          <cell r="BO57">
            <v>2.2200000000000002</v>
          </cell>
          <cell r="BP57">
            <v>2.2799999999999998</v>
          </cell>
          <cell r="BQ57">
            <v>2.25</v>
          </cell>
          <cell r="BR57">
            <v>2</v>
          </cell>
          <cell r="BS57">
            <v>2.33</v>
          </cell>
          <cell r="BT57">
            <v>1.89</v>
          </cell>
          <cell r="BU57">
            <v>1.6</v>
          </cell>
          <cell r="BV57">
            <v>2.04</v>
          </cell>
          <cell r="BW57">
            <v>1.95</v>
          </cell>
          <cell r="BX57">
            <v>2.08</v>
          </cell>
          <cell r="BY57">
            <v>1.74</v>
          </cell>
          <cell r="BZ57">
            <v>1.78</v>
          </cell>
          <cell r="CA57">
            <v>1.61</v>
          </cell>
          <cell r="CB57">
            <v>1.84</v>
          </cell>
          <cell r="CC57">
            <v>2.3199999999999998</v>
          </cell>
          <cell r="CD57">
            <v>2.19</v>
          </cell>
          <cell r="CE57">
            <v>2.2400000000000002</v>
          </cell>
          <cell r="CF57">
            <v>2.58</v>
          </cell>
          <cell r="CG57">
            <v>2.86</v>
          </cell>
        </row>
        <row r="58">
          <cell r="A58" t="str">
            <v>TRAN-Z3</v>
          </cell>
          <cell r="B58">
            <v>55</v>
          </cell>
          <cell r="C58">
            <v>2.38</v>
          </cell>
          <cell r="D58">
            <v>2.29</v>
          </cell>
          <cell r="E58">
            <v>1.9</v>
          </cell>
          <cell r="F58">
            <v>1.62</v>
          </cell>
          <cell r="G58">
            <v>1.86</v>
          </cell>
          <cell r="H58">
            <v>2.19</v>
          </cell>
          <cell r="I58">
            <v>2.7</v>
          </cell>
          <cell r="J58">
            <v>2.16</v>
          </cell>
          <cell r="K58">
            <v>1.95</v>
          </cell>
          <cell r="L58">
            <v>2.0699999999999998</v>
          </cell>
          <cell r="M58">
            <v>2.37</v>
          </cell>
          <cell r="N58">
            <v>2.08</v>
          </cell>
          <cell r="O58">
            <v>2.15</v>
          </cell>
          <cell r="P58">
            <v>2.38</v>
          </cell>
          <cell r="Q58">
            <v>2.0499999999999998</v>
          </cell>
          <cell r="R58">
            <v>2.38</v>
          </cell>
          <cell r="S58">
            <v>2.38</v>
          </cell>
          <cell r="T58">
            <v>2</v>
          </cell>
          <cell r="U58">
            <v>2.06</v>
          </cell>
          <cell r="V58">
            <v>1.86</v>
          </cell>
          <cell r="W58">
            <v>1.96</v>
          </cell>
          <cell r="X58">
            <v>1.82</v>
          </cell>
          <cell r="Y58">
            <v>1.48</v>
          </cell>
          <cell r="Z58">
            <v>1.42</v>
          </cell>
          <cell r="AA58">
            <v>1.7</v>
          </cell>
          <cell r="AB58">
            <v>1.69</v>
          </cell>
          <cell r="AC58">
            <v>1.62</v>
          </cell>
          <cell r="AD58">
            <v>1.43</v>
          </cell>
          <cell r="AE58">
            <v>1.46</v>
          </cell>
          <cell r="AF58">
            <v>1.56</v>
          </cell>
          <cell r="AG58">
            <v>1.67</v>
          </cell>
          <cell r="AH58">
            <v>1.73</v>
          </cell>
          <cell r="AI58">
            <v>1.5</v>
          </cell>
          <cell r="AJ58">
            <v>1.36</v>
          </cell>
          <cell r="AK58">
            <v>1.59</v>
          </cell>
          <cell r="AL58">
            <v>1.64</v>
          </cell>
          <cell r="AM58">
            <v>1.8</v>
          </cell>
          <cell r="AN58">
            <v>2.27</v>
          </cell>
          <cell r="AO58">
            <v>3.38</v>
          </cell>
          <cell r="AP58">
            <v>2.36</v>
          </cell>
          <cell r="AQ58">
            <v>2.81</v>
          </cell>
          <cell r="AR58">
            <v>2.69</v>
          </cell>
          <cell r="AS58">
            <v>2.2000000000000002</v>
          </cell>
          <cell r="AT58">
            <v>2.37</v>
          </cell>
          <cell r="AU58">
            <v>2.65</v>
          </cell>
          <cell r="AV58">
            <v>2.2999999999999998</v>
          </cell>
          <cell r="AW58">
            <v>1.81</v>
          </cell>
          <cell r="AX58">
            <v>1.85</v>
          </cell>
          <cell r="AY58">
            <v>2.69</v>
          </cell>
          <cell r="AZ58">
            <v>3.82</v>
          </cell>
          <cell r="BA58">
            <v>3.98</v>
          </cell>
          <cell r="BB58">
            <v>2.9</v>
          </cell>
          <cell r="BC58">
            <v>1.77</v>
          </cell>
          <cell r="BD58">
            <v>1.81</v>
          </cell>
          <cell r="BE58">
            <v>2.15</v>
          </cell>
          <cell r="BF58">
            <v>2.2999999999999998</v>
          </cell>
          <cell r="BG58">
            <v>2.15</v>
          </cell>
          <cell r="BH58">
            <v>2.17</v>
          </cell>
          <cell r="BI58">
            <v>2.5299999999999998</v>
          </cell>
          <cell r="BJ58">
            <v>3.1</v>
          </cell>
          <cell r="BK58">
            <v>3.27</v>
          </cell>
          <cell r="BL58">
            <v>2.54</v>
          </cell>
          <cell r="BM58">
            <v>2.2799999999999998</v>
          </cell>
          <cell r="BN58">
            <v>2.0299999999999998</v>
          </cell>
          <cell r="BO58">
            <v>2.27</v>
          </cell>
          <cell r="BP58">
            <v>2.3199999999999998</v>
          </cell>
          <cell r="BQ58">
            <v>2.29</v>
          </cell>
          <cell r="BR58">
            <v>2.0299999999999998</v>
          </cell>
          <cell r="BS58">
            <v>2.37</v>
          </cell>
          <cell r="BT58">
            <v>1.93</v>
          </cell>
          <cell r="BU58">
            <v>1.63</v>
          </cell>
          <cell r="BV58">
            <v>2.08</v>
          </cell>
          <cell r="BW58">
            <v>2.0099999999999998</v>
          </cell>
          <cell r="BX58">
            <v>2.11</v>
          </cell>
          <cell r="BY58">
            <v>1.78</v>
          </cell>
          <cell r="BZ58">
            <v>1.81</v>
          </cell>
          <cell r="CA58">
            <v>1.63</v>
          </cell>
          <cell r="CB58">
            <v>1.88</v>
          </cell>
          <cell r="CC58">
            <v>2.36</v>
          </cell>
          <cell r="CD58">
            <v>2.23</v>
          </cell>
          <cell r="CE58">
            <v>2.2599999999999998</v>
          </cell>
          <cell r="CF58">
            <v>2.61</v>
          </cell>
          <cell r="CG58">
            <v>2.89</v>
          </cell>
        </row>
        <row r="59">
          <cell r="A59" t="str">
            <v>TRAN-Z4</v>
          </cell>
          <cell r="B59">
            <v>56</v>
          </cell>
          <cell r="C59">
            <v>2.44</v>
          </cell>
          <cell r="D59">
            <v>2.3199999999999998</v>
          </cell>
          <cell r="E59">
            <v>1.91</v>
          </cell>
          <cell r="F59">
            <v>1.66</v>
          </cell>
          <cell r="G59">
            <v>1.92</v>
          </cell>
          <cell r="H59">
            <v>2.23</v>
          </cell>
          <cell r="I59">
            <v>2.72</v>
          </cell>
          <cell r="J59">
            <v>2.1</v>
          </cell>
          <cell r="K59">
            <v>1.94</v>
          </cell>
          <cell r="L59">
            <v>2.11</v>
          </cell>
          <cell r="M59">
            <v>2.39</v>
          </cell>
          <cell r="N59">
            <v>2.09</v>
          </cell>
          <cell r="O59">
            <v>2.17</v>
          </cell>
          <cell r="P59">
            <v>2.42</v>
          </cell>
          <cell r="Q59">
            <v>2.0699999999999998</v>
          </cell>
          <cell r="R59">
            <v>2.41</v>
          </cell>
          <cell r="S59">
            <v>2.4</v>
          </cell>
          <cell r="T59">
            <v>2</v>
          </cell>
          <cell r="U59">
            <v>2.08</v>
          </cell>
          <cell r="V59">
            <v>1.85</v>
          </cell>
          <cell r="W59">
            <v>1.98</v>
          </cell>
          <cell r="X59">
            <v>1.82</v>
          </cell>
          <cell r="Y59">
            <v>1.49</v>
          </cell>
          <cell r="Z59">
            <v>1.44</v>
          </cell>
          <cell r="AA59">
            <v>1.71</v>
          </cell>
          <cell r="AB59">
            <v>1.69</v>
          </cell>
          <cell r="AC59">
            <v>1.62</v>
          </cell>
          <cell r="AD59">
            <v>1.45</v>
          </cell>
          <cell r="AE59">
            <v>1.45</v>
          </cell>
          <cell r="AF59">
            <v>1.58</v>
          </cell>
          <cell r="AG59">
            <v>1.68</v>
          </cell>
          <cell r="AH59">
            <v>1.74</v>
          </cell>
          <cell r="AI59">
            <v>1.51</v>
          </cell>
          <cell r="AJ59">
            <v>1.39</v>
          </cell>
          <cell r="AK59">
            <v>1.59</v>
          </cell>
          <cell r="AL59">
            <v>1.65</v>
          </cell>
          <cell r="AM59">
            <v>1.82</v>
          </cell>
          <cell r="AN59">
            <v>2.29</v>
          </cell>
          <cell r="AO59">
            <v>3.44</v>
          </cell>
          <cell r="AP59">
            <v>2.41</v>
          </cell>
          <cell r="AQ59">
            <v>2.82</v>
          </cell>
          <cell r="AR59">
            <v>2.74</v>
          </cell>
          <cell r="AS59">
            <v>2.2000000000000002</v>
          </cell>
          <cell r="AT59">
            <v>2.38</v>
          </cell>
          <cell r="AU59">
            <v>2.66</v>
          </cell>
          <cell r="AV59">
            <v>2.34</v>
          </cell>
          <cell r="AW59">
            <v>1.8</v>
          </cell>
          <cell r="AX59">
            <v>1.83</v>
          </cell>
          <cell r="AY59">
            <v>2.69</v>
          </cell>
          <cell r="AZ59">
            <v>3.84</v>
          </cell>
          <cell r="BA59">
            <v>3.8</v>
          </cell>
          <cell r="BB59">
            <v>2.9</v>
          </cell>
          <cell r="BC59">
            <v>1.76</v>
          </cell>
          <cell r="BD59">
            <v>1.81</v>
          </cell>
          <cell r="BE59">
            <v>2.15</v>
          </cell>
          <cell r="BF59">
            <v>2.31</v>
          </cell>
          <cell r="BG59">
            <v>2.15</v>
          </cell>
          <cell r="BH59">
            <v>2.1800000000000002</v>
          </cell>
          <cell r="BI59">
            <v>2.5</v>
          </cell>
          <cell r="BJ59">
            <v>3.01</v>
          </cell>
          <cell r="BK59">
            <v>3.27</v>
          </cell>
          <cell r="BL59">
            <v>2.58</v>
          </cell>
          <cell r="BM59">
            <v>2.34</v>
          </cell>
          <cell r="BN59">
            <v>2.08</v>
          </cell>
          <cell r="BO59">
            <v>2.2999999999999998</v>
          </cell>
          <cell r="BP59">
            <v>2.33</v>
          </cell>
          <cell r="BQ59">
            <v>2.29</v>
          </cell>
          <cell r="BR59">
            <v>2.02</v>
          </cell>
          <cell r="BS59">
            <v>2.37</v>
          </cell>
          <cell r="BT59">
            <v>1.94</v>
          </cell>
          <cell r="BU59">
            <v>1.63</v>
          </cell>
          <cell r="BV59">
            <v>2.09</v>
          </cell>
          <cell r="BW59">
            <v>2.02</v>
          </cell>
          <cell r="BX59">
            <v>2.12</v>
          </cell>
          <cell r="BY59">
            <v>1.81</v>
          </cell>
          <cell r="BZ59">
            <v>1.84</v>
          </cell>
          <cell r="CA59">
            <v>1.66</v>
          </cell>
          <cell r="CB59">
            <v>1.88</v>
          </cell>
          <cell r="CC59">
            <v>2.37</v>
          </cell>
          <cell r="CD59">
            <v>2.2400000000000002</v>
          </cell>
          <cell r="CE59">
            <v>2.27</v>
          </cell>
          <cell r="CF59">
            <v>2.62</v>
          </cell>
          <cell r="CG59">
            <v>2.9</v>
          </cell>
        </row>
        <row r="60">
          <cell r="A60" t="str">
            <v>TRAN-Z6</v>
          </cell>
          <cell r="B60">
            <v>57</v>
          </cell>
          <cell r="AU60">
            <v>2.93</v>
          </cell>
          <cell r="AV60">
            <v>2.58</v>
          </cell>
          <cell r="AW60">
            <v>2.0499999999999998</v>
          </cell>
          <cell r="AX60">
            <v>2.1</v>
          </cell>
          <cell r="AY60">
            <v>3.33</v>
          </cell>
          <cell r="AZ60">
            <v>5.14</v>
          </cell>
          <cell r="BA60">
            <v>5.25</v>
          </cell>
          <cell r="BB60">
            <v>3.65</v>
          </cell>
          <cell r="BC60">
            <v>2.15</v>
          </cell>
          <cell r="BD60">
            <v>2.15</v>
          </cell>
          <cell r="BE60">
            <v>2.42</v>
          </cell>
          <cell r="BF60">
            <v>2.59</v>
          </cell>
          <cell r="BG60">
            <v>2.4300000000000002</v>
          </cell>
          <cell r="BH60">
            <v>2.42</v>
          </cell>
          <cell r="BI60">
            <v>2.75</v>
          </cell>
          <cell r="BJ60">
            <v>3.47</v>
          </cell>
          <cell r="BK60">
            <v>3.76</v>
          </cell>
          <cell r="BL60">
            <v>3.29</v>
          </cell>
          <cell r="BM60">
            <v>2.95</v>
          </cell>
          <cell r="BN60">
            <v>2.4</v>
          </cell>
          <cell r="BO60">
            <v>2.4900000000000002</v>
          </cell>
          <cell r="BP60">
            <v>2.56</v>
          </cell>
          <cell r="BQ60">
            <v>2.5299999999999998</v>
          </cell>
          <cell r="BR60">
            <v>2.2599999999999998</v>
          </cell>
          <cell r="BS60">
            <v>2.59</v>
          </cell>
          <cell r="BT60">
            <v>2.17</v>
          </cell>
          <cell r="BU60">
            <v>1.8</v>
          </cell>
          <cell r="BV60">
            <v>2.2999999999999998</v>
          </cell>
          <cell r="BW60">
            <v>2.41</v>
          </cell>
          <cell r="BX60">
            <v>2.5</v>
          </cell>
          <cell r="BY60">
            <v>2.36</v>
          </cell>
          <cell r="BZ60">
            <v>2.31</v>
          </cell>
          <cell r="CA60">
            <v>1.96</v>
          </cell>
          <cell r="CB60">
            <v>2.15</v>
          </cell>
          <cell r="CC60">
            <v>2.56</v>
          </cell>
          <cell r="CD60">
            <v>2.42</v>
          </cell>
          <cell r="CE60">
            <v>2.5</v>
          </cell>
          <cell r="CF60">
            <v>2.9</v>
          </cell>
          <cell r="CG60">
            <v>3.14</v>
          </cell>
        </row>
        <row r="61">
          <cell r="A61" t="str">
            <v>TRUNK-FZ</v>
          </cell>
          <cell r="B61">
            <v>58</v>
          </cell>
          <cell r="C61">
            <v>2.2599999999999998</v>
          </cell>
          <cell r="D61">
            <v>2.2000000000000002</v>
          </cell>
          <cell r="E61">
            <v>1.9</v>
          </cell>
          <cell r="F61">
            <v>1.6</v>
          </cell>
          <cell r="G61">
            <v>1.85</v>
          </cell>
          <cell r="H61">
            <v>2.15</v>
          </cell>
          <cell r="I61">
            <v>2.67</v>
          </cell>
          <cell r="J61">
            <v>1.95</v>
          </cell>
          <cell r="K61">
            <v>1.92</v>
          </cell>
          <cell r="L61">
            <v>2.0299999999999998</v>
          </cell>
          <cell r="M61">
            <v>2.2999999999999998</v>
          </cell>
          <cell r="N61">
            <v>2</v>
          </cell>
          <cell r="O61">
            <v>2.08</v>
          </cell>
          <cell r="P61">
            <v>2.35</v>
          </cell>
          <cell r="Q61">
            <v>1.99</v>
          </cell>
          <cell r="R61">
            <v>2.2799999999999998</v>
          </cell>
          <cell r="S61">
            <v>2.2999999999999998</v>
          </cell>
          <cell r="T61">
            <v>1.94</v>
          </cell>
          <cell r="U61">
            <v>2.0099999999999998</v>
          </cell>
          <cell r="V61">
            <v>1.75</v>
          </cell>
          <cell r="W61">
            <v>1.87</v>
          </cell>
          <cell r="X61">
            <v>1.71</v>
          </cell>
          <cell r="Y61">
            <v>1.41</v>
          </cell>
          <cell r="Z61">
            <v>1.37</v>
          </cell>
          <cell r="AA61">
            <v>1.6</v>
          </cell>
          <cell r="AB61">
            <v>1.6</v>
          </cell>
          <cell r="AC61">
            <v>1.53</v>
          </cell>
          <cell r="AD61">
            <v>1.33</v>
          </cell>
          <cell r="AE61">
            <v>1.35</v>
          </cell>
          <cell r="AF61">
            <v>1.5</v>
          </cell>
          <cell r="AG61">
            <v>1.61</v>
          </cell>
          <cell r="AH61">
            <v>1.65</v>
          </cell>
          <cell r="AI61">
            <v>1.44</v>
          </cell>
          <cell r="AJ61">
            <v>1.3</v>
          </cell>
          <cell r="AK61">
            <v>1.5</v>
          </cell>
          <cell r="AL61">
            <v>1.59</v>
          </cell>
          <cell r="AM61">
            <v>1.73</v>
          </cell>
          <cell r="AN61">
            <v>2.2000000000000002</v>
          </cell>
          <cell r="AO61">
            <v>3.15</v>
          </cell>
          <cell r="AP61">
            <v>2.27</v>
          </cell>
          <cell r="AQ61">
            <v>2.68</v>
          </cell>
          <cell r="BB61">
            <v>2.83</v>
          </cell>
          <cell r="BD61">
            <v>1.73</v>
          </cell>
          <cell r="BE61">
            <v>2.02</v>
          </cell>
          <cell r="BF61">
            <v>2.23</v>
          </cell>
          <cell r="BG61">
            <v>2.08</v>
          </cell>
          <cell r="BH61">
            <v>2.11</v>
          </cell>
          <cell r="BI61">
            <v>2.46</v>
          </cell>
        </row>
        <row r="62">
          <cell r="A62" t="str">
            <v>TRUNK-LA</v>
          </cell>
          <cell r="B62">
            <v>59</v>
          </cell>
          <cell r="AO62">
            <v>3.2</v>
          </cell>
          <cell r="AP62">
            <v>2.3199999999999998</v>
          </cell>
          <cell r="AQ62">
            <v>2.74</v>
          </cell>
          <cell r="AR62">
            <v>2.6</v>
          </cell>
          <cell r="AS62">
            <v>2.16</v>
          </cell>
          <cell r="AT62">
            <v>2.2999999999999998</v>
          </cell>
          <cell r="AU62">
            <v>2.6</v>
          </cell>
          <cell r="AV62">
            <v>2.2599999999999998</v>
          </cell>
          <cell r="AW62">
            <v>1.76</v>
          </cell>
          <cell r="AX62">
            <v>1.77</v>
          </cell>
          <cell r="AY62">
            <v>2.63</v>
          </cell>
          <cell r="AZ62">
            <v>3.74</v>
          </cell>
          <cell r="BA62">
            <v>3.8</v>
          </cell>
          <cell r="BB62">
            <v>2.76</v>
          </cell>
          <cell r="BC62">
            <v>1.67</v>
          </cell>
          <cell r="BD62">
            <v>1.76</v>
          </cell>
          <cell r="BE62">
            <v>2.06</v>
          </cell>
          <cell r="BF62">
            <v>2.2400000000000002</v>
          </cell>
          <cell r="BG62">
            <v>2.08</v>
          </cell>
          <cell r="BH62">
            <v>2.13</v>
          </cell>
          <cell r="BI62">
            <v>2.4700000000000002</v>
          </cell>
          <cell r="BJ62">
            <v>3.07</v>
          </cell>
          <cell r="BK62">
            <v>3.18</v>
          </cell>
          <cell r="BL62">
            <v>2.44</v>
          </cell>
          <cell r="BM62">
            <v>2.16</v>
          </cell>
          <cell r="BN62">
            <v>1.93</v>
          </cell>
          <cell r="BO62">
            <v>2.1800000000000002</v>
          </cell>
          <cell r="BP62">
            <v>2.2200000000000002</v>
          </cell>
          <cell r="BQ62">
            <v>2.19</v>
          </cell>
          <cell r="BR62">
            <v>1.94</v>
          </cell>
          <cell r="BS62">
            <v>2.2799999999999998</v>
          </cell>
          <cell r="BT62">
            <v>1.84</v>
          </cell>
          <cell r="BU62">
            <v>1.53</v>
          </cell>
          <cell r="BV62">
            <v>1.94</v>
          </cell>
          <cell r="BW62">
            <v>1.91</v>
          </cell>
          <cell r="BX62">
            <v>2.0499999999999998</v>
          </cell>
          <cell r="BY62">
            <v>1.71</v>
          </cell>
          <cell r="BZ62">
            <v>1.75</v>
          </cell>
          <cell r="CA62">
            <v>1.56</v>
          </cell>
          <cell r="CB62">
            <v>1.83</v>
          </cell>
          <cell r="CC62">
            <v>2.2999999999999998</v>
          </cell>
          <cell r="CD62">
            <v>2.16</v>
          </cell>
          <cell r="CE62">
            <v>2.2200000000000002</v>
          </cell>
          <cell r="CF62">
            <v>2.56</v>
          </cell>
          <cell r="CG62">
            <v>2.85</v>
          </cell>
        </row>
        <row r="63">
          <cell r="A63" t="str">
            <v>TRUNK-TX</v>
          </cell>
          <cell r="B63">
            <v>60</v>
          </cell>
          <cell r="AO63">
            <v>2.0499999999999998</v>
          </cell>
          <cell r="AP63">
            <v>1.78</v>
          </cell>
          <cell r="AQ63">
            <v>1.92</v>
          </cell>
          <cell r="AR63">
            <v>2.23</v>
          </cell>
          <cell r="AS63">
            <v>2.11</v>
          </cell>
          <cell r="AT63">
            <v>2.2599999999999998</v>
          </cell>
          <cell r="AU63">
            <v>2.5299999999999998</v>
          </cell>
          <cell r="AV63">
            <v>2.21</v>
          </cell>
          <cell r="AW63">
            <v>1.7</v>
          </cell>
          <cell r="AX63">
            <v>1.74</v>
          </cell>
          <cell r="AY63">
            <v>2.61</v>
          </cell>
          <cell r="AZ63">
            <v>3.68</v>
          </cell>
          <cell r="BA63">
            <v>3.59</v>
          </cell>
          <cell r="BB63">
            <v>2.7</v>
          </cell>
          <cell r="BC63">
            <v>1.64</v>
          </cell>
          <cell r="BD63">
            <v>1.73</v>
          </cell>
          <cell r="BE63">
            <v>2.02</v>
          </cell>
          <cell r="BF63">
            <v>2.2200000000000002</v>
          </cell>
          <cell r="BG63">
            <v>2.0699999999999998</v>
          </cell>
          <cell r="BH63">
            <v>2.11</v>
          </cell>
          <cell r="BI63">
            <v>2.46</v>
          </cell>
          <cell r="BJ63">
            <v>3</v>
          </cell>
          <cell r="BK63">
            <v>3.16</v>
          </cell>
          <cell r="BL63">
            <v>2.35</v>
          </cell>
          <cell r="BM63">
            <v>2.15</v>
          </cell>
          <cell r="BN63">
            <v>1.92</v>
          </cell>
          <cell r="BO63">
            <v>2.17</v>
          </cell>
          <cell r="BP63">
            <v>2.2200000000000002</v>
          </cell>
          <cell r="BQ63">
            <v>2.2000000000000002</v>
          </cell>
          <cell r="BR63">
            <v>1.95</v>
          </cell>
          <cell r="BS63">
            <v>2.2799999999999998</v>
          </cell>
          <cell r="BT63">
            <v>1.83</v>
          </cell>
          <cell r="BU63">
            <v>1.54</v>
          </cell>
          <cell r="BV63">
            <v>1.94</v>
          </cell>
          <cell r="BW63">
            <v>1.89</v>
          </cell>
          <cell r="BX63">
            <v>2.0299999999999998</v>
          </cell>
          <cell r="BY63">
            <v>1.69</v>
          </cell>
          <cell r="BZ63">
            <v>1.74</v>
          </cell>
          <cell r="CA63">
            <v>1.56</v>
          </cell>
          <cell r="CB63">
            <v>1.82</v>
          </cell>
          <cell r="CC63">
            <v>2.2799999999999998</v>
          </cell>
          <cell r="CD63">
            <v>2.14</v>
          </cell>
          <cell r="CE63">
            <v>2.2000000000000002</v>
          </cell>
          <cell r="CF63">
            <v>2.5299999999999998</v>
          </cell>
          <cell r="CG63">
            <v>2.81</v>
          </cell>
        </row>
        <row r="64">
          <cell r="A64" t="str">
            <v>TW-PERM</v>
          </cell>
          <cell r="B64">
            <v>61</v>
          </cell>
          <cell r="C64">
            <v>2.11</v>
          </cell>
          <cell r="D64">
            <v>2.0299999999999998</v>
          </cell>
          <cell r="E64">
            <v>2.0299999999999998</v>
          </cell>
          <cell r="F64">
            <v>1.57</v>
          </cell>
          <cell r="G64">
            <v>1.84</v>
          </cell>
          <cell r="H64">
            <v>1.9</v>
          </cell>
          <cell r="I64">
            <v>2.21</v>
          </cell>
          <cell r="J64">
            <v>1.65</v>
          </cell>
          <cell r="K64">
            <v>1.76</v>
          </cell>
          <cell r="L64">
            <v>1.88</v>
          </cell>
          <cell r="M64">
            <v>2.0299999999999998</v>
          </cell>
          <cell r="N64">
            <v>1.73</v>
          </cell>
          <cell r="O64">
            <v>1.76</v>
          </cell>
          <cell r="P64">
            <v>2.27</v>
          </cell>
          <cell r="Q64">
            <v>1.91</v>
          </cell>
          <cell r="R64">
            <v>1.88</v>
          </cell>
          <cell r="S64">
            <v>2.0099999999999998</v>
          </cell>
          <cell r="T64">
            <v>1.73</v>
          </cell>
          <cell r="U64">
            <v>1.73</v>
          </cell>
          <cell r="V64">
            <v>1.48</v>
          </cell>
          <cell r="W64">
            <v>1.64</v>
          </cell>
          <cell r="X64">
            <v>1.56</v>
          </cell>
          <cell r="Y64">
            <v>1.38</v>
          </cell>
          <cell r="Z64">
            <v>1.21</v>
          </cell>
          <cell r="AA64">
            <v>1.47</v>
          </cell>
          <cell r="AB64">
            <v>1.63</v>
          </cell>
          <cell r="AC64">
            <v>1.44</v>
          </cell>
          <cell r="AD64">
            <v>1.1599999999999999</v>
          </cell>
          <cell r="AE64">
            <v>1.18</v>
          </cell>
          <cell r="AF64">
            <v>1.26</v>
          </cell>
          <cell r="AG64">
            <v>1.35</v>
          </cell>
          <cell r="AH64">
            <v>1.38</v>
          </cell>
          <cell r="AI64">
            <v>1.19</v>
          </cell>
          <cell r="AJ64">
            <v>1.18</v>
          </cell>
          <cell r="AK64">
            <v>1.36</v>
          </cell>
          <cell r="AL64">
            <v>1.42</v>
          </cell>
          <cell r="AM64">
            <v>1.53</v>
          </cell>
          <cell r="AN64">
            <v>1.74</v>
          </cell>
          <cell r="AO64">
            <v>1.89</v>
          </cell>
          <cell r="AP64">
            <v>1.66</v>
          </cell>
          <cell r="AQ64">
            <v>1.76</v>
          </cell>
          <cell r="AR64">
            <v>1.96</v>
          </cell>
          <cell r="AS64">
            <v>1.89</v>
          </cell>
          <cell r="AT64">
            <v>1.95</v>
          </cell>
          <cell r="AU64">
            <v>2.02</v>
          </cell>
          <cell r="AV64">
            <v>2.0099999999999998</v>
          </cell>
          <cell r="AW64">
            <v>1.55</v>
          </cell>
          <cell r="AX64">
            <v>1.62</v>
          </cell>
          <cell r="AY64">
            <v>2.44</v>
          </cell>
          <cell r="AZ64">
            <v>3.5</v>
          </cell>
          <cell r="BA64">
            <v>4.0999999999999996</v>
          </cell>
          <cell r="BB64">
            <v>2.5</v>
          </cell>
          <cell r="BC64">
            <v>1.52</v>
          </cell>
          <cell r="BD64">
            <v>1.61</v>
          </cell>
          <cell r="BE64">
            <v>1.89</v>
          </cell>
          <cell r="BF64">
            <v>2.0499999999999998</v>
          </cell>
          <cell r="BG64">
            <v>1.99</v>
          </cell>
          <cell r="BH64">
            <v>2.0499999999999998</v>
          </cell>
          <cell r="BI64">
            <v>2.35</v>
          </cell>
          <cell r="BJ64">
            <v>2.84</v>
          </cell>
          <cell r="BK64">
            <v>3.06</v>
          </cell>
          <cell r="BL64">
            <v>2.2000000000000002</v>
          </cell>
          <cell r="BM64">
            <v>2.09</v>
          </cell>
          <cell r="BN64">
            <v>1.87</v>
          </cell>
          <cell r="BO64">
            <v>2.0699999999999998</v>
          </cell>
          <cell r="BP64">
            <v>2.15</v>
          </cell>
          <cell r="BQ64">
            <v>2.12</v>
          </cell>
          <cell r="BR64">
            <v>1.89</v>
          </cell>
          <cell r="BS64">
            <v>2.17</v>
          </cell>
          <cell r="BT64">
            <v>1.94</v>
          </cell>
          <cell r="BU64">
            <v>1.59</v>
          </cell>
          <cell r="BV64">
            <v>1.83</v>
          </cell>
          <cell r="BW64">
            <v>1.99</v>
          </cell>
          <cell r="BX64">
            <v>1.99</v>
          </cell>
          <cell r="BY64">
            <v>1.74</v>
          </cell>
          <cell r="BZ64">
            <v>1.67</v>
          </cell>
          <cell r="CA64">
            <v>1.57</v>
          </cell>
          <cell r="CB64">
            <v>1.66</v>
          </cell>
          <cell r="CC64">
            <v>2.16</v>
          </cell>
          <cell r="CD64">
            <v>2.08</v>
          </cell>
          <cell r="CE64">
            <v>2.17</v>
          </cell>
          <cell r="CF64">
            <v>2.4500000000000002</v>
          </cell>
          <cell r="CG64">
            <v>2.77</v>
          </cell>
        </row>
        <row r="65">
          <cell r="A65" t="str">
            <v>TXG-Z1</v>
          </cell>
          <cell r="B65">
            <v>62</v>
          </cell>
          <cell r="C65">
            <v>2.33</v>
          </cell>
          <cell r="D65">
            <v>2.25</v>
          </cell>
          <cell r="E65">
            <v>1.92</v>
          </cell>
          <cell r="F65">
            <v>1.61</v>
          </cell>
          <cell r="G65">
            <v>1.85</v>
          </cell>
          <cell r="H65">
            <v>2.16</v>
          </cell>
          <cell r="I65">
            <v>2.65</v>
          </cell>
          <cell r="J65">
            <v>2</v>
          </cell>
          <cell r="K65">
            <v>1.89</v>
          </cell>
          <cell r="L65">
            <v>2.04</v>
          </cell>
          <cell r="M65">
            <v>2.2999999999999998</v>
          </cell>
          <cell r="N65">
            <v>1.98</v>
          </cell>
          <cell r="O65">
            <v>2.09</v>
          </cell>
          <cell r="P65">
            <v>2.2999999999999998</v>
          </cell>
          <cell r="Q65">
            <v>2.02</v>
          </cell>
          <cell r="R65">
            <v>2.2999999999999998</v>
          </cell>
          <cell r="S65">
            <v>2.33</v>
          </cell>
          <cell r="T65">
            <v>1.94</v>
          </cell>
          <cell r="U65">
            <v>2.02</v>
          </cell>
          <cell r="V65">
            <v>1.78</v>
          </cell>
          <cell r="W65">
            <v>1.91</v>
          </cell>
          <cell r="X65">
            <v>1.76</v>
          </cell>
          <cell r="Y65">
            <v>1.44</v>
          </cell>
          <cell r="Z65">
            <v>1.39</v>
          </cell>
          <cell r="AA65">
            <v>1.63</v>
          </cell>
          <cell r="AB65">
            <v>1.64</v>
          </cell>
          <cell r="AC65">
            <v>1.58</v>
          </cell>
          <cell r="AD65">
            <v>1.38</v>
          </cell>
          <cell r="AE65">
            <v>1.41</v>
          </cell>
          <cell r="AF65">
            <v>1.51</v>
          </cell>
          <cell r="AG65">
            <v>1.62</v>
          </cell>
          <cell r="AH65">
            <v>1.66</v>
          </cell>
          <cell r="AI65">
            <v>1.46</v>
          </cell>
          <cell r="AJ65">
            <v>1.33</v>
          </cell>
          <cell r="AK65">
            <v>1.53</v>
          </cell>
          <cell r="AL65">
            <v>1.62</v>
          </cell>
          <cell r="AM65">
            <v>1.76</v>
          </cell>
          <cell r="AN65">
            <v>2.25</v>
          </cell>
          <cell r="AO65">
            <v>3.32</v>
          </cell>
          <cell r="AP65">
            <v>2.35</v>
          </cell>
          <cell r="AQ65">
            <v>2.74</v>
          </cell>
          <cell r="AR65">
            <v>2.7</v>
          </cell>
          <cell r="AS65">
            <v>2.17</v>
          </cell>
          <cell r="AT65">
            <v>2.2999999999999998</v>
          </cell>
          <cell r="AU65">
            <v>2.61</v>
          </cell>
          <cell r="AV65">
            <v>2.2799999999999998</v>
          </cell>
          <cell r="AW65">
            <v>1.81</v>
          </cell>
          <cell r="AX65">
            <v>1.8</v>
          </cell>
          <cell r="AY65">
            <v>2.62</v>
          </cell>
          <cell r="AZ65">
            <v>3.81</v>
          </cell>
          <cell r="BA65">
            <v>4.01</v>
          </cell>
          <cell r="BB65">
            <v>2.88</v>
          </cell>
          <cell r="BC65">
            <v>1.76</v>
          </cell>
          <cell r="BD65">
            <v>1.78</v>
          </cell>
          <cell r="BE65">
            <v>2.08</v>
          </cell>
          <cell r="BF65">
            <v>2.2999999999999998</v>
          </cell>
          <cell r="BG65">
            <v>2.13</v>
          </cell>
          <cell r="BH65">
            <v>2.17</v>
          </cell>
          <cell r="BI65">
            <v>2.54</v>
          </cell>
          <cell r="BJ65">
            <v>3.08</v>
          </cell>
          <cell r="BK65">
            <v>3.24</v>
          </cell>
          <cell r="BL65">
            <v>2.4700000000000002</v>
          </cell>
          <cell r="BM65">
            <v>2.2400000000000002</v>
          </cell>
          <cell r="BN65">
            <v>1.99</v>
          </cell>
          <cell r="BO65">
            <v>2.2200000000000002</v>
          </cell>
          <cell r="BP65">
            <v>2.2400000000000002</v>
          </cell>
          <cell r="BQ65">
            <v>2.25</v>
          </cell>
          <cell r="BR65">
            <v>2</v>
          </cell>
          <cell r="BS65">
            <v>2.33</v>
          </cell>
          <cell r="BT65">
            <v>1.91</v>
          </cell>
          <cell r="BU65">
            <v>1.59</v>
          </cell>
          <cell r="BV65">
            <v>2.0299999999999998</v>
          </cell>
          <cell r="BW65">
            <v>1.98</v>
          </cell>
          <cell r="BX65">
            <v>2.09</v>
          </cell>
          <cell r="BY65">
            <v>1.74</v>
          </cell>
          <cell r="BZ65">
            <v>1.81</v>
          </cell>
          <cell r="CA65">
            <v>1.62</v>
          </cell>
          <cell r="CB65">
            <v>1.87</v>
          </cell>
          <cell r="CC65">
            <v>2.35</v>
          </cell>
          <cell r="CD65">
            <v>2.21</v>
          </cell>
          <cell r="CE65">
            <v>2.25</v>
          </cell>
          <cell r="CF65">
            <v>2.6</v>
          </cell>
          <cell r="CG65">
            <v>2.88</v>
          </cell>
        </row>
        <row r="66">
          <cell r="A66" t="str">
            <v>TXG-ZSL</v>
          </cell>
          <cell r="B66">
            <v>63</v>
          </cell>
          <cell r="C66">
            <v>2.3199999999999998</v>
          </cell>
          <cell r="D66">
            <v>2.2400000000000002</v>
          </cell>
          <cell r="E66">
            <v>1.9</v>
          </cell>
          <cell r="F66">
            <v>1.6</v>
          </cell>
          <cell r="G66">
            <v>1.85</v>
          </cell>
          <cell r="H66">
            <v>2.15</v>
          </cell>
          <cell r="I66">
            <v>2.65</v>
          </cell>
          <cell r="J66">
            <v>1.98</v>
          </cell>
          <cell r="K66">
            <v>1.87</v>
          </cell>
          <cell r="L66">
            <v>2.0499999999999998</v>
          </cell>
          <cell r="M66">
            <v>2.3199999999999998</v>
          </cell>
          <cell r="N66">
            <v>1.98</v>
          </cell>
          <cell r="O66">
            <v>2.09</v>
          </cell>
          <cell r="P66">
            <v>2.3199999999999998</v>
          </cell>
          <cell r="Q66">
            <v>2.0299999999999998</v>
          </cell>
          <cell r="R66">
            <v>2.3199999999999998</v>
          </cell>
          <cell r="S66">
            <v>2.3199999999999998</v>
          </cell>
          <cell r="T66">
            <v>1.93</v>
          </cell>
          <cell r="U66">
            <v>2.0299999999999998</v>
          </cell>
          <cell r="V66">
            <v>1.77</v>
          </cell>
          <cell r="W66">
            <v>1.91</v>
          </cell>
          <cell r="X66">
            <v>1.75</v>
          </cell>
          <cell r="Y66">
            <v>1.44</v>
          </cell>
          <cell r="Z66">
            <v>1.37</v>
          </cell>
          <cell r="AA66">
            <v>1.63</v>
          </cell>
          <cell r="AB66">
            <v>1.64</v>
          </cell>
          <cell r="AC66">
            <v>1.57</v>
          </cell>
          <cell r="AD66">
            <v>1.38</v>
          </cell>
          <cell r="AE66">
            <v>1.4</v>
          </cell>
          <cell r="AF66">
            <v>1.51</v>
          </cell>
          <cell r="AG66">
            <v>1.62</v>
          </cell>
          <cell r="AH66">
            <v>1.67</v>
          </cell>
          <cell r="AI66">
            <v>1.46</v>
          </cell>
          <cell r="AJ66">
            <v>1.32</v>
          </cell>
          <cell r="AK66">
            <v>1.53</v>
          </cell>
          <cell r="AL66">
            <v>1.61</v>
          </cell>
          <cell r="AM66">
            <v>1.76</v>
          </cell>
          <cell r="AN66">
            <v>2.2400000000000002</v>
          </cell>
          <cell r="AO66">
            <v>3.35</v>
          </cell>
          <cell r="AP66">
            <v>2.35</v>
          </cell>
          <cell r="AQ66">
            <v>2.8</v>
          </cell>
          <cell r="AR66">
            <v>2.72</v>
          </cell>
          <cell r="AS66">
            <v>2.19</v>
          </cell>
          <cell r="AT66">
            <v>2.3199999999999998</v>
          </cell>
          <cell r="AU66">
            <v>2.62</v>
          </cell>
          <cell r="AV66">
            <v>2.2999999999999998</v>
          </cell>
          <cell r="AW66">
            <v>1.79</v>
          </cell>
          <cell r="AX66">
            <v>1.81</v>
          </cell>
          <cell r="AY66">
            <v>2.64</v>
          </cell>
          <cell r="AZ66">
            <v>3.84</v>
          </cell>
          <cell r="BA66">
            <v>4.0199999999999996</v>
          </cell>
          <cell r="BB66">
            <v>2.88</v>
          </cell>
          <cell r="BC66">
            <v>1.77</v>
          </cell>
          <cell r="BD66">
            <v>1.79</v>
          </cell>
          <cell r="BE66">
            <v>2.1</v>
          </cell>
          <cell r="BF66">
            <v>2.31</v>
          </cell>
          <cell r="BG66">
            <v>2.13</v>
          </cell>
          <cell r="BH66">
            <v>2.16</v>
          </cell>
          <cell r="BI66">
            <v>2.5299999999999998</v>
          </cell>
          <cell r="BJ66">
            <v>3.08</v>
          </cell>
          <cell r="BK66">
            <v>3.26</v>
          </cell>
          <cell r="BL66">
            <v>2.5099999999999998</v>
          </cell>
          <cell r="BM66">
            <v>2.25</v>
          </cell>
          <cell r="BN66">
            <v>1.99</v>
          </cell>
          <cell r="BO66">
            <v>2.23</v>
          </cell>
          <cell r="BP66">
            <v>2.2200000000000002</v>
          </cell>
          <cell r="BQ66">
            <v>2.25</v>
          </cell>
          <cell r="BR66">
            <v>2</v>
          </cell>
          <cell r="BS66">
            <v>2.33</v>
          </cell>
          <cell r="BT66">
            <v>1.91</v>
          </cell>
          <cell r="BU66">
            <v>1.58</v>
          </cell>
          <cell r="BV66">
            <v>2.02</v>
          </cell>
          <cell r="BW66">
            <v>1.96</v>
          </cell>
          <cell r="BX66">
            <v>2.0699999999999998</v>
          </cell>
          <cell r="BY66">
            <v>1.74</v>
          </cell>
          <cell r="BZ66">
            <v>1.79</v>
          </cell>
          <cell r="CA66">
            <v>1.61</v>
          </cell>
          <cell r="CB66">
            <v>1.87</v>
          </cell>
          <cell r="CC66">
            <v>2.34</v>
          </cell>
          <cell r="CD66">
            <v>2.2000000000000002</v>
          </cell>
          <cell r="CE66">
            <v>2.2400000000000002</v>
          </cell>
          <cell r="CF66">
            <v>2.59</v>
          </cell>
          <cell r="CG66">
            <v>2.87</v>
          </cell>
        </row>
        <row r="67">
          <cell r="A67" t="str">
            <v>VAL-TX</v>
          </cell>
          <cell r="B67">
            <v>64</v>
          </cell>
          <cell r="C67">
            <v>2.04</v>
          </cell>
          <cell r="D67">
            <v>2.0499999999999998</v>
          </cell>
          <cell r="E67">
            <v>1.9</v>
          </cell>
          <cell r="F67">
            <v>1.56</v>
          </cell>
          <cell r="G67">
            <v>1.8</v>
          </cell>
          <cell r="H67">
            <v>2.15</v>
          </cell>
          <cell r="I67">
            <v>2.5</v>
          </cell>
          <cell r="J67">
            <v>1.81</v>
          </cell>
          <cell r="K67">
            <v>1.82</v>
          </cell>
          <cell r="L67">
            <v>2.02</v>
          </cell>
          <cell r="M67">
            <v>2.2400000000000002</v>
          </cell>
          <cell r="N67">
            <v>1.85</v>
          </cell>
          <cell r="O67">
            <v>1.95</v>
          </cell>
          <cell r="P67">
            <v>2.2999999999999998</v>
          </cell>
          <cell r="Q67">
            <v>1.91</v>
          </cell>
          <cell r="R67">
            <v>2</v>
          </cell>
          <cell r="S67">
            <v>2.09</v>
          </cell>
          <cell r="T67">
            <v>1.84</v>
          </cell>
          <cell r="U67">
            <v>1.9</v>
          </cell>
          <cell r="V67">
            <v>1.64</v>
          </cell>
          <cell r="W67">
            <v>1.85</v>
          </cell>
          <cell r="X67">
            <v>1.65</v>
          </cell>
          <cell r="Y67">
            <v>1.39</v>
          </cell>
          <cell r="Z67">
            <v>1.29</v>
          </cell>
          <cell r="AA67">
            <v>1.56</v>
          </cell>
          <cell r="AB67">
            <v>1.58</v>
          </cell>
          <cell r="AC67">
            <v>1.45</v>
          </cell>
          <cell r="AD67">
            <v>1.26</v>
          </cell>
          <cell r="AE67">
            <v>1.28</v>
          </cell>
          <cell r="AF67">
            <v>1.38</v>
          </cell>
          <cell r="AG67">
            <v>1.5</v>
          </cell>
          <cell r="AH67">
            <v>1.53</v>
          </cell>
          <cell r="AI67">
            <v>1.36</v>
          </cell>
          <cell r="AJ67">
            <v>1.26</v>
          </cell>
          <cell r="AK67">
            <v>1.43</v>
          </cell>
          <cell r="AL67">
            <v>1.5</v>
          </cell>
          <cell r="AM67">
            <v>1.61</v>
          </cell>
          <cell r="AN67">
            <v>1.97</v>
          </cell>
          <cell r="AO67">
            <v>2.04</v>
          </cell>
          <cell r="AP67">
            <v>1.77</v>
          </cell>
          <cell r="AQ67">
            <v>1.89</v>
          </cell>
          <cell r="AR67">
            <v>2.1800000000000002</v>
          </cell>
          <cell r="AS67">
            <v>2.06</v>
          </cell>
          <cell r="AT67">
            <v>2.1800000000000002</v>
          </cell>
          <cell r="AU67">
            <v>2.37</v>
          </cell>
          <cell r="AV67">
            <v>2.16</v>
          </cell>
          <cell r="AW67">
            <v>1.74</v>
          </cell>
          <cell r="AX67">
            <v>1.71</v>
          </cell>
          <cell r="AY67">
            <v>2.4900000000000002</v>
          </cell>
          <cell r="AZ67">
            <v>3.55</v>
          </cell>
          <cell r="BA67">
            <v>3.76</v>
          </cell>
          <cell r="BB67">
            <v>2.64</v>
          </cell>
          <cell r="BC67">
            <v>1.6</v>
          </cell>
          <cell r="BD67">
            <v>1.69</v>
          </cell>
          <cell r="BE67">
            <v>1.96</v>
          </cell>
          <cell r="BF67">
            <v>2.17</v>
          </cell>
          <cell r="BG67">
            <v>2.0299999999999998</v>
          </cell>
          <cell r="BH67">
            <v>2.0699999999999998</v>
          </cell>
          <cell r="BI67">
            <v>2.38</v>
          </cell>
          <cell r="BJ67">
            <v>3</v>
          </cell>
          <cell r="BK67">
            <v>3.15</v>
          </cell>
          <cell r="BL67">
            <v>2.31</v>
          </cell>
          <cell r="BM67">
            <v>2.09</v>
          </cell>
          <cell r="BN67">
            <v>1.88</v>
          </cell>
          <cell r="BO67">
            <v>2.11</v>
          </cell>
          <cell r="BP67">
            <v>2.1800000000000002</v>
          </cell>
          <cell r="BQ67">
            <v>2.17</v>
          </cell>
          <cell r="BR67">
            <v>1.93</v>
          </cell>
        </row>
        <row r="68">
          <cell r="A68" t="str">
            <v>WILL-TOK</v>
          </cell>
          <cell r="B68">
            <v>65</v>
          </cell>
          <cell r="C68">
            <v>1.98</v>
          </cell>
          <cell r="D68">
            <v>2</v>
          </cell>
          <cell r="E68">
            <v>2.0299999999999998</v>
          </cell>
          <cell r="F68">
            <v>1.65</v>
          </cell>
          <cell r="G68">
            <v>1.85</v>
          </cell>
          <cell r="H68">
            <v>2.0699999999999998</v>
          </cell>
          <cell r="I68">
            <v>2.57</v>
          </cell>
          <cell r="J68">
            <v>1.75</v>
          </cell>
          <cell r="K68">
            <v>1.73</v>
          </cell>
          <cell r="L68">
            <v>1.86</v>
          </cell>
          <cell r="M68">
            <v>2.1</v>
          </cell>
          <cell r="N68">
            <v>1.83</v>
          </cell>
          <cell r="O68">
            <v>1.83</v>
          </cell>
          <cell r="P68">
            <v>2.25</v>
          </cell>
          <cell r="Q68">
            <v>1.94</v>
          </cell>
          <cell r="R68">
            <v>2.1</v>
          </cell>
          <cell r="S68">
            <v>2.11</v>
          </cell>
          <cell r="T68">
            <v>1.76</v>
          </cell>
          <cell r="U68">
            <v>1.77</v>
          </cell>
          <cell r="V68">
            <v>1.53</v>
          </cell>
          <cell r="W68">
            <v>1.61</v>
          </cell>
          <cell r="X68">
            <v>1.55</v>
          </cell>
          <cell r="Y68">
            <v>1.33</v>
          </cell>
          <cell r="Z68">
            <v>1.24</v>
          </cell>
          <cell r="AA68">
            <v>1.45</v>
          </cell>
          <cell r="AB68">
            <v>1.6</v>
          </cell>
          <cell r="AC68">
            <v>1.51</v>
          </cell>
          <cell r="AD68">
            <v>1.23</v>
          </cell>
          <cell r="AE68">
            <v>1.24</v>
          </cell>
          <cell r="AF68">
            <v>1.27</v>
          </cell>
          <cell r="AG68">
            <v>1.4</v>
          </cell>
          <cell r="AH68">
            <v>1.44</v>
          </cell>
          <cell r="AI68">
            <v>1.23</v>
          </cell>
          <cell r="AJ68">
            <v>1.18</v>
          </cell>
          <cell r="AK68">
            <v>1.42</v>
          </cell>
          <cell r="AL68">
            <v>1.49</v>
          </cell>
          <cell r="AM68">
            <v>1.6</v>
          </cell>
          <cell r="AN68">
            <v>1.88</v>
          </cell>
          <cell r="AO68">
            <v>2.0299999999999998</v>
          </cell>
          <cell r="AP68">
            <v>1.84</v>
          </cell>
          <cell r="AQ68">
            <v>1.9</v>
          </cell>
          <cell r="AR68">
            <v>2.15</v>
          </cell>
          <cell r="AS68">
            <v>2</v>
          </cell>
          <cell r="AT68">
            <v>2.0299999999999998</v>
          </cell>
          <cell r="AU68">
            <v>2.1800000000000002</v>
          </cell>
          <cell r="AV68">
            <v>2.14</v>
          </cell>
          <cell r="AW68">
            <v>1.67</v>
          </cell>
          <cell r="AX68">
            <v>1.68</v>
          </cell>
          <cell r="AY68">
            <v>2.5</v>
          </cell>
          <cell r="AZ68">
            <v>3.68</v>
          </cell>
          <cell r="BA68">
            <v>4.3</v>
          </cell>
          <cell r="BB68">
            <v>2.81</v>
          </cell>
          <cell r="BC68">
            <v>2.81</v>
          </cell>
          <cell r="BD68">
            <v>1.7</v>
          </cell>
          <cell r="BE68">
            <v>1.92</v>
          </cell>
          <cell r="BG68">
            <v>2.04</v>
          </cell>
          <cell r="BH68">
            <v>2.0499999999999998</v>
          </cell>
          <cell r="BI68">
            <v>2.38</v>
          </cell>
          <cell r="BJ68">
            <v>2.98</v>
          </cell>
          <cell r="BK68">
            <v>3.15</v>
          </cell>
          <cell r="BL68">
            <v>2.37</v>
          </cell>
          <cell r="BM68">
            <v>2.15</v>
          </cell>
          <cell r="BN68">
            <v>1.92</v>
          </cell>
          <cell r="BO68">
            <v>2.15</v>
          </cell>
          <cell r="BP68">
            <v>2.1800000000000002</v>
          </cell>
          <cell r="BQ68">
            <v>2.16</v>
          </cell>
          <cell r="BR68">
            <v>1.93</v>
          </cell>
          <cell r="BS68">
            <v>2.27</v>
          </cell>
          <cell r="BT68">
            <v>1.85</v>
          </cell>
          <cell r="BU68">
            <v>1.56</v>
          </cell>
          <cell r="BV68">
            <v>1.9</v>
          </cell>
          <cell r="BW68">
            <v>1.94</v>
          </cell>
          <cell r="BX68">
            <v>2.0499999999999998</v>
          </cell>
          <cell r="BY68">
            <v>1.78</v>
          </cell>
          <cell r="BZ68">
            <v>1.75</v>
          </cell>
          <cell r="CA68">
            <v>1.57</v>
          </cell>
          <cell r="CB68">
            <v>1.74</v>
          </cell>
          <cell r="CC68">
            <v>2.2200000000000002</v>
          </cell>
          <cell r="CD68">
            <v>2.12</v>
          </cell>
          <cell r="CE68">
            <v>2.17</v>
          </cell>
          <cell r="CF68">
            <v>2.5</v>
          </cell>
          <cell r="CG68">
            <v>2.77</v>
          </cell>
        </row>
      </sheetData>
      <sheetData sheetId="1" refreshError="1">
        <row r="2">
          <cell r="A2">
            <v>33909</v>
          </cell>
          <cell r="B2">
            <v>3</v>
          </cell>
          <cell r="D2" t="str">
            <v>3D</v>
          </cell>
          <cell r="E2" t="str">
            <v>3D Avg</v>
          </cell>
          <cell r="F2">
            <v>2</v>
          </cell>
        </row>
        <row r="3">
          <cell r="A3">
            <v>33939</v>
          </cell>
          <cell r="B3">
            <v>4</v>
          </cell>
          <cell r="D3" t="str">
            <v>2D</v>
          </cell>
          <cell r="E3" t="str">
            <v>2D Avg</v>
          </cell>
          <cell r="F3">
            <v>3</v>
          </cell>
        </row>
        <row r="4">
          <cell r="A4">
            <v>33970</v>
          </cell>
          <cell r="B4">
            <v>5</v>
          </cell>
          <cell r="D4" t="str">
            <v>FD</v>
          </cell>
          <cell r="E4" t="str">
            <v>Settle</v>
          </cell>
          <cell r="F4">
            <v>4</v>
          </cell>
        </row>
        <row r="5">
          <cell r="A5">
            <v>34001</v>
          </cell>
          <cell r="B5">
            <v>6</v>
          </cell>
          <cell r="D5" t="str">
            <v>AECO-NT</v>
          </cell>
          <cell r="E5" t="str">
            <v>AECO Hub</v>
          </cell>
          <cell r="F5">
            <v>5</v>
          </cell>
        </row>
        <row r="6">
          <cell r="A6">
            <v>34029</v>
          </cell>
          <cell r="B6">
            <v>7</v>
          </cell>
          <cell r="D6" t="str">
            <v>ANR-LA</v>
          </cell>
          <cell r="E6" t="str">
            <v>ANR-Louisiana</v>
          </cell>
          <cell r="F6">
            <v>6</v>
          </cell>
        </row>
        <row r="7">
          <cell r="A7">
            <v>34060</v>
          </cell>
          <cell r="B7">
            <v>8</v>
          </cell>
          <cell r="D7" t="str">
            <v>ANR-OFF</v>
          </cell>
          <cell r="E7" t="str">
            <v>ANR-Offshore</v>
          </cell>
          <cell r="F7">
            <v>7</v>
          </cell>
        </row>
        <row r="8">
          <cell r="A8">
            <v>34090</v>
          </cell>
          <cell r="B8">
            <v>9</v>
          </cell>
          <cell r="D8" t="str">
            <v>ANR-OK</v>
          </cell>
          <cell r="E8" t="str">
            <v>ANR-Oklahoma</v>
          </cell>
          <cell r="F8">
            <v>8</v>
          </cell>
        </row>
        <row r="9">
          <cell r="A9">
            <v>34121</v>
          </cell>
          <cell r="B9">
            <v>10</v>
          </cell>
          <cell r="D9" t="str">
            <v>CG-APP</v>
          </cell>
          <cell r="E9" t="str">
            <v>Columbia Gas-App</v>
          </cell>
          <cell r="F9">
            <v>9</v>
          </cell>
        </row>
        <row r="10">
          <cell r="A10">
            <v>34151</v>
          </cell>
          <cell r="B10">
            <v>11</v>
          </cell>
          <cell r="D10" t="str">
            <v>CGLF-LA</v>
          </cell>
          <cell r="E10" t="str">
            <v>Columbia Gulf-Louisiana</v>
          </cell>
          <cell r="F10">
            <v>10</v>
          </cell>
        </row>
        <row r="11">
          <cell r="A11">
            <v>34182</v>
          </cell>
          <cell r="B11">
            <v>12</v>
          </cell>
          <cell r="D11" t="str">
            <v>CGLF-OFS</v>
          </cell>
          <cell r="E11" t="str">
            <v>Columbia Gulf-Offshore</v>
          </cell>
          <cell r="F11">
            <v>11</v>
          </cell>
        </row>
        <row r="12">
          <cell r="A12">
            <v>34213</v>
          </cell>
          <cell r="B12">
            <v>13</v>
          </cell>
          <cell r="D12" t="str">
            <v>CHIC</v>
          </cell>
          <cell r="E12" t="str">
            <v>Chicago City Gate</v>
          </cell>
          <cell r="F12">
            <v>12</v>
          </cell>
        </row>
        <row r="13">
          <cell r="A13">
            <v>34243</v>
          </cell>
          <cell r="B13">
            <v>14</v>
          </cell>
          <cell r="D13" t="str">
            <v>CIG-ROCK</v>
          </cell>
          <cell r="E13" t="str">
            <v>CIG-Rocky Mtn</v>
          </cell>
          <cell r="F13">
            <v>13</v>
          </cell>
        </row>
        <row r="14">
          <cell r="A14">
            <v>34274</v>
          </cell>
          <cell r="B14">
            <v>15</v>
          </cell>
          <cell r="D14" t="str">
            <v>CNG</v>
          </cell>
          <cell r="E14" t="str">
            <v>CNG-Appalacian</v>
          </cell>
          <cell r="F14">
            <v>14</v>
          </cell>
        </row>
        <row r="15">
          <cell r="A15">
            <v>34304</v>
          </cell>
          <cell r="B15">
            <v>16</v>
          </cell>
          <cell r="D15" t="str">
            <v>EPNG-ANAD</v>
          </cell>
          <cell r="E15" t="str">
            <v>El Paso-Anadarko</v>
          </cell>
          <cell r="F15">
            <v>15</v>
          </cell>
        </row>
        <row r="16">
          <cell r="A16">
            <v>34335</v>
          </cell>
          <cell r="B16">
            <v>17</v>
          </cell>
          <cell r="D16" t="str">
            <v>EPNG-PERM</v>
          </cell>
          <cell r="E16" t="str">
            <v>El Paso-Permian</v>
          </cell>
          <cell r="F16">
            <v>16</v>
          </cell>
        </row>
        <row r="17">
          <cell r="A17">
            <v>34366</v>
          </cell>
          <cell r="B17">
            <v>18</v>
          </cell>
          <cell r="D17" t="str">
            <v>EPNG-SJ</v>
          </cell>
          <cell r="E17" t="str">
            <v>El Paso-San Juan</v>
          </cell>
          <cell r="F17">
            <v>17</v>
          </cell>
        </row>
        <row r="18">
          <cell r="A18">
            <v>34394</v>
          </cell>
          <cell r="B18">
            <v>19</v>
          </cell>
          <cell r="D18" t="str">
            <v>FGT-Z1</v>
          </cell>
          <cell r="E18" t="str">
            <v>Florida-Zone 1</v>
          </cell>
          <cell r="F18">
            <v>18</v>
          </cell>
        </row>
        <row r="19">
          <cell r="A19">
            <v>34425</v>
          </cell>
          <cell r="B19">
            <v>20</v>
          </cell>
          <cell r="D19" t="str">
            <v>FGT-Z2</v>
          </cell>
          <cell r="E19" t="str">
            <v>Florida-Zone 2</v>
          </cell>
          <cell r="F19">
            <v>19</v>
          </cell>
        </row>
        <row r="20">
          <cell r="A20">
            <v>34455</v>
          </cell>
          <cell r="B20">
            <v>21</v>
          </cell>
          <cell r="D20" t="str">
            <v>FGT-Z3</v>
          </cell>
          <cell r="E20" t="str">
            <v>Florida-Zone 3</v>
          </cell>
          <cell r="F20">
            <v>20</v>
          </cell>
        </row>
        <row r="21">
          <cell r="A21">
            <v>34486</v>
          </cell>
          <cell r="B21">
            <v>22</v>
          </cell>
          <cell r="D21" t="str">
            <v>HSC</v>
          </cell>
          <cell r="E21" t="str">
            <v>Hous Ship Chan</v>
          </cell>
          <cell r="F21">
            <v>21</v>
          </cell>
        </row>
        <row r="22">
          <cell r="A22">
            <v>34516</v>
          </cell>
          <cell r="B22">
            <v>23</v>
          </cell>
          <cell r="D22" t="str">
            <v>HUB</v>
          </cell>
          <cell r="E22" t="str">
            <v>Henry Hub</v>
          </cell>
          <cell r="F22">
            <v>22</v>
          </cell>
        </row>
        <row r="23">
          <cell r="A23">
            <v>34547</v>
          </cell>
          <cell r="B23">
            <v>24</v>
          </cell>
          <cell r="D23" t="str">
            <v>KERN</v>
          </cell>
          <cell r="E23" t="str">
            <v>Kern River</v>
          </cell>
          <cell r="F23">
            <v>23</v>
          </cell>
        </row>
        <row r="24">
          <cell r="A24">
            <v>34578</v>
          </cell>
          <cell r="B24">
            <v>25</v>
          </cell>
          <cell r="D24" t="str">
            <v>KERN-NGI</v>
          </cell>
          <cell r="E24" t="str">
            <v>Kern River-NGI</v>
          </cell>
          <cell r="F24">
            <v>24</v>
          </cell>
        </row>
        <row r="25">
          <cell r="A25">
            <v>34608</v>
          </cell>
          <cell r="B25">
            <v>26</v>
          </cell>
          <cell r="D25" t="str">
            <v>KOCH-LA</v>
          </cell>
          <cell r="E25" t="str">
            <v>Koch Gateway-LA</v>
          </cell>
          <cell r="F25">
            <v>25</v>
          </cell>
        </row>
        <row r="26">
          <cell r="A26">
            <v>34639</v>
          </cell>
          <cell r="B26">
            <v>27</v>
          </cell>
          <cell r="D26" t="str">
            <v>KOCH-TX</v>
          </cell>
          <cell r="E26" t="str">
            <v>Koch Gateway-TX</v>
          </cell>
          <cell r="F26">
            <v>26</v>
          </cell>
        </row>
        <row r="27">
          <cell r="A27">
            <v>34669</v>
          </cell>
          <cell r="B27">
            <v>28</v>
          </cell>
          <cell r="D27" t="str">
            <v>MALIN-400</v>
          </cell>
          <cell r="E27" t="str">
            <v>Malin-400 Border</v>
          </cell>
          <cell r="F27">
            <v>27</v>
          </cell>
        </row>
        <row r="28">
          <cell r="A28">
            <v>34700</v>
          </cell>
          <cell r="B28">
            <v>29</v>
          </cell>
          <cell r="D28" t="str">
            <v>MALIN-401</v>
          </cell>
          <cell r="E28" t="str">
            <v>Malin-401 Border</v>
          </cell>
          <cell r="F28">
            <v>28</v>
          </cell>
        </row>
        <row r="29">
          <cell r="A29">
            <v>34731</v>
          </cell>
          <cell r="B29">
            <v>30</v>
          </cell>
          <cell r="D29" t="str">
            <v>MICH</v>
          </cell>
          <cell r="E29" t="str">
            <v>MichCon</v>
          </cell>
          <cell r="F29">
            <v>29</v>
          </cell>
        </row>
        <row r="30">
          <cell r="A30">
            <v>34759</v>
          </cell>
          <cell r="B30">
            <v>31</v>
          </cell>
          <cell r="D30" t="str">
            <v>MRC</v>
          </cell>
          <cell r="E30" t="str">
            <v>Miss River Corr</v>
          </cell>
          <cell r="F30">
            <v>30</v>
          </cell>
        </row>
        <row r="31">
          <cell r="A31">
            <v>34790</v>
          </cell>
          <cell r="B31">
            <v>32</v>
          </cell>
          <cell r="D31" t="str">
            <v>NGPL-LA</v>
          </cell>
          <cell r="E31" t="str">
            <v>NGPL-Louisiana</v>
          </cell>
          <cell r="F31">
            <v>31</v>
          </cell>
        </row>
        <row r="32">
          <cell r="A32">
            <v>34820</v>
          </cell>
          <cell r="B32">
            <v>33</v>
          </cell>
          <cell r="D32" t="str">
            <v>NGPL-MC</v>
          </cell>
          <cell r="E32" t="str">
            <v>NGPL-MidContinent</v>
          </cell>
          <cell r="F32">
            <v>32</v>
          </cell>
        </row>
        <row r="33">
          <cell r="A33">
            <v>34851</v>
          </cell>
          <cell r="B33">
            <v>34</v>
          </cell>
          <cell r="D33" t="str">
            <v>NGPL-OK</v>
          </cell>
          <cell r="E33" t="str">
            <v>NGPL-Oklahoma</v>
          </cell>
          <cell r="F33">
            <v>33</v>
          </cell>
        </row>
        <row r="34">
          <cell r="A34">
            <v>34881</v>
          </cell>
          <cell r="B34">
            <v>35</v>
          </cell>
          <cell r="D34" t="str">
            <v>NGPL-STX</v>
          </cell>
          <cell r="E34" t="str">
            <v>NGPL-Texas</v>
          </cell>
          <cell r="F34">
            <v>34</v>
          </cell>
        </row>
        <row r="35">
          <cell r="A35">
            <v>34912</v>
          </cell>
          <cell r="B35">
            <v>36</v>
          </cell>
          <cell r="D35" t="str">
            <v>NNG-DEMARC</v>
          </cell>
          <cell r="E35" t="str">
            <v>Northern-Demarc</v>
          </cell>
          <cell r="F35">
            <v>35</v>
          </cell>
        </row>
        <row r="36">
          <cell r="A36">
            <v>34943</v>
          </cell>
          <cell r="B36">
            <v>37</v>
          </cell>
          <cell r="D36" t="str">
            <v>NNG-TOK</v>
          </cell>
          <cell r="E36" t="str">
            <v>Northern-TOK</v>
          </cell>
          <cell r="F36">
            <v>36</v>
          </cell>
        </row>
        <row r="37">
          <cell r="A37">
            <v>34973</v>
          </cell>
          <cell r="B37">
            <v>38</v>
          </cell>
          <cell r="D37" t="str">
            <v>NNG-VENT</v>
          </cell>
          <cell r="E37" t="str">
            <v>Northern-Ventura</v>
          </cell>
          <cell r="F37">
            <v>37</v>
          </cell>
        </row>
        <row r="38">
          <cell r="A38">
            <v>35004</v>
          </cell>
          <cell r="B38">
            <v>39</v>
          </cell>
          <cell r="D38" t="str">
            <v>NOR-AM</v>
          </cell>
          <cell r="E38" t="str">
            <v>Noram</v>
          </cell>
          <cell r="F38">
            <v>38</v>
          </cell>
        </row>
        <row r="39">
          <cell r="A39">
            <v>35034</v>
          </cell>
          <cell r="B39">
            <v>40</v>
          </cell>
          <cell r="D39" t="str">
            <v>NOR-EAST</v>
          </cell>
          <cell r="E39" t="str">
            <v>Noram East</v>
          </cell>
          <cell r="F39">
            <v>39</v>
          </cell>
        </row>
        <row r="40">
          <cell r="A40">
            <v>35065</v>
          </cell>
          <cell r="B40">
            <v>41</v>
          </cell>
          <cell r="D40" t="str">
            <v>NOR-WEST</v>
          </cell>
          <cell r="E40" t="str">
            <v>Noram West</v>
          </cell>
          <cell r="F40">
            <v>40</v>
          </cell>
        </row>
        <row r="41">
          <cell r="A41">
            <v>35096</v>
          </cell>
          <cell r="B41">
            <v>42</v>
          </cell>
          <cell r="D41" t="str">
            <v>NWPL-CAN</v>
          </cell>
          <cell r="E41" t="str">
            <v>Northwest-Canada</v>
          </cell>
          <cell r="F41">
            <v>41</v>
          </cell>
        </row>
        <row r="42">
          <cell r="A42">
            <v>35125</v>
          </cell>
          <cell r="B42">
            <v>43</v>
          </cell>
          <cell r="D42" t="str">
            <v>NWPL-ROCK</v>
          </cell>
          <cell r="E42" t="str">
            <v>Northwest-Rock Mtn</v>
          </cell>
          <cell r="F42">
            <v>42</v>
          </cell>
        </row>
        <row r="43">
          <cell r="A43">
            <v>35156</v>
          </cell>
          <cell r="B43">
            <v>44</v>
          </cell>
          <cell r="D43" t="str">
            <v>ONG-OKL</v>
          </cell>
          <cell r="E43" t="str">
            <v>ONG-Oklahoma</v>
          </cell>
          <cell r="F43">
            <v>43</v>
          </cell>
        </row>
        <row r="44">
          <cell r="A44">
            <v>35186</v>
          </cell>
          <cell r="B44">
            <v>45</v>
          </cell>
          <cell r="D44" t="str">
            <v>PEPL-FZ</v>
          </cell>
          <cell r="E44" t="str">
            <v>Panhandle-Field Zone</v>
          </cell>
          <cell r="F44">
            <v>44</v>
          </cell>
        </row>
        <row r="45">
          <cell r="A45">
            <v>35217</v>
          </cell>
          <cell r="B45">
            <v>46</v>
          </cell>
          <cell r="D45" t="str">
            <v>QUEST</v>
          </cell>
          <cell r="E45" t="str">
            <v>Questar</v>
          </cell>
          <cell r="F45">
            <v>45</v>
          </cell>
        </row>
        <row r="46">
          <cell r="A46">
            <v>35247</v>
          </cell>
          <cell r="B46">
            <v>47</v>
          </cell>
          <cell r="D46" t="str">
            <v>NGI-Socal</v>
          </cell>
          <cell r="E46" t="str">
            <v>So Cal Border</v>
          </cell>
          <cell r="F46">
            <v>46</v>
          </cell>
        </row>
        <row r="47">
          <cell r="A47">
            <v>35278</v>
          </cell>
          <cell r="B47">
            <v>48</v>
          </cell>
          <cell r="D47" t="str">
            <v>SONAT-LA</v>
          </cell>
          <cell r="E47" t="str">
            <v>Southern-Louisiana</v>
          </cell>
          <cell r="F47">
            <v>47</v>
          </cell>
        </row>
        <row r="48">
          <cell r="A48">
            <v>35309</v>
          </cell>
          <cell r="B48">
            <v>49</v>
          </cell>
          <cell r="D48" t="str">
            <v>TANG</v>
          </cell>
          <cell r="E48" t="str">
            <v>Transamerican</v>
          </cell>
          <cell r="F48">
            <v>48</v>
          </cell>
        </row>
        <row r="49">
          <cell r="A49">
            <v>35339</v>
          </cell>
          <cell r="B49">
            <v>50</v>
          </cell>
          <cell r="D49" t="str">
            <v>TENN-Z0</v>
          </cell>
          <cell r="E49" t="str">
            <v>Tennessee-Zone 0</v>
          </cell>
          <cell r="F49">
            <v>49</v>
          </cell>
        </row>
        <row r="50">
          <cell r="A50">
            <v>35370</v>
          </cell>
          <cell r="B50">
            <v>51</v>
          </cell>
          <cell r="D50" t="str">
            <v>TENN-Z1</v>
          </cell>
          <cell r="E50" t="str">
            <v>Tennessee-Zone 1</v>
          </cell>
          <cell r="F50">
            <v>50</v>
          </cell>
        </row>
        <row r="51">
          <cell r="A51">
            <v>35400</v>
          </cell>
          <cell r="B51">
            <v>52</v>
          </cell>
          <cell r="D51" t="str">
            <v>TET-ELA</v>
          </cell>
          <cell r="E51" t="str">
            <v>Texas Eastern-ELA</v>
          </cell>
          <cell r="F51">
            <v>51</v>
          </cell>
        </row>
        <row r="52">
          <cell r="A52">
            <v>35431</v>
          </cell>
          <cell r="B52">
            <v>53</v>
          </cell>
          <cell r="D52" t="str">
            <v>TET-ETX</v>
          </cell>
          <cell r="E52" t="str">
            <v>Texas Eastern-ETX</v>
          </cell>
          <cell r="F52">
            <v>52</v>
          </cell>
        </row>
        <row r="53">
          <cell r="A53">
            <v>35462</v>
          </cell>
          <cell r="B53">
            <v>54</v>
          </cell>
          <cell r="D53" t="str">
            <v>TET-M3</v>
          </cell>
          <cell r="E53" t="str">
            <v>Texas Eastern-M3</v>
          </cell>
          <cell r="F53">
            <v>53</v>
          </cell>
        </row>
        <row r="54">
          <cell r="A54">
            <v>35490</v>
          </cell>
          <cell r="B54">
            <v>55</v>
          </cell>
          <cell r="D54" t="str">
            <v>TET-STX</v>
          </cell>
          <cell r="E54" t="str">
            <v>Texas Eastern-STX</v>
          </cell>
          <cell r="F54">
            <v>54</v>
          </cell>
        </row>
        <row r="55">
          <cell r="A55">
            <v>35521</v>
          </cell>
          <cell r="B55">
            <v>56</v>
          </cell>
          <cell r="D55" t="str">
            <v>TET-WLA</v>
          </cell>
          <cell r="E55" t="str">
            <v>Texas Eastern-WLA</v>
          </cell>
          <cell r="F55">
            <v>55</v>
          </cell>
        </row>
        <row r="56">
          <cell r="A56">
            <v>35551</v>
          </cell>
          <cell r="B56">
            <v>57</v>
          </cell>
          <cell r="D56" t="str">
            <v>TRAN-Z1</v>
          </cell>
          <cell r="E56" t="str">
            <v>Transco-Zone 1</v>
          </cell>
          <cell r="F56">
            <v>56</v>
          </cell>
        </row>
        <row r="57">
          <cell r="A57">
            <v>35582</v>
          </cell>
          <cell r="B57">
            <v>58</v>
          </cell>
          <cell r="D57" t="str">
            <v>TRAN-Z2</v>
          </cell>
          <cell r="E57" t="str">
            <v>Transco-Zone 2</v>
          </cell>
          <cell r="F57">
            <v>57</v>
          </cell>
        </row>
        <row r="58">
          <cell r="A58">
            <v>35612</v>
          </cell>
          <cell r="B58">
            <v>59</v>
          </cell>
          <cell r="D58" t="str">
            <v>TRAN-Z3</v>
          </cell>
          <cell r="E58" t="str">
            <v>Transco-Zone 3</v>
          </cell>
          <cell r="F58">
            <v>58</v>
          </cell>
        </row>
        <row r="59">
          <cell r="A59">
            <v>35643</v>
          </cell>
          <cell r="B59">
            <v>60</v>
          </cell>
          <cell r="D59" t="str">
            <v>TRAN-Z4</v>
          </cell>
          <cell r="E59" t="str">
            <v>Transco-Zone 4</v>
          </cell>
          <cell r="F59">
            <v>59</v>
          </cell>
        </row>
        <row r="60">
          <cell r="A60">
            <v>35674</v>
          </cell>
          <cell r="B60">
            <v>61</v>
          </cell>
          <cell r="D60" t="str">
            <v>TRAN-Z6</v>
          </cell>
          <cell r="E60" t="str">
            <v>Transco-Zone 6</v>
          </cell>
          <cell r="F60">
            <v>60</v>
          </cell>
        </row>
        <row r="61">
          <cell r="A61">
            <v>35704</v>
          </cell>
          <cell r="B61">
            <v>62</v>
          </cell>
          <cell r="D61" t="str">
            <v>TRUNK-FZ</v>
          </cell>
          <cell r="E61" t="str">
            <v>Trunkline-Field Zone</v>
          </cell>
          <cell r="F61">
            <v>61</v>
          </cell>
        </row>
        <row r="62">
          <cell r="A62">
            <v>35735</v>
          </cell>
          <cell r="B62">
            <v>63</v>
          </cell>
          <cell r="D62" t="str">
            <v>TRUNK-LA</v>
          </cell>
          <cell r="E62" t="str">
            <v>Trunkline-Louisiana</v>
          </cell>
          <cell r="F62">
            <v>62</v>
          </cell>
        </row>
        <row r="63">
          <cell r="A63">
            <v>35765</v>
          </cell>
          <cell r="B63">
            <v>64</v>
          </cell>
          <cell r="D63" t="str">
            <v>TRUNK-TX</v>
          </cell>
          <cell r="E63" t="str">
            <v>Trunkline-Texas</v>
          </cell>
          <cell r="F63">
            <v>63</v>
          </cell>
        </row>
        <row r="64">
          <cell r="A64">
            <v>35796</v>
          </cell>
          <cell r="B64">
            <v>65</v>
          </cell>
          <cell r="D64" t="str">
            <v>TW-PERM</v>
          </cell>
          <cell r="E64" t="str">
            <v>Transwestern-Permian</v>
          </cell>
          <cell r="F64">
            <v>64</v>
          </cell>
        </row>
        <row r="65">
          <cell r="A65">
            <v>35827</v>
          </cell>
          <cell r="B65">
            <v>66</v>
          </cell>
          <cell r="D65" t="str">
            <v>TXG-Z1</v>
          </cell>
          <cell r="E65" t="str">
            <v>Texas Gas-Zone 1</v>
          </cell>
          <cell r="F65">
            <v>65</v>
          </cell>
        </row>
        <row r="66">
          <cell r="A66">
            <v>35855</v>
          </cell>
          <cell r="B66">
            <v>67</v>
          </cell>
          <cell r="D66" t="str">
            <v>TXG-ZSL</v>
          </cell>
          <cell r="E66" t="str">
            <v>Texas Gas-Zone SL</v>
          </cell>
          <cell r="F66">
            <v>66</v>
          </cell>
        </row>
        <row r="67">
          <cell r="A67">
            <v>35886</v>
          </cell>
          <cell r="B67">
            <v>68</v>
          </cell>
          <cell r="D67" t="str">
            <v>VAL-TX</v>
          </cell>
          <cell r="E67" t="str">
            <v>Valero-TX</v>
          </cell>
          <cell r="F67">
            <v>67</v>
          </cell>
        </row>
        <row r="68">
          <cell r="A68">
            <v>35916</v>
          </cell>
          <cell r="B68">
            <v>69</v>
          </cell>
          <cell r="D68" t="str">
            <v>KRS (SOCAL)-NGI</v>
          </cell>
          <cell r="E68" t="str">
            <v>Kern River Station</v>
          </cell>
          <cell r="F68">
            <v>68</v>
          </cell>
        </row>
        <row r="69">
          <cell r="A69">
            <v>35947</v>
          </cell>
          <cell r="B69">
            <v>70</v>
          </cell>
        </row>
        <row r="70">
          <cell r="A70">
            <v>35977</v>
          </cell>
          <cell r="B70">
            <v>71</v>
          </cell>
        </row>
        <row r="71">
          <cell r="A71">
            <v>36008</v>
          </cell>
          <cell r="B71">
            <v>72</v>
          </cell>
        </row>
        <row r="72">
          <cell r="A72">
            <v>36039</v>
          </cell>
          <cell r="B72">
            <v>73</v>
          </cell>
        </row>
        <row r="73">
          <cell r="A73">
            <v>36069</v>
          </cell>
          <cell r="B73">
            <v>74</v>
          </cell>
        </row>
        <row r="74">
          <cell r="A74">
            <v>36100</v>
          </cell>
          <cell r="B74">
            <v>75</v>
          </cell>
        </row>
        <row r="75">
          <cell r="A75">
            <v>36130</v>
          </cell>
          <cell r="B75">
            <v>76</v>
          </cell>
        </row>
        <row r="76">
          <cell r="A76">
            <v>36161</v>
          </cell>
          <cell r="B76">
            <v>77</v>
          </cell>
        </row>
        <row r="77">
          <cell r="A77">
            <v>36192</v>
          </cell>
          <cell r="B77">
            <v>78</v>
          </cell>
        </row>
        <row r="78">
          <cell r="A78">
            <v>36220</v>
          </cell>
          <cell r="B78">
            <v>79</v>
          </cell>
        </row>
        <row r="79">
          <cell r="A79">
            <v>36251</v>
          </cell>
          <cell r="B79">
            <v>80</v>
          </cell>
        </row>
        <row r="80">
          <cell r="A80">
            <v>36281</v>
          </cell>
          <cell r="B80">
            <v>81</v>
          </cell>
        </row>
        <row r="81">
          <cell r="A81">
            <v>36312</v>
          </cell>
          <cell r="B81">
            <v>82</v>
          </cell>
        </row>
        <row r="82">
          <cell r="A82">
            <v>36342</v>
          </cell>
          <cell r="B82">
            <v>83</v>
          </cell>
        </row>
        <row r="83">
          <cell r="A83">
            <v>36373</v>
          </cell>
          <cell r="B83">
            <v>84</v>
          </cell>
        </row>
        <row r="84">
          <cell r="A84">
            <v>36404</v>
          </cell>
          <cell r="B84">
            <v>85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DWtoGTdirectSetup_"/>
      <sheetName val="_UnregulatedCurves_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8"/>
  <dimension ref="A1:S1163"/>
  <sheetViews>
    <sheetView tabSelected="1" zoomScale="70" zoomScaleNormal="70" workbookViewId="0">
      <pane xSplit="1" ySplit="16" topLeftCell="B17" activePane="bottomRight" state="frozen"/>
      <selection activeCell="J39" sqref="J39"/>
      <selection pane="topRight" activeCell="J39" sqref="J39"/>
      <selection pane="bottomLeft" activeCell="J39" sqref="J39"/>
      <selection pane="bottomRight" sqref="A1:A6"/>
    </sheetView>
  </sheetViews>
  <sheetFormatPr defaultColWidth="7.109375" defaultRowHeight="15"/>
  <cols>
    <col min="1" max="1" width="7.5546875" style="2" bestFit="1" customWidth="1"/>
    <col min="2" max="5" width="10" style="1" customWidth="1"/>
    <col min="6" max="6" width="9.33203125" style="2" customWidth="1"/>
    <col min="7" max="7" width="13.33203125" style="1" customWidth="1"/>
    <col min="8" max="8" width="12.6640625" style="2" customWidth="1"/>
    <col min="9" max="9" width="10" style="1" customWidth="1"/>
    <col min="10" max="10" width="9.6640625" style="1" customWidth="1"/>
    <col min="11" max="11" width="13.33203125" style="1" customWidth="1"/>
    <col min="12" max="12" width="7.21875" style="1" bestFit="1" customWidth="1"/>
    <col min="13" max="13" width="13.6640625" style="1" bestFit="1" customWidth="1"/>
    <col min="14" max="14" width="6.109375" style="1" bestFit="1" customWidth="1"/>
    <col min="15" max="15" width="10.21875" style="1" customWidth="1"/>
    <col min="16" max="16" width="9.21875" style="1" customWidth="1"/>
    <col min="17" max="17" width="9.88671875" style="1" customWidth="1"/>
    <col min="18" max="18" width="9.33203125" style="1" customWidth="1"/>
    <col min="19" max="19" width="9.21875" style="1" customWidth="1"/>
    <col min="20" max="20" width="10.21875" style="1" customWidth="1"/>
    <col min="21" max="21" width="11.77734375" style="1" customWidth="1"/>
    <col min="22" max="22" width="7.109375" style="1" customWidth="1"/>
    <col min="23" max="23" width="8.77734375" style="1" customWidth="1"/>
    <col min="24" max="24" width="9.21875" style="1" customWidth="1"/>
    <col min="25" max="25" width="11.77734375" style="1" customWidth="1"/>
    <col min="26" max="26" width="7.109375" style="1" customWidth="1"/>
    <col min="27" max="27" width="9.21875" style="1" customWidth="1"/>
    <col min="28" max="28" width="9.33203125" style="1" customWidth="1"/>
    <col min="29" max="29" width="8.21875" style="1" customWidth="1"/>
    <col min="30" max="30" width="9" style="1" customWidth="1"/>
    <col min="31" max="16384" width="7.109375" style="1"/>
  </cols>
  <sheetData>
    <row r="1" spans="1:19" ht="15.75">
      <c r="A1" s="87" t="s">
        <v>64</v>
      </c>
    </row>
    <row r="2" spans="1:19" ht="15.75">
      <c r="A2" s="87" t="s">
        <v>65</v>
      </c>
    </row>
    <row r="3" spans="1:19" ht="15.75">
      <c r="A3" s="87" t="s">
        <v>66</v>
      </c>
    </row>
    <row r="4" spans="1:19" ht="15.75">
      <c r="A4" s="87" t="s">
        <v>67</v>
      </c>
    </row>
    <row r="5" spans="1:19" ht="15.75">
      <c r="A5" s="87" t="s">
        <v>69</v>
      </c>
    </row>
    <row r="6" spans="1:19" ht="15.75">
      <c r="A6" s="87" t="s">
        <v>68</v>
      </c>
    </row>
    <row r="8" spans="1:19" ht="24.75" customHeight="1">
      <c r="A8" s="34" t="s">
        <v>26</v>
      </c>
    </row>
    <row r="9" spans="1:19" ht="15" customHeight="1">
      <c r="A9" s="33" t="s">
        <v>25</v>
      </c>
    </row>
    <row r="10" spans="1:19" ht="15" customHeight="1">
      <c r="A10" s="1"/>
      <c r="G10" s="32"/>
      <c r="N10" s="31"/>
    </row>
    <row r="11" spans="1:19" ht="15" customHeight="1">
      <c r="C11" s="30" t="s">
        <v>24</v>
      </c>
      <c r="D11" s="29">
        <f>1-0.209</f>
        <v>0.79100000000000004</v>
      </c>
      <c r="E11" s="30" t="s">
        <v>23</v>
      </c>
      <c r="F11" s="29">
        <f>1+0.209</f>
        <v>1.2090000000000001</v>
      </c>
    </row>
    <row r="12" spans="1:19" ht="15" customHeight="1">
      <c r="A12" s="1"/>
    </row>
    <row r="13" spans="1:19" ht="15" customHeight="1">
      <c r="D13" s="10"/>
      <c r="E13" s="10"/>
      <c r="F13" s="10"/>
      <c r="G13" s="10"/>
      <c r="I13" s="10"/>
      <c r="K13" s="28"/>
      <c r="L13" s="88" t="s">
        <v>22</v>
      </c>
      <c r="M13" s="88"/>
      <c r="N13" s="88"/>
      <c r="O13" s="88"/>
      <c r="P13" s="88"/>
      <c r="Q13" s="88"/>
      <c r="R13" s="88"/>
      <c r="S13" s="88"/>
    </row>
    <row r="14" spans="1:19" ht="15" customHeight="1">
      <c r="B14" s="10"/>
      <c r="C14" s="10"/>
      <c r="D14" s="10"/>
      <c r="E14" s="10"/>
      <c r="F14" s="10"/>
      <c r="G14" s="10"/>
      <c r="I14" s="10"/>
      <c r="K14" s="27"/>
      <c r="L14" s="88" t="s">
        <v>21</v>
      </c>
      <c r="M14" s="88"/>
      <c r="N14" s="88"/>
      <c r="O14" s="88"/>
      <c r="P14" s="88"/>
      <c r="Q14" s="88"/>
      <c r="R14" s="88"/>
      <c r="S14" s="88"/>
    </row>
    <row r="15" spans="1:19" s="21" customFormat="1" ht="112.5" customHeight="1">
      <c r="B15" s="24" t="s">
        <v>20</v>
      </c>
      <c r="C15" s="24" t="s">
        <v>19</v>
      </c>
      <c r="D15" s="24" t="s">
        <v>18</v>
      </c>
      <c r="E15" s="24" t="s">
        <v>17</v>
      </c>
      <c r="F15" s="23" t="s">
        <v>16</v>
      </c>
      <c r="G15" s="24" t="s">
        <v>15</v>
      </c>
      <c r="H15" s="23" t="s">
        <v>14</v>
      </c>
      <c r="I15" s="24" t="s">
        <v>13</v>
      </c>
      <c r="J15" s="23" t="s">
        <v>12</v>
      </c>
      <c r="K15" s="26" t="s">
        <v>11</v>
      </c>
      <c r="L15" s="22" t="s">
        <v>10</v>
      </c>
      <c r="M15" s="22" t="s">
        <v>9</v>
      </c>
      <c r="N15" s="22" t="s">
        <v>8</v>
      </c>
      <c r="O15" s="22" t="s">
        <v>7</v>
      </c>
      <c r="P15" s="22" t="s">
        <v>6</v>
      </c>
      <c r="Q15" s="22" t="s">
        <v>5</v>
      </c>
      <c r="R15" s="22" t="s">
        <v>4</v>
      </c>
      <c r="S15" s="25" t="s">
        <v>3</v>
      </c>
    </row>
    <row r="16" spans="1:19" s="21" customFormat="1" ht="15" customHeight="1">
      <c r="A16" s="23" t="s">
        <v>2</v>
      </c>
      <c r="B16" s="24" t="s">
        <v>1</v>
      </c>
      <c r="C16" s="24" t="s">
        <v>1</v>
      </c>
      <c r="D16" s="24" t="s">
        <v>1</v>
      </c>
      <c r="E16" s="24" t="s">
        <v>1</v>
      </c>
      <c r="F16" s="23" t="s">
        <v>1</v>
      </c>
      <c r="G16" s="24" t="s">
        <v>1</v>
      </c>
      <c r="H16" s="23" t="s">
        <v>1</v>
      </c>
      <c r="I16" s="24" t="s">
        <v>1</v>
      </c>
      <c r="J16" s="23" t="s">
        <v>1</v>
      </c>
      <c r="K16" s="23" t="s">
        <v>1</v>
      </c>
      <c r="L16" s="22" t="s">
        <v>0</v>
      </c>
      <c r="M16" s="22" t="s">
        <v>0</v>
      </c>
      <c r="N16" s="22" t="s">
        <v>0</v>
      </c>
      <c r="O16" s="22" t="s">
        <v>0</v>
      </c>
      <c r="P16" s="22" t="s">
        <v>0</v>
      </c>
      <c r="Q16" s="22" t="s">
        <v>0</v>
      </c>
      <c r="R16" s="22" t="s">
        <v>0</v>
      </c>
      <c r="S16" s="22" t="s">
        <v>0</v>
      </c>
    </row>
    <row r="17" spans="1:19" ht="15" customHeight="1">
      <c r="A17" s="13">
        <v>41640</v>
      </c>
      <c r="B17" s="8">
        <v>4.5403508981821297</v>
      </c>
      <c r="C17" s="8">
        <v>4.5453053729014501</v>
      </c>
      <c r="D17" s="8">
        <v>4.5474406031906298</v>
      </c>
      <c r="E17" s="12">
        <v>4.5470654716081098</v>
      </c>
      <c r="F17" s="4">
        <v>5.2054822160436602</v>
      </c>
      <c r="G17" s="8">
        <v>4.5299185954854799</v>
      </c>
      <c r="H17" s="4">
        <v>5.1810010193679901</v>
      </c>
      <c r="I17" s="8">
        <v>4.5333202317294603</v>
      </c>
      <c r="J17" s="4">
        <v>4.407</v>
      </c>
      <c r="K17" s="4">
        <v>4.4959996929375601</v>
      </c>
      <c r="L17" s="9">
        <v>29.253942540000001</v>
      </c>
      <c r="M17" s="9">
        <v>12.063650000000001</v>
      </c>
      <c r="N17" s="9">
        <v>4.9444999999999997</v>
      </c>
      <c r="O17" s="9">
        <v>0.71033400000000002</v>
      </c>
      <c r="P17" s="9">
        <v>0.77903628000000003</v>
      </c>
      <c r="Q17" s="9"/>
      <c r="R17" s="9">
        <v>0.4</v>
      </c>
      <c r="S17" s="20">
        <v>1.0435350000000001</v>
      </c>
    </row>
    <row r="18" spans="1:19" ht="15" customHeight="1">
      <c r="A18" s="13">
        <v>41671</v>
      </c>
      <c r="B18" s="8">
        <v>5.7253939823975104</v>
      </c>
      <c r="C18" s="8">
        <v>5.7303484571168299</v>
      </c>
      <c r="D18" s="8">
        <v>5.7503593719377601</v>
      </c>
      <c r="E18" s="12">
        <v>5.7440587165890404</v>
      </c>
      <c r="F18" s="4">
        <v>6.4008229009180804</v>
      </c>
      <c r="G18" s="8">
        <v>5.7195685555344298</v>
      </c>
      <c r="H18" s="4">
        <v>6.3642786331106604</v>
      </c>
      <c r="I18" s="8">
        <v>5.77879893816087</v>
      </c>
      <c r="J18" s="4">
        <v>5.55779533908155</v>
      </c>
      <c r="K18" s="4">
        <v>5.6800276756208303</v>
      </c>
      <c r="L18" s="9">
        <v>26.512149040000001</v>
      </c>
      <c r="M18" s="9">
        <v>10.8962</v>
      </c>
      <c r="N18" s="9">
        <v>4.4660000000000002</v>
      </c>
      <c r="O18" s="9">
        <v>0.64159200000000005</v>
      </c>
      <c r="P18" s="9">
        <v>0.77903628000000003</v>
      </c>
      <c r="Q18" s="9"/>
      <c r="R18" s="9">
        <v>0.4</v>
      </c>
      <c r="S18" s="20">
        <v>1.0435350000000001</v>
      </c>
    </row>
    <row r="19" spans="1:19" ht="15" customHeight="1">
      <c r="A19" s="13">
        <v>41699</v>
      </c>
      <c r="B19" s="8">
        <v>5.0025024161324501</v>
      </c>
      <c r="C19" s="8">
        <v>5.0074568908517696</v>
      </c>
      <c r="D19" s="8">
        <v>5.0614249041503099</v>
      </c>
      <c r="E19" s="12">
        <v>5.0429066154505398</v>
      </c>
      <c r="F19" s="4">
        <v>5.7088241366301604</v>
      </c>
      <c r="G19" s="8">
        <v>5.0372470232526201</v>
      </c>
      <c r="H19" s="4">
        <v>5.6792633425907804</v>
      </c>
      <c r="I19" s="8">
        <v>5.0444680614808997</v>
      </c>
      <c r="J19" s="4">
        <v>4.85579533908155</v>
      </c>
      <c r="K19" s="4">
        <v>4.9655957411274896</v>
      </c>
      <c r="L19" s="9">
        <v>29.394616540000001</v>
      </c>
      <c r="M19" s="9">
        <v>12.063650000000001</v>
      </c>
      <c r="N19" s="9">
        <v>4.9444999999999997</v>
      </c>
      <c r="O19" s="9">
        <v>0.71033400000000002</v>
      </c>
      <c r="P19" s="9">
        <v>0.77903628000000003</v>
      </c>
      <c r="Q19" s="9"/>
      <c r="R19" s="9">
        <v>0.4</v>
      </c>
      <c r="S19" s="20">
        <v>1.0435350000000001</v>
      </c>
    </row>
    <row r="20" spans="1:19" ht="15" customHeight="1">
      <c r="A20" s="13">
        <v>41730</v>
      </c>
      <c r="B20" s="8">
        <v>4.7242193852928898</v>
      </c>
      <c r="C20" s="8">
        <v>4.7285916418283396</v>
      </c>
      <c r="D20" s="8">
        <v>4.8068059613357903</v>
      </c>
      <c r="E20" s="12">
        <v>4.7822326339714403</v>
      </c>
      <c r="F20" s="4">
        <v>5.4863959623947602</v>
      </c>
      <c r="G20" s="8">
        <v>4.7603316510110698</v>
      </c>
      <c r="H20" s="4">
        <v>5.4590798563522398</v>
      </c>
      <c r="I20" s="8">
        <v>4.7562598941315004</v>
      </c>
      <c r="J20" s="4">
        <v>4.5847953390815501</v>
      </c>
      <c r="K20" s="4">
        <v>4.68923954870169</v>
      </c>
      <c r="L20" s="9">
        <v>30.193848039999999</v>
      </c>
      <c r="M20" s="9">
        <v>11.6745</v>
      </c>
      <c r="N20" s="9">
        <v>4.7850000000000001</v>
      </c>
      <c r="O20" s="9">
        <v>0.68742000000000003</v>
      </c>
      <c r="P20" s="9">
        <v>0.77903628000000003</v>
      </c>
      <c r="Q20" s="9"/>
      <c r="R20" s="9">
        <v>0.3</v>
      </c>
      <c r="S20" s="20">
        <v>1.0435350000000001</v>
      </c>
    </row>
    <row r="21" spans="1:19" ht="15" customHeight="1">
      <c r="A21" s="13">
        <v>41760</v>
      </c>
      <c r="B21" s="8">
        <v>4.9381176608916197</v>
      </c>
      <c r="C21" s="8">
        <v>4.9461153623711702</v>
      </c>
      <c r="D21" s="8">
        <v>5.0065241995266598</v>
      </c>
      <c r="E21" s="12">
        <v>4.99187975990304</v>
      </c>
      <c r="F21" s="4">
        <v>5.7148753737689901</v>
      </c>
      <c r="G21" s="8">
        <v>4.9585702312142796</v>
      </c>
      <c r="H21" s="4">
        <v>5.93206327334065</v>
      </c>
      <c r="I21" s="8">
        <v>4.9481720595449401</v>
      </c>
      <c r="J21" s="4">
        <v>4.7961753344205196</v>
      </c>
      <c r="K21" s="4">
        <v>4.8989427169094304</v>
      </c>
      <c r="L21" s="9">
        <v>32.596418040000003</v>
      </c>
      <c r="M21" s="9">
        <v>12.063650000000001</v>
      </c>
      <c r="N21" s="9">
        <v>4.9444999999999997</v>
      </c>
      <c r="O21" s="9">
        <v>0.71033400000000002</v>
      </c>
      <c r="P21" s="9">
        <v>0.80500415599999997</v>
      </c>
      <c r="Q21" s="9"/>
      <c r="R21" s="9">
        <v>0.3</v>
      </c>
      <c r="S21" s="20">
        <v>1.0435350000000001</v>
      </c>
    </row>
    <row r="22" spans="1:19" ht="15" customHeight="1">
      <c r="A22" s="13">
        <v>41791</v>
      </c>
      <c r="B22" s="8">
        <f>CHOOSE( CONTROL!$C$36, 4.7568, 4.7551) * CHOOSE(CONTROL!$C$19, $D$11, 100%, $F$11)</f>
        <v>4.7568000000000001</v>
      </c>
      <c r="C22" s="8">
        <f>CHOOSE( CONTROL!$C$36, 4.7648, 4.7631) * CHOOSE(CONTROL!$C$19, $D$11, 100%, $F$11)</f>
        <v>4.7648000000000001</v>
      </c>
      <c r="D22" s="8">
        <f>CHOOSE( CONTROL!$C$36, 4.7931, 4.7914) * CHOOSE( CONTROL!$C$19, $D$11, 100%, $F$11)</f>
        <v>4.7930999999999999</v>
      </c>
      <c r="E22" s="12">
        <f>CHOOSE( CONTROL!$C$36, 4.7821, 4.7804) * CHOOSE( CONTROL!$C$19, $D$11, 100%, $F$11)</f>
        <v>4.7820999999999998</v>
      </c>
      <c r="F22" s="4">
        <f>CHOOSE( CONTROL!$C$36, 5.5002, 5.4985) * CHOOSE(CONTROL!$C$19, $D$11, 100%, $F$11)</f>
        <v>5.5002000000000004</v>
      </c>
      <c r="G22" s="8">
        <f>CHOOSE( CONTROL!$C$36, 4.7599, 4.7583) * CHOOSE( CONTROL!$C$19, $D$11, 100%, $F$11)</f>
        <v>4.7599</v>
      </c>
      <c r="H22" s="4">
        <f>CHOOSE( CONTROL!$C$36, 5.6973, 5.6956) * CHOOSE(CONTROL!$C$19, $D$11, 100%, $F$11)</f>
        <v>5.6973000000000003</v>
      </c>
      <c r="I22" s="8">
        <f>CHOOSE( CONTROL!$C$36, 4.752, 4.7504) * CHOOSE(CONTROL!$C$19, $D$11, 100%, $F$11)</f>
        <v>4.7519999999999998</v>
      </c>
      <c r="J22" s="4">
        <f>CHOOSE( CONTROL!$C$36, 4.6206, 4.619) * CHOOSE(CONTROL!$C$19, $D$11, 100%, $F$11)</f>
        <v>4.6205999999999996</v>
      </c>
      <c r="K22" s="4">
        <f>CHOOSE( CONTROL!$C$36, 4.7131, 4.7115) * CHOOSE(CONTROL!$C$19, $D$11, 100%, $F$11)</f>
        <v>4.7130999999999998</v>
      </c>
      <c r="L22" s="9">
        <v>30.775700000000001</v>
      </c>
      <c r="M22" s="9">
        <v>11.6745</v>
      </c>
      <c r="N22" s="9">
        <v>4.3724999999999996</v>
      </c>
      <c r="O22" s="9">
        <v>0.59589999999999999</v>
      </c>
      <c r="P22" s="9">
        <v>0.78300000000000003</v>
      </c>
      <c r="Q22" s="9"/>
      <c r="R22" s="9">
        <v>0.3</v>
      </c>
      <c r="S22" s="19">
        <v>1.0573999999999999</v>
      </c>
    </row>
    <row r="23" spans="1:19" ht="15" customHeight="1">
      <c r="A23" s="13">
        <v>41821</v>
      </c>
      <c r="B23" s="8">
        <f>CHOOSE( CONTROL!$C$36, 4.5306, 4.529) * CHOOSE(CONTROL!$C$19, $D$11, 100%, $F$11)</f>
        <v>4.5305999999999997</v>
      </c>
      <c r="C23" s="8">
        <f>CHOOSE( CONTROL!$C$36, 4.5386, 4.537) * CHOOSE(CONTROL!$C$19, $D$11, 100%, $F$11)</f>
        <v>4.5385999999999997</v>
      </c>
      <c r="D23" s="8">
        <f>CHOOSE( CONTROL!$C$36, 4.5808, 4.5791) * CHOOSE( CONTROL!$C$19, $D$11, 100%, $F$11)</f>
        <v>4.5808</v>
      </c>
      <c r="E23" s="12">
        <f>CHOOSE( CONTROL!$C$36, 4.5649, 4.5632) * CHOOSE( CONTROL!$C$19, $D$11, 100%, $F$11)</f>
        <v>4.5648999999999997</v>
      </c>
      <c r="F23" s="4">
        <f>CHOOSE( CONTROL!$C$36, 5.2854, 5.2837) * CHOOSE(CONTROL!$C$19, $D$11, 100%, $F$11)</f>
        <v>5.2854000000000001</v>
      </c>
      <c r="G23" s="8">
        <f>CHOOSE( CONTROL!$C$36, 4.5508, 4.5492) * CHOOSE( CONTROL!$C$19, $D$11, 100%, $F$11)</f>
        <v>4.5507999999999997</v>
      </c>
      <c r="H23" s="4">
        <f>CHOOSE( CONTROL!$C$36, 5.4855, 5.4838) * CHOOSE(CONTROL!$C$19, $D$11, 100%, $F$11)</f>
        <v>5.4855</v>
      </c>
      <c r="I23" s="8">
        <f>CHOOSE( CONTROL!$C$36, 4.5446, 4.543) * CHOOSE(CONTROL!$C$19, $D$11, 100%, $F$11)</f>
        <v>4.5446</v>
      </c>
      <c r="J23" s="4">
        <f>CHOOSE( CONTROL!$C$36, 4.4016, 4.4) * CHOOSE(CONTROL!$C$19, $D$11, 100%, $F$11)</f>
        <v>4.4016000000000002</v>
      </c>
      <c r="K23" s="4">
        <f>CHOOSE( CONTROL!$C$36, 4.5094, 4.5078) * CHOOSE(CONTROL!$C$19, $D$11, 100%, $F$11)</f>
        <v>4.5094000000000003</v>
      </c>
      <c r="L23" s="9">
        <v>31.801500000000001</v>
      </c>
      <c r="M23" s="9">
        <v>12.063700000000001</v>
      </c>
      <c r="N23" s="9">
        <v>4.5183</v>
      </c>
      <c r="O23" s="9">
        <v>0.61570000000000003</v>
      </c>
      <c r="P23" s="9">
        <v>0.80910000000000004</v>
      </c>
      <c r="Q23" s="9"/>
      <c r="R23" s="9">
        <f t="shared" ref="R23:R56" si="0">(0.12*2500000)/1000000</f>
        <v>0.3</v>
      </c>
      <c r="S23" s="17">
        <v>1.0592999999999999</v>
      </c>
    </row>
    <row r="24" spans="1:19" ht="15" customHeight="1">
      <c r="A24" s="13">
        <v>41852</v>
      </c>
      <c r="B24" s="8">
        <f>CHOOSE( CONTROL!$C$36, 3.9193, 3.9176) * CHOOSE(CONTROL!$C$19, $D$11, 100%, $F$11)</f>
        <v>3.9192999999999998</v>
      </c>
      <c r="C24" s="8">
        <f>CHOOSE( CONTROL!$C$36, 3.9273, 3.9256) * CHOOSE(CONTROL!$C$19, $D$11, 100%, $F$11)</f>
        <v>3.9272999999999998</v>
      </c>
      <c r="D24" s="8">
        <f>CHOOSE( CONTROL!$C$36, 3.9347, 3.933) * CHOOSE( CONTROL!$C$19, $D$11, 100%, $F$11)</f>
        <v>3.9346999999999999</v>
      </c>
      <c r="E24" s="12">
        <f>CHOOSE( CONTROL!$C$36, 3.9309, 3.9292) * CHOOSE( CONTROL!$C$19, $D$11, 100%, $F$11)</f>
        <v>3.9308999999999998</v>
      </c>
      <c r="F24" s="4">
        <f>CHOOSE( CONTROL!$C$36, 4.6006, 4.599) * CHOOSE(CONTROL!$C$19, $D$11, 100%, $F$11)</f>
        <v>4.6006</v>
      </c>
      <c r="G24" s="8">
        <f>CHOOSE( CONTROL!$C$36, 3.9104, 3.9088) * CHOOSE( CONTROL!$C$19, $D$11, 100%, $F$11)</f>
        <v>3.9104000000000001</v>
      </c>
      <c r="H24" s="4">
        <f>CHOOSE( CONTROL!$C$36, 4.8103, 4.8087) * CHOOSE(CONTROL!$C$19, $D$11, 100%, $F$11)</f>
        <v>4.8102999999999998</v>
      </c>
      <c r="I24" s="8">
        <f>CHOOSE( CONTROL!$C$36, 3.9352, 3.9336) * CHOOSE(CONTROL!$C$19, $D$11, 100%, $F$11)</f>
        <v>3.9352</v>
      </c>
      <c r="J24" s="4">
        <f>CHOOSE( CONTROL!$C$36, 3.8096, 3.808) * CHOOSE(CONTROL!$C$19, $D$11, 100%, $F$11)</f>
        <v>3.8096000000000001</v>
      </c>
      <c r="K24" s="4">
        <f>CHOOSE( CONTROL!$C$36, 3.9009, 3.8993) * CHOOSE(CONTROL!$C$19, $D$11, 100%, $F$11)</f>
        <v>3.9009</v>
      </c>
      <c r="L24" s="9">
        <v>31.801500000000001</v>
      </c>
      <c r="M24" s="9">
        <v>12.063700000000001</v>
      </c>
      <c r="N24" s="9">
        <v>4.5183</v>
      </c>
      <c r="O24" s="9">
        <v>0.61570000000000003</v>
      </c>
      <c r="P24" s="9">
        <v>0.80910000000000004</v>
      </c>
      <c r="Q24" s="9"/>
      <c r="R24" s="9">
        <f t="shared" si="0"/>
        <v>0.3</v>
      </c>
      <c r="S24" s="17">
        <v>1.0592999999999999</v>
      </c>
    </row>
    <row r="25" spans="1:19" ht="15" customHeight="1">
      <c r="A25" s="13">
        <v>41883</v>
      </c>
      <c r="B25" s="8">
        <f>CHOOSE( CONTROL!$C$36, 4.0731, 4.0715) * CHOOSE(CONTROL!$C$19, $D$11, 100%, $F$11)</f>
        <v>4.0731000000000002</v>
      </c>
      <c r="C25" s="8">
        <f>CHOOSE( CONTROL!$C$36, 4.0811, 4.0795) * CHOOSE(CONTROL!$C$19, $D$11, 100%, $F$11)</f>
        <v>4.0811000000000002</v>
      </c>
      <c r="D25" s="8">
        <f>CHOOSE( CONTROL!$C$36, 4.1126, 4.111) * CHOOSE( CONTROL!$C$19, $D$11, 100%, $F$11)</f>
        <v>4.1125999999999996</v>
      </c>
      <c r="E25" s="12">
        <f>CHOOSE( CONTROL!$C$36, 4.1004, 4.0988) * CHOOSE( CONTROL!$C$19, $D$11, 100%, $F$11)</f>
        <v>4.1003999999999996</v>
      </c>
      <c r="F25" s="4">
        <f>CHOOSE( CONTROL!$C$36, 4.7855, 4.7838) * CHOOSE(CONTROL!$C$19, $D$11, 100%, $F$11)</f>
        <v>4.7854999999999999</v>
      </c>
      <c r="G25" s="8">
        <f>CHOOSE( CONTROL!$C$36, 4.085, 4.0833) * CHOOSE( CONTROL!$C$19, $D$11, 100%, $F$11)</f>
        <v>4.085</v>
      </c>
      <c r="H25" s="4">
        <f>CHOOSE( CONTROL!$C$36, 4.9926, 4.9909) * CHOOSE(CONTROL!$C$19, $D$11, 100%, $F$11)</f>
        <v>4.9926000000000004</v>
      </c>
      <c r="I25" s="8">
        <f>CHOOSE( CONTROL!$C$36, 4.0912, 4.0896) * CHOOSE(CONTROL!$C$19, $D$11, 100%, $F$11)</f>
        <v>4.0911999999999997</v>
      </c>
      <c r="J25" s="4">
        <f>CHOOSE( CONTROL!$C$36, 3.9586, 3.957) * CHOOSE(CONTROL!$C$19, $D$11, 100%, $F$11)</f>
        <v>3.9586000000000001</v>
      </c>
      <c r="K25" s="4">
        <f>CHOOSE( CONTROL!$C$36, 4.0596, 4.0579) * CHOOSE(CONTROL!$C$19, $D$11, 100%, $F$11)</f>
        <v>4.0595999999999997</v>
      </c>
      <c r="L25" s="9">
        <v>30.775700000000001</v>
      </c>
      <c r="M25" s="9">
        <v>11.6745</v>
      </c>
      <c r="N25" s="9">
        <v>4.3724999999999996</v>
      </c>
      <c r="O25" s="9">
        <v>0.59589999999999999</v>
      </c>
      <c r="P25" s="9">
        <v>0.78300000000000003</v>
      </c>
      <c r="Q25" s="9"/>
      <c r="R25" s="9">
        <f t="shared" si="0"/>
        <v>0.3</v>
      </c>
      <c r="S25" s="17">
        <v>1.0592999999999999</v>
      </c>
    </row>
    <row r="26" spans="1:19" ht="15" customHeight="1">
      <c r="A26" s="13">
        <v>41913</v>
      </c>
      <c r="B26" s="8">
        <f>CHOOSE( CONTROL!$C$36, 4.0016, 4.0006) * CHOOSE(CONTROL!$C$19, $D$11, 100%, $F$11)</f>
        <v>4.0015999999999998</v>
      </c>
      <c r="C26" s="8">
        <f>CHOOSE( CONTROL!$C$36, 4.007, 4.0059) * CHOOSE(CONTROL!$C$19, $D$11, 100%, $F$11)</f>
        <v>4.0069999999999997</v>
      </c>
      <c r="D26" s="8">
        <f>CHOOSE( CONTROL!$C$36, 4.0202, 4.0191) * CHOOSE( CONTROL!$C$19, $D$11, 100%, $F$11)</f>
        <v>4.0202</v>
      </c>
      <c r="E26" s="12">
        <f>CHOOSE( CONTROL!$C$36, 4.0153, 4.0142) * CHOOSE( CONTROL!$C$19, $D$11, 100%, $F$11)</f>
        <v>4.0152999999999999</v>
      </c>
      <c r="F26" s="4">
        <f>CHOOSE( CONTROL!$C$36, 4.6718, 4.6708) * CHOOSE(CONTROL!$C$19, $D$11, 100%, $F$11)</f>
        <v>4.6718000000000002</v>
      </c>
      <c r="G26" s="8">
        <f>CHOOSE( CONTROL!$C$36, 3.988, 3.9869) * CHOOSE( CONTROL!$C$19, $D$11, 100%, $F$11)</f>
        <v>3.988</v>
      </c>
      <c r="H26" s="4">
        <f>CHOOSE( CONTROL!$C$36, 4.8805, 4.8794) * CHOOSE(CONTROL!$C$19, $D$11, 100%, $F$11)</f>
        <v>4.8804999999999996</v>
      </c>
      <c r="I26" s="8">
        <f>CHOOSE( CONTROL!$C$36, 4.0114, 4.0103) * CHOOSE(CONTROL!$C$19, $D$11, 100%, $F$11)</f>
        <v>4.0114000000000001</v>
      </c>
      <c r="J26" s="4">
        <f>CHOOSE( CONTROL!$C$36, 3.8911, 3.89) * CHOOSE(CONTROL!$C$19, $D$11, 100%, $F$11)</f>
        <v>3.8910999999999998</v>
      </c>
      <c r="K26" s="4">
        <f>CHOOSE( CONTROL!$C$36, 3.9817, 3.9806) * CHOOSE(CONTROL!$C$19, $D$11, 100%, $F$11)</f>
        <v>3.9817</v>
      </c>
      <c r="L26" s="9">
        <v>30.661300000000001</v>
      </c>
      <c r="M26" s="9">
        <v>12.063700000000001</v>
      </c>
      <c r="N26" s="9">
        <v>4.9444999999999997</v>
      </c>
      <c r="O26" s="9">
        <v>0.61570000000000003</v>
      </c>
      <c r="P26" s="9">
        <v>0.80910000000000004</v>
      </c>
      <c r="Q26" s="9"/>
      <c r="R26" s="9">
        <f t="shared" si="0"/>
        <v>0.3</v>
      </c>
      <c r="S26" s="17">
        <v>1.0592999999999999</v>
      </c>
    </row>
    <row r="27" spans="1:19" ht="15" customHeight="1">
      <c r="A27" s="13">
        <v>41944</v>
      </c>
      <c r="B27" s="8">
        <f>CHOOSE( CONTROL!$C$36, 4.0508, 4.0497) * CHOOSE(CONTROL!$C$19, $D$11, 100%, $F$11)</f>
        <v>4.0507999999999997</v>
      </c>
      <c r="C27" s="8">
        <f>CHOOSE( CONTROL!$C$36, 4.0559, 4.0548) * CHOOSE(CONTROL!$C$19, $D$11, 100%, $F$11)</f>
        <v>4.0559000000000003</v>
      </c>
      <c r="D27" s="8">
        <f>CHOOSE( CONTROL!$C$36, 4.0648, 4.0637) * CHOOSE( CONTROL!$C$19, $D$11, 100%, $F$11)</f>
        <v>4.0648</v>
      </c>
      <c r="E27" s="12">
        <f>CHOOSE( CONTROL!$C$36, 4.061, 4.0599) * CHOOSE( CONTROL!$C$19, $D$11, 100%, $F$11)</f>
        <v>4.0609999999999999</v>
      </c>
      <c r="F27" s="4">
        <f>CHOOSE( CONTROL!$C$36, 4.7101, 4.709) * CHOOSE(CONTROL!$C$19, $D$11, 100%, $F$11)</f>
        <v>4.7100999999999997</v>
      </c>
      <c r="G27" s="8">
        <f>CHOOSE( CONTROL!$C$36, 4.0439, 4.0428) * CHOOSE( CONTROL!$C$19, $D$11, 100%, $F$11)</f>
        <v>4.0438999999999998</v>
      </c>
      <c r="H27" s="18">
        <f>CHOOSE( CONTROL!$C$36, 4.9182, 4.9171) * CHOOSE(CONTROL!$C$19, $D$11, 100%, $F$11)</f>
        <v>4.9181999999999997</v>
      </c>
      <c r="I27" s="8">
        <f>CHOOSE( CONTROL!$C$36, 4.1004, 4.0994) * CHOOSE(CONTROL!$C$19, $D$11, 100%, $F$11)</f>
        <v>4.1003999999999996</v>
      </c>
      <c r="J27" s="4">
        <f>CHOOSE( CONTROL!$C$36, 3.9391, 3.938) * CHOOSE(CONTROL!$C$19, $D$11, 100%, $F$11)</f>
        <v>3.9390999999999998</v>
      </c>
      <c r="K27" s="4">
        <f>CHOOSE( CONTROL!$C$36, 4.0349, 4.0339) * CHOOSE(CONTROL!$C$19, $D$11, 100%, $F$11)</f>
        <v>4.0349000000000004</v>
      </c>
      <c r="L27" s="9">
        <v>27.9406</v>
      </c>
      <c r="M27" s="9">
        <v>11.6745</v>
      </c>
      <c r="N27" s="9">
        <v>4.7850000000000001</v>
      </c>
      <c r="O27" s="9">
        <v>0.59589999999999999</v>
      </c>
      <c r="P27" s="9">
        <v>0</v>
      </c>
      <c r="Q27" s="9"/>
      <c r="R27" s="9">
        <f t="shared" si="0"/>
        <v>0.3</v>
      </c>
      <c r="S27" s="17">
        <v>1.0592999999999999</v>
      </c>
    </row>
    <row r="28" spans="1:19" ht="15" customHeight="1">
      <c r="A28" s="13">
        <v>41974</v>
      </c>
      <c r="B28" s="8">
        <f>CHOOSE( CONTROL!$C$36, 4.1334, 4.1323) * CHOOSE(CONTROL!$C$19, $D$11, 100%, $F$11)</f>
        <v>4.1334</v>
      </c>
      <c r="C28" s="8">
        <f>CHOOSE( CONTROL!$C$36, 4.1385, 4.1374) * CHOOSE(CONTROL!$C$19, $D$11, 100%, $F$11)</f>
        <v>4.1384999999999996</v>
      </c>
      <c r="D28" s="8">
        <f>CHOOSE( CONTROL!$C$36, 4.1479, 4.1468) * CHOOSE( CONTROL!$C$19, $D$11, 100%, $F$11)</f>
        <v>4.1478999999999999</v>
      </c>
      <c r="E28" s="12">
        <f>CHOOSE( CONTROL!$C$36, 4.1439, 4.1428) * CHOOSE( CONTROL!$C$19, $D$11, 100%, $F$11)</f>
        <v>4.1439000000000004</v>
      </c>
      <c r="F28" s="4">
        <f>CHOOSE( CONTROL!$C$36, 4.7927, 4.7916) * CHOOSE(CONTROL!$C$19, $D$11, 100%, $F$11)</f>
        <v>4.7927</v>
      </c>
      <c r="G28" s="8">
        <f>CHOOSE( CONTROL!$C$36, 4.1258, 4.1247) * CHOOSE( CONTROL!$C$19, $D$11, 100%, $F$11)</f>
        <v>4.1257999999999999</v>
      </c>
      <c r="H28" s="4">
        <f>CHOOSE( CONTROL!$C$36, 4.9997, 4.9986) * CHOOSE(CONTROL!$C$19, $D$11, 100%, $F$11)</f>
        <v>4.9996999999999998</v>
      </c>
      <c r="I28" s="8">
        <f>CHOOSE( CONTROL!$C$36, 4.1827, 4.1817) * CHOOSE(CONTROL!$C$19, $D$11, 100%, $F$11)</f>
        <v>4.1826999999999996</v>
      </c>
      <c r="J28" s="18">
        <f>CHOOSE( CONTROL!$C$36, 4.0191, 4.018) * CHOOSE(CONTROL!$C$19, $D$11, 100%, $F$11)</f>
        <v>4.0190999999999999</v>
      </c>
      <c r="K28" s="4">
        <f>CHOOSE( CONTROL!$C$36, 4.1168, 4.1158) * CHOOSE(CONTROL!$C$19, $D$11, 100%, $F$11)</f>
        <v>4.1167999999999996</v>
      </c>
      <c r="L28" s="9">
        <v>28.872</v>
      </c>
      <c r="M28" s="9">
        <v>12.063700000000001</v>
      </c>
      <c r="N28" s="9">
        <v>4.9444999999999997</v>
      </c>
      <c r="O28" s="9">
        <v>0.61570000000000003</v>
      </c>
      <c r="P28" s="9">
        <v>0</v>
      </c>
      <c r="Q28" s="9"/>
      <c r="R28" s="9">
        <f t="shared" si="0"/>
        <v>0.3</v>
      </c>
      <c r="S28" s="17">
        <v>1.0592999999999999</v>
      </c>
    </row>
    <row r="29" spans="1:19" ht="15" customHeight="1">
      <c r="A29" s="13">
        <v>42005</v>
      </c>
      <c r="B29" s="8">
        <f>CHOOSE( CONTROL!$C$36, 4.2098, 4.2088) * CHOOSE(CONTROL!$C$19, $D$11, 100%, $F$11)</f>
        <v>4.2098000000000004</v>
      </c>
      <c r="C29" s="8">
        <f>CHOOSE( CONTROL!$C$36, 4.2149, 4.2139) * CHOOSE(CONTROL!$C$19, $D$11, 100%, $F$11)</f>
        <v>4.2149000000000001</v>
      </c>
      <c r="D29" s="8">
        <f>CHOOSE( CONTROL!$C$36, 4.2247, 4.2237) * CHOOSE( CONTROL!$C$19, $D$11, 100%, $F$11)</f>
        <v>4.2247000000000003</v>
      </c>
      <c r="E29" s="12">
        <f>CHOOSE( CONTROL!$C$36, 4.2206, 4.2196) * CHOOSE( CONTROL!$C$19, $D$11, 100%, $F$11)</f>
        <v>4.2206000000000001</v>
      </c>
      <c r="F29" s="4">
        <f>CHOOSE( CONTROL!$C$36, 4.8691, 4.868) * CHOOSE(CONTROL!$C$19, $D$11, 100%, $F$11)</f>
        <v>4.8691000000000004</v>
      </c>
      <c r="G29" s="8">
        <f>CHOOSE( CONTROL!$C$36, 4.2016, 4.2005) * CHOOSE( CONTROL!$C$19, $D$11, 100%, $F$11)</f>
        <v>4.2016</v>
      </c>
      <c r="H29" s="4">
        <f>CHOOSE( CONTROL!$C$36, 5.075, 5.0739) * CHOOSE(CONTROL!$C$19, $D$11, 100%, $F$11)</f>
        <v>5.0750000000000002</v>
      </c>
      <c r="I29" s="8">
        <f>CHOOSE( CONTROL!$C$36, 4.2589, 4.2579) * CHOOSE(CONTROL!$C$19, $D$11, 100%, $F$11)</f>
        <v>4.2588999999999997</v>
      </c>
      <c r="J29" s="4">
        <f>CHOOSE( CONTROL!$C$36, 4.0931, 4.092) * CHOOSE(CONTROL!$C$19, $D$11, 100%, $F$11)</f>
        <v>4.0930999999999997</v>
      </c>
      <c r="K29" s="4">
        <f>CHOOSE( CONTROL!$C$36, 4.1926, 4.1915) * CHOOSE(CONTROL!$C$19, $D$11, 100%, $F$11)</f>
        <v>4.1925999999999997</v>
      </c>
      <c r="L29" s="9">
        <v>28.872</v>
      </c>
      <c r="M29" s="9">
        <v>12.063700000000001</v>
      </c>
      <c r="N29" s="9">
        <v>4.9444999999999997</v>
      </c>
      <c r="O29" s="9">
        <v>0.61570000000000003</v>
      </c>
      <c r="P29" s="9">
        <v>0</v>
      </c>
      <c r="Q29" s="9"/>
      <c r="R29" s="9">
        <f t="shared" si="0"/>
        <v>0.3</v>
      </c>
      <c r="S29" s="17">
        <v>1.0592999999999999</v>
      </c>
    </row>
    <row r="30" spans="1:19" ht="15" customHeight="1">
      <c r="A30" s="13">
        <v>42036</v>
      </c>
      <c r="B30" s="8">
        <f>CHOOSE( CONTROL!$C$36, 4.1954, 4.1943) * CHOOSE(CONTROL!$C$19, $D$11, 100%, $F$11)</f>
        <v>4.1954000000000002</v>
      </c>
      <c r="C30" s="8">
        <f>CHOOSE( CONTROL!$C$36, 4.2005, 4.1994) * CHOOSE(CONTROL!$C$19, $D$11, 100%, $F$11)</f>
        <v>4.2004999999999999</v>
      </c>
      <c r="D30" s="8">
        <f>CHOOSE( CONTROL!$C$36, 4.2102, 4.2091) * CHOOSE( CONTROL!$C$19, $D$11, 100%, $F$11)</f>
        <v>4.2102000000000004</v>
      </c>
      <c r="E30" s="12">
        <f>CHOOSE( CONTROL!$C$36, 4.2061, 4.205) * CHOOSE( CONTROL!$C$19, $D$11, 100%, $F$11)</f>
        <v>4.2061000000000002</v>
      </c>
      <c r="F30" s="4">
        <f>CHOOSE( CONTROL!$C$36, 4.8546, 4.8536) * CHOOSE(CONTROL!$C$19, $D$11, 100%, $F$11)</f>
        <v>4.8545999999999996</v>
      </c>
      <c r="G30" s="8">
        <f>CHOOSE( CONTROL!$C$36, 4.1872, 4.1862) * CHOOSE( CONTROL!$C$19, $D$11, 100%, $F$11)</f>
        <v>4.1871999999999998</v>
      </c>
      <c r="H30" s="4">
        <f>CHOOSE( CONTROL!$C$36, 5.0608, 5.0597) * CHOOSE(CONTROL!$C$19, $D$11, 100%, $F$11)</f>
        <v>5.0608000000000004</v>
      </c>
      <c r="I30" s="8">
        <f>CHOOSE( CONTROL!$C$36, 4.2445, 4.2435) * CHOOSE(CONTROL!$C$19, $D$11, 100%, $F$11)</f>
        <v>4.2445000000000004</v>
      </c>
      <c r="J30" s="4">
        <f>CHOOSE( CONTROL!$C$36, 4.0791, 4.078) * CHOOSE(CONTROL!$C$19, $D$11, 100%, $F$11)</f>
        <v>4.0791000000000004</v>
      </c>
      <c r="K30" s="4">
        <f>CHOOSE( CONTROL!$C$36, 4.1782, 4.1772) * CHOOSE(CONTROL!$C$19, $D$11, 100%, $F$11)</f>
        <v>4.1782000000000004</v>
      </c>
      <c r="L30" s="9">
        <v>26.0779</v>
      </c>
      <c r="M30" s="9">
        <v>10.8962</v>
      </c>
      <c r="N30" s="9">
        <v>4.4660000000000002</v>
      </c>
      <c r="O30" s="9">
        <v>0.55610000000000004</v>
      </c>
      <c r="P30" s="9">
        <v>0</v>
      </c>
      <c r="Q30" s="9"/>
      <c r="R30" s="9">
        <f t="shared" si="0"/>
        <v>0.3</v>
      </c>
      <c r="S30" s="17">
        <v>1.0592999999999999</v>
      </c>
    </row>
    <row r="31" spans="1:19" ht="15" customHeight="1">
      <c r="A31" s="13">
        <v>42064</v>
      </c>
      <c r="B31" s="8">
        <f>CHOOSE( CONTROL!$C$36, 4.1241, 4.123) * CHOOSE(CONTROL!$C$19, $D$11, 100%, $F$11)</f>
        <v>4.1241000000000003</v>
      </c>
      <c r="C31" s="8">
        <f>CHOOSE( CONTROL!$C$36, 4.1292, 4.1281) * CHOOSE(CONTROL!$C$19, $D$11, 100%, $F$11)</f>
        <v>4.1292</v>
      </c>
      <c r="D31" s="8">
        <f>CHOOSE( CONTROL!$C$36, 4.1385, 4.1375) * CHOOSE( CONTROL!$C$19, $D$11, 100%, $F$11)</f>
        <v>4.1384999999999996</v>
      </c>
      <c r="E31" s="12">
        <f>CHOOSE( CONTROL!$C$36, 4.1346, 4.1335) * CHOOSE( CONTROL!$C$19, $D$11, 100%, $F$11)</f>
        <v>4.1345999999999998</v>
      </c>
      <c r="F31" s="4">
        <f>CHOOSE( CONTROL!$C$36, 4.7834, 4.7823) * CHOOSE(CONTROL!$C$19, $D$11, 100%, $F$11)</f>
        <v>4.7834000000000003</v>
      </c>
      <c r="G31" s="8">
        <f>CHOOSE( CONTROL!$C$36, 4.1166, 4.1155) * CHOOSE( CONTROL!$C$19, $D$11, 100%, $F$11)</f>
        <v>4.1166</v>
      </c>
      <c r="H31" s="4">
        <f>CHOOSE( CONTROL!$C$36, 4.9905, 4.9894) * CHOOSE(CONTROL!$C$19, $D$11, 100%, $F$11)</f>
        <v>4.9904999999999999</v>
      </c>
      <c r="I31" s="8">
        <f>CHOOSE( CONTROL!$C$36, 4.1735, 4.1724) * CHOOSE(CONTROL!$C$19, $D$11, 100%, $F$11)</f>
        <v>4.1734999999999998</v>
      </c>
      <c r="J31" s="4">
        <f>CHOOSE( CONTROL!$C$36, 4.0101, 4.009) * CHOOSE(CONTROL!$C$19, $D$11, 100%, $F$11)</f>
        <v>4.0101000000000004</v>
      </c>
      <c r="K31" s="4">
        <f>CHOOSE( CONTROL!$C$36, 4.1076, 4.1065) * CHOOSE(CONTROL!$C$19, $D$11, 100%, $F$11)</f>
        <v>4.1075999999999997</v>
      </c>
      <c r="L31" s="9">
        <v>28.872</v>
      </c>
      <c r="M31" s="9">
        <v>12.063700000000001</v>
      </c>
      <c r="N31" s="9">
        <v>4.9444999999999997</v>
      </c>
      <c r="O31" s="9">
        <v>0.61570000000000003</v>
      </c>
      <c r="P31" s="9">
        <v>0</v>
      </c>
      <c r="Q31" s="9"/>
      <c r="R31" s="9">
        <f t="shared" si="0"/>
        <v>0.3</v>
      </c>
      <c r="S31" s="17">
        <v>1.0592999999999999</v>
      </c>
    </row>
    <row r="32" spans="1:19" ht="15" customHeight="1">
      <c r="A32" s="13">
        <v>42095</v>
      </c>
      <c r="B32" s="8">
        <f>CHOOSE( CONTROL!$C$36, 3.8987, 3.8976) * CHOOSE(CONTROL!$C$19, $D$11, 100%, $F$11)</f>
        <v>3.8986999999999998</v>
      </c>
      <c r="C32" s="8">
        <f>CHOOSE( CONTROL!$C$36, 3.9033, 3.9022) * CHOOSE(CONTROL!$C$19, $D$11, 100%, $F$11)</f>
        <v>3.9033000000000002</v>
      </c>
      <c r="D32" s="8">
        <f>CHOOSE( CONTROL!$C$36, 3.904, 3.9029) * CHOOSE( CONTROL!$C$19, $D$11, 100%, $F$11)</f>
        <v>3.9039999999999999</v>
      </c>
      <c r="E32" s="12">
        <f>CHOOSE( CONTROL!$C$36, 3.9032, 3.9021) * CHOOSE( CONTROL!$C$19, $D$11, 100%, $F$11)</f>
        <v>3.9032</v>
      </c>
      <c r="F32" s="4">
        <f>CHOOSE( CONTROL!$C$36, 4.6331, 4.632) * CHOOSE(CONTROL!$C$19, $D$11, 100%, $F$11)</f>
        <v>4.6330999999999998</v>
      </c>
      <c r="G32" s="8">
        <f>CHOOSE( CONTROL!$C$36, 3.8767, 3.8757) * CHOOSE( CONTROL!$C$19, $D$11, 100%, $F$11)</f>
        <v>3.8767</v>
      </c>
      <c r="H32" s="4">
        <f>CHOOSE( CONTROL!$C$36, 4.8423, 4.8413) * CHOOSE(CONTROL!$C$19, $D$11, 100%, $F$11)</f>
        <v>4.8422999999999998</v>
      </c>
      <c r="I32" s="8">
        <f>CHOOSE( CONTROL!$C$36, 3.9239, 3.9228) * CHOOSE(CONTROL!$C$19, $D$11, 100%, $F$11)</f>
        <v>3.9239000000000002</v>
      </c>
      <c r="J32" s="4">
        <f>CHOOSE( CONTROL!$C$36, 3.7911, 3.79) * CHOOSE(CONTROL!$C$19, $D$11, 100%, $F$11)</f>
        <v>3.7911000000000001</v>
      </c>
      <c r="K32" s="4">
        <f>CHOOSE( CONTROL!$C$36, 3.8666, 3.8655) * CHOOSE(CONTROL!$C$19, $D$11, 100%, $F$11)</f>
        <v>3.8666</v>
      </c>
      <c r="L32" s="9">
        <v>30.092199999999998</v>
      </c>
      <c r="M32" s="9">
        <v>11.6745</v>
      </c>
      <c r="N32" s="9">
        <v>4.7850000000000001</v>
      </c>
      <c r="O32" s="9">
        <v>0.59589999999999999</v>
      </c>
      <c r="P32" s="9">
        <v>2.0339999999999998</v>
      </c>
      <c r="Q32" s="9"/>
      <c r="R32" s="9">
        <f t="shared" si="0"/>
        <v>0.3</v>
      </c>
      <c r="S32" s="17">
        <v>1.0592999999999999</v>
      </c>
    </row>
    <row r="33" spans="1:19" ht="15" customHeight="1">
      <c r="A33" s="13">
        <v>42125</v>
      </c>
      <c r="B33" s="8">
        <f>CHOOSE( CONTROL!$C$36, 3.8862, 3.8845) * CHOOSE(CONTROL!$C$19, $D$11, 100%, $F$11)</f>
        <v>3.8862000000000001</v>
      </c>
      <c r="C33" s="8">
        <f>CHOOSE( CONTROL!$C$36, 3.8942, 3.8925) * CHOOSE(CONTROL!$C$19, $D$11, 100%, $F$11)</f>
        <v>3.8942000000000001</v>
      </c>
      <c r="D33" s="8">
        <f>CHOOSE( CONTROL!$C$36, 3.8848, 3.8832) * CHOOSE( CONTROL!$C$19, $D$11, 100%, $F$11)</f>
        <v>3.8847999999999998</v>
      </c>
      <c r="E33" s="12">
        <f>CHOOSE( CONTROL!$C$36, 3.8869, 3.8853) * CHOOSE( CONTROL!$C$19, $D$11, 100%, $F$11)</f>
        <v>3.8868999999999998</v>
      </c>
      <c r="F33" s="4">
        <f>CHOOSE( CONTROL!$C$36, 4.6192, 4.6176) * CHOOSE(CONTROL!$C$19, $D$11, 100%, $F$11)</f>
        <v>4.6192000000000002</v>
      </c>
      <c r="G33" s="8">
        <f>CHOOSE( CONTROL!$C$36, 3.8759, 3.8742) * CHOOSE( CONTROL!$C$19, $D$11, 100%, $F$11)</f>
        <v>3.8759000000000001</v>
      </c>
      <c r="H33" s="4">
        <f>CHOOSE( CONTROL!$C$36, 4.8286, 4.827) * CHOOSE(CONTROL!$C$19, $D$11, 100%, $F$11)</f>
        <v>4.8285999999999998</v>
      </c>
      <c r="I33" s="8">
        <f>CHOOSE( CONTROL!$C$36, 3.91, 3.9084) * CHOOSE(CONTROL!$C$19, $D$11, 100%, $F$11)</f>
        <v>3.91</v>
      </c>
      <c r="J33" s="4">
        <f>CHOOSE( CONTROL!$C$36, 3.7776, 3.776) * CHOOSE(CONTROL!$C$19, $D$11, 100%, $F$11)</f>
        <v>3.7776000000000001</v>
      </c>
      <c r="K33" s="4">
        <f>CHOOSE( CONTROL!$C$36, 3.8528, 3.8512) * CHOOSE(CONTROL!$C$19, $D$11, 100%, $F$11)</f>
        <v>3.8527999999999998</v>
      </c>
      <c r="L33" s="9">
        <v>32.235500000000002</v>
      </c>
      <c r="M33" s="9">
        <v>12.063700000000001</v>
      </c>
      <c r="N33" s="9">
        <v>4.5183</v>
      </c>
      <c r="O33" s="9">
        <v>0.61570000000000003</v>
      </c>
      <c r="P33" s="9">
        <v>2.1017999999999999</v>
      </c>
      <c r="Q33" s="9"/>
      <c r="R33" s="9">
        <f t="shared" si="0"/>
        <v>0.3</v>
      </c>
      <c r="S33" s="17">
        <v>1.0592999999999999</v>
      </c>
    </row>
    <row r="34" spans="1:19" ht="15" customHeight="1">
      <c r="A34" s="13">
        <v>42156</v>
      </c>
      <c r="B34" s="8">
        <f>CHOOSE( CONTROL!$C$36, 3.91, 3.9083) * CHOOSE(CONTROL!$C$19, $D$11, 100%, $F$11)</f>
        <v>3.91</v>
      </c>
      <c r="C34" s="8">
        <f>CHOOSE( CONTROL!$C$36, 3.918, 3.9163) * CHOOSE(CONTROL!$C$19, $D$11, 100%, $F$11)</f>
        <v>3.9180000000000001</v>
      </c>
      <c r="D34" s="8">
        <f>CHOOSE( CONTROL!$C$36, 3.9088, 3.9071) * CHOOSE( CONTROL!$C$19, $D$11, 100%, $F$11)</f>
        <v>3.9087999999999998</v>
      </c>
      <c r="E34" s="12">
        <f>CHOOSE( CONTROL!$C$36, 3.9108, 3.9091) * CHOOSE( CONTROL!$C$19, $D$11, 100%, $F$11)</f>
        <v>3.9108000000000001</v>
      </c>
      <c r="F34" s="4">
        <f>CHOOSE( CONTROL!$C$36, 4.643, 4.6413) * CHOOSE(CONTROL!$C$19, $D$11, 100%, $F$11)</f>
        <v>4.6429999999999998</v>
      </c>
      <c r="G34" s="8">
        <f>CHOOSE( CONTROL!$C$36, 3.8995, 3.8979) * CHOOSE( CONTROL!$C$19, $D$11, 100%, $F$11)</f>
        <v>3.8995000000000002</v>
      </c>
      <c r="H34" s="4">
        <f>CHOOSE( CONTROL!$C$36, 4.8521, 4.8504) * CHOOSE(CONTROL!$C$19, $D$11, 100%, $F$11)</f>
        <v>4.8521000000000001</v>
      </c>
      <c r="I34" s="8">
        <f>CHOOSE( CONTROL!$C$36, 3.9337, 3.9321) * CHOOSE(CONTROL!$C$19, $D$11, 100%, $F$11)</f>
        <v>3.9337</v>
      </c>
      <c r="J34" s="4">
        <f>CHOOSE( CONTROL!$C$36, 3.8006, 3.799) * CHOOSE(CONTROL!$C$19, $D$11, 100%, $F$11)</f>
        <v>3.8006000000000002</v>
      </c>
      <c r="K34" s="4">
        <f>CHOOSE( CONTROL!$C$36, 3.8764, 3.8747) * CHOOSE(CONTROL!$C$19, $D$11, 100%, $F$11)</f>
        <v>3.8763999999999998</v>
      </c>
      <c r="L34" s="9">
        <v>31.195699999999999</v>
      </c>
      <c r="M34" s="9">
        <v>11.6745</v>
      </c>
      <c r="N34" s="9">
        <v>4.3724999999999996</v>
      </c>
      <c r="O34" s="9">
        <v>0.59589999999999999</v>
      </c>
      <c r="P34" s="9">
        <v>2.0339999999999998</v>
      </c>
      <c r="Q34" s="9"/>
      <c r="R34" s="9">
        <f t="shared" si="0"/>
        <v>0.3</v>
      </c>
      <c r="S34" s="16">
        <v>1.0722</v>
      </c>
    </row>
    <row r="35" spans="1:19" ht="15" customHeight="1">
      <c r="A35" s="13">
        <v>42186</v>
      </c>
      <c r="B35" s="8">
        <f>CHOOSE( CONTROL!$C$36, 3.9399, 3.9382) * CHOOSE(CONTROL!$C$19, $D$11, 100%, $F$11)</f>
        <v>3.9399000000000002</v>
      </c>
      <c r="C35" s="8">
        <f>CHOOSE( CONTROL!$C$36, 3.9479, 3.9462) * CHOOSE(CONTROL!$C$19, $D$11, 100%, $F$11)</f>
        <v>3.9479000000000002</v>
      </c>
      <c r="D35" s="8">
        <f>CHOOSE( CONTROL!$C$36, 3.939, 3.9374) * CHOOSE( CONTROL!$C$19, $D$11, 100%, $F$11)</f>
        <v>3.9390000000000001</v>
      </c>
      <c r="E35" s="12">
        <f>CHOOSE( CONTROL!$C$36, 3.9409, 3.9393) * CHOOSE( CONTROL!$C$19, $D$11, 100%, $F$11)</f>
        <v>3.9409000000000001</v>
      </c>
      <c r="F35" s="4">
        <f>CHOOSE( CONTROL!$C$36, 4.6729, 4.6713) * CHOOSE(CONTROL!$C$19, $D$11, 100%, $F$11)</f>
        <v>4.6729000000000003</v>
      </c>
      <c r="G35" s="8">
        <f>CHOOSE( CONTROL!$C$36, 3.9293, 3.9276) * CHOOSE( CONTROL!$C$19, $D$11, 100%, $F$11)</f>
        <v>3.9293</v>
      </c>
      <c r="H35" s="4">
        <f>CHOOSE( CONTROL!$C$36, 4.8816, 4.8799) * CHOOSE(CONTROL!$C$19, $D$11, 100%, $F$11)</f>
        <v>4.8815999999999997</v>
      </c>
      <c r="I35" s="8">
        <f>CHOOSE( CONTROL!$C$36, 3.9635, 3.9619) * CHOOSE(CONTROL!$C$19, $D$11, 100%, $F$11)</f>
        <v>3.9634999999999998</v>
      </c>
      <c r="J35" s="4">
        <f>CHOOSE( CONTROL!$C$36, 3.8296, 3.828) * CHOOSE(CONTROL!$C$19, $D$11, 100%, $F$11)</f>
        <v>3.8296000000000001</v>
      </c>
      <c r="K35" s="4">
        <f>CHOOSE( CONTROL!$C$36, 3.906, 3.9044) * CHOOSE(CONTROL!$C$19, $D$11, 100%, $F$11)</f>
        <v>3.9060000000000001</v>
      </c>
      <c r="L35" s="9">
        <v>32.235500000000002</v>
      </c>
      <c r="M35" s="9">
        <v>12.063700000000001</v>
      </c>
      <c r="N35" s="9">
        <v>4.5183</v>
      </c>
      <c r="O35" s="9">
        <v>0.61570000000000003</v>
      </c>
      <c r="P35" s="9">
        <v>2.1017999999999999</v>
      </c>
      <c r="Q35" s="9"/>
      <c r="R35" s="9">
        <f t="shared" si="0"/>
        <v>0.3</v>
      </c>
      <c r="S35" s="15">
        <v>1.0738000000000001</v>
      </c>
    </row>
    <row r="36" spans="1:19" ht="15" customHeight="1">
      <c r="A36" s="13">
        <v>42217</v>
      </c>
      <c r="B36" s="8">
        <f>CHOOSE( CONTROL!$C$36, 3.9471, 3.9455) * CHOOSE(CONTROL!$C$19, $D$11, 100%, $F$11)</f>
        <v>3.9470999999999998</v>
      </c>
      <c r="C36" s="8">
        <f>CHOOSE( CONTROL!$C$36, 3.9551, 3.9535) * CHOOSE(CONTROL!$C$19, $D$11, 100%, $F$11)</f>
        <v>3.9550999999999998</v>
      </c>
      <c r="D36" s="8">
        <f>CHOOSE( CONTROL!$C$36, 3.9463, 3.9447) * CHOOSE( CONTROL!$C$19, $D$11, 100%, $F$11)</f>
        <v>3.9462999999999999</v>
      </c>
      <c r="E36" s="12">
        <f>CHOOSE( CONTROL!$C$36, 3.9482, 3.9466) * CHOOSE( CONTROL!$C$19, $D$11, 100%, $F$11)</f>
        <v>3.9481999999999999</v>
      </c>
      <c r="F36" s="4">
        <f>CHOOSE( CONTROL!$C$36, 4.6802, 4.6785) * CHOOSE(CONTROL!$C$19, $D$11, 100%, $F$11)</f>
        <v>4.6802000000000001</v>
      </c>
      <c r="G36" s="8">
        <f>CHOOSE( CONTROL!$C$36, 3.9364, 3.9348) * CHOOSE( CONTROL!$C$19, $D$11, 100%, $F$11)</f>
        <v>3.9363999999999999</v>
      </c>
      <c r="H36" s="4">
        <f>CHOOSE( CONTROL!$C$36, 4.8887, 4.8871) * CHOOSE(CONTROL!$C$19, $D$11, 100%, $F$11)</f>
        <v>4.8887</v>
      </c>
      <c r="I36" s="8">
        <f>CHOOSE( CONTROL!$C$36, 3.9708, 3.9691) * CHOOSE(CONTROL!$C$19, $D$11, 100%, $F$11)</f>
        <v>3.9708000000000001</v>
      </c>
      <c r="J36" s="4">
        <f>CHOOSE( CONTROL!$C$36, 3.8366, 3.835) * CHOOSE(CONTROL!$C$19, $D$11, 100%, $F$11)</f>
        <v>3.8365999999999998</v>
      </c>
      <c r="K36" s="4">
        <f>CHOOSE( CONTROL!$C$36, 3.9132, 3.9116) * CHOOSE(CONTROL!$C$19, $D$11, 100%, $F$11)</f>
        <v>3.9131999999999998</v>
      </c>
      <c r="L36" s="9">
        <v>32.235500000000002</v>
      </c>
      <c r="M36" s="9">
        <v>12.063700000000001</v>
      </c>
      <c r="N36" s="9">
        <v>4.5183</v>
      </c>
      <c r="O36" s="9">
        <v>0.61570000000000003</v>
      </c>
      <c r="P36" s="9">
        <v>2.1017999999999999</v>
      </c>
      <c r="Q36" s="9"/>
      <c r="R36" s="9">
        <f t="shared" si="0"/>
        <v>0.3</v>
      </c>
      <c r="S36" s="15">
        <v>1.0738000000000001</v>
      </c>
    </row>
    <row r="37" spans="1:19" ht="15" customHeight="1">
      <c r="A37" s="13">
        <v>42248</v>
      </c>
      <c r="B37" s="8">
        <f>CHOOSE( CONTROL!$C$36, 3.9347, 3.9331) * CHOOSE(CONTROL!$C$19, $D$11, 100%, $F$11)</f>
        <v>3.9346999999999999</v>
      </c>
      <c r="C37" s="8">
        <f>CHOOSE( CONTROL!$C$36, 3.9427, 3.9411) * CHOOSE(CONTROL!$C$19, $D$11, 100%, $F$11)</f>
        <v>3.9426999999999999</v>
      </c>
      <c r="D37" s="8">
        <f>CHOOSE( CONTROL!$C$36, 3.9338, 3.9321) * CHOOSE( CONTROL!$C$19, $D$11, 100%, $F$11)</f>
        <v>3.9338000000000002</v>
      </c>
      <c r="E37" s="12">
        <f>CHOOSE( CONTROL!$C$36, 3.9357, 3.9341) * CHOOSE( CONTROL!$C$19, $D$11, 100%, $F$11)</f>
        <v>3.9357000000000002</v>
      </c>
      <c r="F37" s="4">
        <f>CHOOSE( CONTROL!$C$36, 4.6678, 4.6661) * CHOOSE(CONTROL!$C$19, $D$11, 100%, $F$11)</f>
        <v>4.6677999999999997</v>
      </c>
      <c r="G37" s="8">
        <f>CHOOSE( CONTROL!$C$36, 3.9241, 3.9225) * CHOOSE( CONTROL!$C$19, $D$11, 100%, $F$11)</f>
        <v>3.9241000000000001</v>
      </c>
      <c r="H37" s="4">
        <f>CHOOSE( CONTROL!$C$36, 4.8765, 4.8749) * CHOOSE(CONTROL!$C$19, $D$11, 100%, $F$11)</f>
        <v>4.8765000000000001</v>
      </c>
      <c r="I37" s="8">
        <f>CHOOSE( CONTROL!$C$36, 3.9584, 3.9568) * CHOOSE(CONTROL!$C$19, $D$11, 100%, $F$11)</f>
        <v>3.9584000000000001</v>
      </c>
      <c r="J37" s="4">
        <f>CHOOSE( CONTROL!$C$36, 3.8246, 3.823) * CHOOSE(CONTROL!$C$19, $D$11, 100%, $F$11)</f>
        <v>3.8246000000000002</v>
      </c>
      <c r="K37" s="4">
        <f>CHOOSE( CONTROL!$C$36, 3.9009, 3.8993) * CHOOSE(CONTROL!$C$19, $D$11, 100%, $F$11)</f>
        <v>3.9009</v>
      </c>
      <c r="L37" s="9">
        <v>31.195699999999999</v>
      </c>
      <c r="M37" s="9">
        <v>11.6745</v>
      </c>
      <c r="N37" s="9">
        <v>4.3724999999999996</v>
      </c>
      <c r="O37" s="9">
        <v>0.59589999999999999</v>
      </c>
      <c r="P37" s="9">
        <v>2.0339999999999998</v>
      </c>
      <c r="Q37" s="9"/>
      <c r="R37" s="9">
        <f t="shared" si="0"/>
        <v>0.3</v>
      </c>
      <c r="S37" s="15">
        <v>1.0738000000000001</v>
      </c>
    </row>
    <row r="38" spans="1:19" ht="15" customHeight="1">
      <c r="A38" s="13">
        <v>42278</v>
      </c>
      <c r="B38" s="8">
        <f>CHOOSE( CONTROL!$C$36, 3.9696, 3.9685) * CHOOSE(CONTROL!$C$19, $D$11, 100%, $F$11)</f>
        <v>3.9695999999999998</v>
      </c>
      <c r="C38" s="8">
        <f>CHOOSE( CONTROL!$C$36, 3.975, 3.9739) * CHOOSE(CONTROL!$C$19, $D$11, 100%, $F$11)</f>
        <v>3.9750000000000001</v>
      </c>
      <c r="D38" s="8">
        <f>CHOOSE( CONTROL!$C$36, 3.9569, 3.9558) * CHOOSE( CONTROL!$C$19, $D$11, 100%, $F$11)</f>
        <v>3.9569000000000001</v>
      </c>
      <c r="E38" s="12">
        <f>CHOOSE( CONTROL!$C$36, 3.9623, 3.9612) * CHOOSE( CONTROL!$C$19, $D$11, 100%, $F$11)</f>
        <v>3.9622999999999999</v>
      </c>
      <c r="F38" s="4">
        <f>CHOOSE( CONTROL!$C$36, 4.7044, 4.7033) * CHOOSE(CONTROL!$C$19, $D$11, 100%, $F$11)</f>
        <v>4.7043999999999997</v>
      </c>
      <c r="G38" s="8">
        <f>CHOOSE( CONTROL!$C$36, 3.9722, 3.9712) * CHOOSE( CONTROL!$C$19, $D$11, 100%, $F$11)</f>
        <v>3.9722</v>
      </c>
      <c r="H38" s="4">
        <f>CHOOSE( CONTROL!$C$36, 4.9126, 4.9115) * CHOOSE(CONTROL!$C$19, $D$11, 100%, $F$11)</f>
        <v>4.9126000000000003</v>
      </c>
      <c r="I38" s="8">
        <f>CHOOSE( CONTROL!$C$36, 3.9949, 3.9938) * CHOOSE(CONTROL!$C$19, $D$11, 100%, $F$11)</f>
        <v>3.9948999999999999</v>
      </c>
      <c r="J38" s="4">
        <f>CHOOSE( CONTROL!$C$36, 3.8601, 3.859) * CHOOSE(CONTROL!$C$19, $D$11, 100%, $F$11)</f>
        <v>3.8601000000000001</v>
      </c>
      <c r="K38" s="4">
        <f>CHOOSE( CONTROL!$C$36, 3.9372, 3.9361) * CHOOSE(CONTROL!$C$19, $D$11, 100%, $F$11)</f>
        <v>3.9371999999999998</v>
      </c>
      <c r="L38" s="9">
        <v>31.095300000000002</v>
      </c>
      <c r="M38" s="9">
        <v>12.063700000000001</v>
      </c>
      <c r="N38" s="9">
        <v>4.9444999999999997</v>
      </c>
      <c r="O38" s="9">
        <v>0.61570000000000003</v>
      </c>
      <c r="P38" s="9">
        <v>2.1017999999999999</v>
      </c>
      <c r="Q38" s="9"/>
      <c r="R38" s="9">
        <f t="shared" si="0"/>
        <v>0.3</v>
      </c>
      <c r="S38" s="15">
        <v>1.0738000000000001</v>
      </c>
    </row>
    <row r="39" spans="1:19" ht="15" customHeight="1">
      <c r="A39" s="13">
        <v>42309</v>
      </c>
      <c r="B39" s="8">
        <f>CHOOSE( CONTROL!$C$36, 4.0694, 4.0683) * CHOOSE(CONTROL!$C$19, $D$11, 100%, $F$11)</f>
        <v>4.0693999999999999</v>
      </c>
      <c r="C39" s="8">
        <f>CHOOSE( CONTROL!$C$36, 4.0745, 4.0734) * CHOOSE(CONTROL!$C$19, $D$11, 100%, $F$11)</f>
        <v>4.0744999999999996</v>
      </c>
      <c r="D39" s="8">
        <f>CHOOSE( CONTROL!$C$36, 4.0565, 4.0554) * CHOOSE( CONTROL!$C$19, $D$11, 100%, $F$11)</f>
        <v>4.0564999999999998</v>
      </c>
      <c r="E39" s="12">
        <f>CHOOSE( CONTROL!$C$36, 4.0625, 4.0614) * CHOOSE( CONTROL!$C$19, $D$11, 100%, $F$11)</f>
        <v>4.0625</v>
      </c>
      <c r="F39" s="4">
        <f>CHOOSE( CONTROL!$C$36, 4.7286, 4.7276) * CHOOSE(CONTROL!$C$19, $D$11, 100%, $F$11)</f>
        <v>4.7286000000000001</v>
      </c>
      <c r="G39" s="8">
        <f>CHOOSE( CONTROL!$C$36, 4.0472, 4.0462) * CHOOSE( CONTROL!$C$19, $D$11, 100%, $F$11)</f>
        <v>4.0472000000000001</v>
      </c>
      <c r="H39" s="4">
        <f>CHOOSE( CONTROL!$C$36, 4.9365, 4.9354) * CHOOSE(CONTROL!$C$19, $D$11, 100%, $F$11)</f>
        <v>4.9364999999999997</v>
      </c>
      <c r="I39" s="8">
        <f>CHOOSE( CONTROL!$C$36, 4.1411, 4.14) * CHOOSE(CONTROL!$C$19, $D$11, 100%, $F$11)</f>
        <v>4.1410999999999998</v>
      </c>
      <c r="J39" s="4">
        <f>CHOOSE( CONTROL!$C$36, 3.9571, 3.956) * CHOOSE(CONTROL!$C$19, $D$11, 100%, $F$11)</f>
        <v>3.9571000000000001</v>
      </c>
      <c r="K39" s="4">
        <f>CHOOSE( CONTROL!$C$36, 4.0467, 4.0456) * CHOOSE(CONTROL!$C$19, $D$11, 100%, $F$11)</f>
        <v>4.0467000000000004</v>
      </c>
      <c r="L39" s="9">
        <v>28.360600000000002</v>
      </c>
      <c r="M39" s="9">
        <v>11.6745</v>
      </c>
      <c r="N39" s="9">
        <v>4.7850000000000001</v>
      </c>
      <c r="O39" s="9">
        <v>0.59589999999999999</v>
      </c>
      <c r="P39" s="9">
        <v>1.1791</v>
      </c>
      <c r="Q39" s="9"/>
      <c r="R39" s="9">
        <f t="shared" si="0"/>
        <v>0.3</v>
      </c>
      <c r="S39" s="15">
        <v>1.0738000000000001</v>
      </c>
    </row>
    <row r="40" spans="1:19" ht="15" customHeight="1">
      <c r="A40" s="13">
        <v>42339</v>
      </c>
      <c r="B40" s="8">
        <f>CHOOSE( CONTROL!$C$36, 4.2233, 4.2222) * CHOOSE(CONTROL!$C$19, $D$11, 100%, $F$11)</f>
        <v>4.2233000000000001</v>
      </c>
      <c r="C40" s="8">
        <f>CHOOSE( CONTROL!$C$36, 4.2284, 4.2273) * CHOOSE(CONTROL!$C$19, $D$11, 100%, $F$11)</f>
        <v>4.2283999999999997</v>
      </c>
      <c r="D40" s="8">
        <f>CHOOSE( CONTROL!$C$36, 4.2117, 4.2107) * CHOOSE( CONTROL!$C$19, $D$11, 100%, $F$11)</f>
        <v>4.2117000000000004</v>
      </c>
      <c r="E40" s="12">
        <f>CHOOSE( CONTROL!$C$36, 4.2173, 4.2162) * CHOOSE( CONTROL!$C$19, $D$11, 100%, $F$11)</f>
        <v>4.2172999999999998</v>
      </c>
      <c r="F40" s="4">
        <f>CHOOSE( CONTROL!$C$36, 4.8825, 4.8814) * CHOOSE(CONTROL!$C$19, $D$11, 100%, $F$11)</f>
        <v>4.8825000000000003</v>
      </c>
      <c r="G40" s="8">
        <f>CHOOSE( CONTROL!$C$36, 4.1999, 4.1989) * CHOOSE( CONTROL!$C$19, $D$11, 100%, $F$11)</f>
        <v>4.1999000000000004</v>
      </c>
      <c r="H40" s="4">
        <f>CHOOSE( CONTROL!$C$36, 5.0883, 5.0872) * CHOOSE(CONTROL!$C$19, $D$11, 100%, $F$11)</f>
        <v>5.0883000000000003</v>
      </c>
      <c r="I40" s="8">
        <f>CHOOSE( CONTROL!$C$36, 4.2944, 4.2934) * CHOOSE(CONTROL!$C$19, $D$11, 100%, $F$11)</f>
        <v>4.2944000000000004</v>
      </c>
      <c r="J40" s="4">
        <f>CHOOSE( CONTROL!$C$36, 4.1061, 4.105) * CHOOSE(CONTROL!$C$19, $D$11, 100%, $F$11)</f>
        <v>4.1060999999999996</v>
      </c>
      <c r="K40" s="4">
        <f>CHOOSE( CONTROL!$C$36, 4.1992, 4.1981) * CHOOSE(CONTROL!$C$19, $D$11, 100%, $F$11)</f>
        <v>4.1992000000000003</v>
      </c>
      <c r="L40" s="9">
        <v>29.306000000000001</v>
      </c>
      <c r="M40" s="9">
        <v>12.063700000000001</v>
      </c>
      <c r="N40" s="9">
        <v>4.9444999999999997</v>
      </c>
      <c r="O40" s="9">
        <v>0.61570000000000003</v>
      </c>
      <c r="P40" s="9">
        <v>1.2183999999999999</v>
      </c>
      <c r="Q40" s="9"/>
      <c r="R40" s="9">
        <f t="shared" si="0"/>
        <v>0.3</v>
      </c>
      <c r="S40" s="15">
        <v>1.0738000000000001</v>
      </c>
    </row>
    <row r="41" spans="1:19" ht="15" customHeight="1">
      <c r="A41" s="13">
        <v>42370</v>
      </c>
      <c r="B41" s="8">
        <f>CHOOSE( CONTROL!$C$36, 4.3472, 4.3461) * CHOOSE(CONTROL!$C$19, $D$11, 100%, $F$11)</f>
        <v>4.3472</v>
      </c>
      <c r="C41" s="8">
        <f>CHOOSE( CONTROL!$C$36, 4.3523, 4.3512) * CHOOSE(CONTROL!$C$19, $D$11, 100%, $F$11)</f>
        <v>4.3522999999999996</v>
      </c>
      <c r="D41" s="8">
        <f>CHOOSE( CONTROL!$C$36, 4.3533, 4.3522) * CHOOSE( CONTROL!$C$19, $D$11, 100%, $F$11)</f>
        <v>4.3532999999999999</v>
      </c>
      <c r="E41" s="12">
        <f>CHOOSE( CONTROL!$C$36, 4.3524, 4.3513) * CHOOSE( CONTROL!$C$19, $D$11, 100%, $F$11)</f>
        <v>4.3524000000000003</v>
      </c>
      <c r="F41" s="4">
        <f>CHOOSE( CONTROL!$C$36, 5.0065, 5.0054) * CHOOSE(CONTROL!$C$19, $D$11, 100%, $F$11)</f>
        <v>5.0065</v>
      </c>
      <c r="G41" s="8">
        <f>CHOOSE( CONTROL!$C$36, 4.3339, 4.3328) * CHOOSE( CONTROL!$C$19, $D$11, 100%, $F$11)</f>
        <v>4.3338999999999999</v>
      </c>
      <c r="H41" s="4">
        <f>CHOOSE( CONTROL!$C$36, 5.2105, 5.2094) * CHOOSE(CONTROL!$C$19, $D$11, 100%, $F$11)</f>
        <v>5.2104999999999997</v>
      </c>
      <c r="I41" s="8">
        <f>CHOOSE( CONTROL!$C$36, 4.392, 4.3909) * CHOOSE(CONTROL!$C$19, $D$11, 100%, $F$11)</f>
        <v>4.3920000000000003</v>
      </c>
      <c r="J41" s="4">
        <f>CHOOSE( CONTROL!$C$36, 4.2261, 4.225) * CHOOSE(CONTROL!$C$19, $D$11, 100%, $F$11)</f>
        <v>4.2260999999999997</v>
      </c>
      <c r="K41" s="4"/>
      <c r="L41" s="9">
        <v>29.306000000000001</v>
      </c>
      <c r="M41" s="9">
        <v>12.063700000000001</v>
      </c>
      <c r="N41" s="9">
        <v>4.9444999999999997</v>
      </c>
      <c r="O41" s="9">
        <v>0.61570000000000003</v>
      </c>
      <c r="P41" s="9">
        <v>1.2183999999999999</v>
      </c>
      <c r="Q41" s="9"/>
      <c r="R41" s="9">
        <f t="shared" si="0"/>
        <v>0.3</v>
      </c>
      <c r="S41" s="11"/>
    </row>
    <row r="42" spans="1:19" ht="15" customHeight="1">
      <c r="A42" s="13">
        <v>42401</v>
      </c>
      <c r="B42" s="8">
        <f>CHOOSE( CONTROL!$C$36, 4.3234, 4.3224) * CHOOSE(CONTROL!$C$19, $D$11, 100%, $F$11)</f>
        <v>4.3234000000000004</v>
      </c>
      <c r="C42" s="8">
        <f>CHOOSE( CONTROL!$C$36, 4.3285, 4.3275) * CHOOSE(CONTROL!$C$19, $D$11, 100%, $F$11)</f>
        <v>4.3285</v>
      </c>
      <c r="D42" s="8">
        <f>CHOOSE( CONTROL!$C$36, 4.3294, 4.3283) * CHOOSE( CONTROL!$C$19, $D$11, 100%, $F$11)</f>
        <v>4.3293999999999997</v>
      </c>
      <c r="E42" s="12">
        <f>CHOOSE( CONTROL!$C$36, 4.3285, 4.3275) * CHOOSE( CONTROL!$C$19, $D$11, 100%, $F$11)</f>
        <v>4.3285</v>
      </c>
      <c r="F42" s="4">
        <f>CHOOSE( CONTROL!$C$36, 4.9827, 4.9816) * CHOOSE(CONTROL!$C$19, $D$11, 100%, $F$11)</f>
        <v>4.9827000000000004</v>
      </c>
      <c r="G42" s="8">
        <f>CHOOSE( CONTROL!$C$36, 4.3104, 4.3093) * CHOOSE( CONTROL!$C$19, $D$11, 100%, $F$11)</f>
        <v>4.3103999999999996</v>
      </c>
      <c r="H42" s="4">
        <f>CHOOSE( CONTROL!$C$36, 5.187, 5.186) * CHOOSE(CONTROL!$C$19, $D$11, 100%, $F$11)</f>
        <v>5.1870000000000003</v>
      </c>
      <c r="I42" s="8">
        <f>CHOOSE( CONTROL!$C$36, 4.3686, 4.3675) * CHOOSE(CONTROL!$C$19, $D$11, 100%, $F$11)</f>
        <v>4.3685999999999998</v>
      </c>
      <c r="J42" s="4">
        <f>CHOOSE( CONTROL!$C$36, 4.2031, 4.202) * CHOOSE(CONTROL!$C$19, $D$11, 100%, $F$11)</f>
        <v>4.2031000000000001</v>
      </c>
      <c r="K42" s="4"/>
      <c r="L42" s="9">
        <v>27.415299999999998</v>
      </c>
      <c r="M42" s="9">
        <v>11.285299999999999</v>
      </c>
      <c r="N42" s="9">
        <v>4.6254999999999997</v>
      </c>
      <c r="O42" s="9">
        <v>0.57599999999999996</v>
      </c>
      <c r="P42" s="9">
        <v>1.1397999999999999</v>
      </c>
      <c r="Q42" s="9"/>
      <c r="R42" s="9">
        <f t="shared" si="0"/>
        <v>0.3</v>
      </c>
      <c r="S42" s="11"/>
    </row>
    <row r="43" spans="1:19" ht="15" customHeight="1">
      <c r="A43" s="13">
        <v>42430</v>
      </c>
      <c r="B43" s="8">
        <f>CHOOSE( CONTROL!$C$36, 4.2501, 4.249) * CHOOSE(CONTROL!$C$19, $D$11, 100%, $F$11)</f>
        <v>4.2500999999999998</v>
      </c>
      <c r="C43" s="8">
        <f>CHOOSE( CONTROL!$C$36, 4.2552, 4.2541) * CHOOSE(CONTROL!$C$19, $D$11, 100%, $F$11)</f>
        <v>4.2552000000000003</v>
      </c>
      <c r="D43" s="8">
        <f>CHOOSE( CONTROL!$C$36, 4.2554, 4.2544) * CHOOSE( CONTROL!$C$19, $D$11, 100%, $F$11)</f>
        <v>4.2553999999999998</v>
      </c>
      <c r="E43" s="12">
        <f>CHOOSE( CONTROL!$C$36, 4.2548, 4.2537) * CHOOSE( CONTROL!$C$19, $D$11, 100%, $F$11)</f>
        <v>4.2548000000000004</v>
      </c>
      <c r="F43" s="4">
        <f>CHOOSE( CONTROL!$C$36, 4.9094, 4.9083) * CHOOSE(CONTROL!$C$19, $D$11, 100%, $F$11)</f>
        <v>4.9093999999999998</v>
      </c>
      <c r="G43" s="8">
        <f>CHOOSE( CONTROL!$C$36, 4.2376, 4.2365) * CHOOSE( CONTROL!$C$19, $D$11, 100%, $F$11)</f>
        <v>4.2375999999999996</v>
      </c>
      <c r="H43" s="4">
        <f>CHOOSE( CONTROL!$C$36, 5.1147, 5.1137) * CHOOSE(CONTROL!$C$19, $D$11, 100%, $F$11)</f>
        <v>5.1147</v>
      </c>
      <c r="I43" s="8">
        <f>CHOOSE( CONTROL!$C$36, 4.2955, 4.2945) * CHOOSE(CONTROL!$C$19, $D$11, 100%, $F$11)</f>
        <v>4.2954999999999997</v>
      </c>
      <c r="J43" s="4">
        <f>CHOOSE( CONTROL!$C$36, 4.1321, 4.131) * CHOOSE(CONTROL!$C$19, $D$11, 100%, $F$11)</f>
        <v>4.1321000000000003</v>
      </c>
      <c r="K43" s="4"/>
      <c r="L43" s="9">
        <v>29.306000000000001</v>
      </c>
      <c r="M43" s="9">
        <v>12.063700000000001</v>
      </c>
      <c r="N43" s="9">
        <v>4.9444999999999997</v>
      </c>
      <c r="O43" s="9">
        <v>0.61570000000000003</v>
      </c>
      <c r="P43" s="9">
        <v>1.2183999999999999</v>
      </c>
      <c r="Q43" s="9"/>
      <c r="R43" s="9">
        <f t="shared" si="0"/>
        <v>0.3</v>
      </c>
      <c r="S43" s="11"/>
    </row>
    <row r="44" spans="1:19" ht="15" customHeight="1">
      <c r="A44" s="13">
        <v>42461</v>
      </c>
      <c r="B44" s="8">
        <f>CHOOSE( CONTROL!$C$36, 4.0257, 4.0247) * CHOOSE(CONTROL!$C$19, $D$11, 100%, $F$11)</f>
        <v>4.0256999999999996</v>
      </c>
      <c r="C44" s="8">
        <f>CHOOSE( CONTROL!$C$36, 4.0303, 4.0292) * CHOOSE(CONTROL!$C$19, $D$11, 100%, $F$11)</f>
        <v>4.0303000000000004</v>
      </c>
      <c r="D44" s="8">
        <f>CHOOSE( CONTROL!$C$36, 4.031, 4.0299) * CHOOSE( CONTROL!$C$19, $D$11, 100%, $F$11)</f>
        <v>4.0309999999999997</v>
      </c>
      <c r="E44" s="12">
        <f>CHOOSE( CONTROL!$C$36, 4.0302, 4.0292) * CHOOSE( CONTROL!$C$19, $D$11, 100%, $F$11)</f>
        <v>4.0301999999999998</v>
      </c>
      <c r="F44" s="4">
        <f>CHOOSE( CONTROL!$C$36, 4.7601, 4.7591) * CHOOSE(CONTROL!$C$19, $D$11, 100%, $F$11)</f>
        <v>4.7601000000000004</v>
      </c>
      <c r="G44" s="8">
        <f>CHOOSE( CONTROL!$C$36, 4.002, 4.0009) * CHOOSE( CONTROL!$C$19, $D$11, 100%, $F$11)</f>
        <v>4.0019999999999998</v>
      </c>
      <c r="H44" s="4">
        <f>CHOOSE( CONTROL!$C$36, 4.9676, 4.9665) * CHOOSE(CONTROL!$C$19, $D$11, 100%, $F$11)</f>
        <v>4.9676</v>
      </c>
      <c r="I44" s="8">
        <f>CHOOSE( CONTROL!$C$36, 4.0469, 4.0459) * CHOOSE(CONTROL!$C$19, $D$11, 100%, $F$11)</f>
        <v>4.0468999999999999</v>
      </c>
      <c r="J44" s="4">
        <f>CHOOSE( CONTROL!$C$36, 3.9141, 3.913) * CHOOSE(CONTROL!$C$19, $D$11, 100%, $F$11)</f>
        <v>3.9140999999999999</v>
      </c>
      <c r="K44" s="4"/>
      <c r="L44" s="9">
        <v>30.092199999999998</v>
      </c>
      <c r="M44" s="9">
        <v>11.6745</v>
      </c>
      <c r="N44" s="9">
        <v>4.7850000000000001</v>
      </c>
      <c r="O44" s="9">
        <v>0.59589999999999999</v>
      </c>
      <c r="P44" s="9">
        <v>2.0339999999999998</v>
      </c>
      <c r="Q44" s="9"/>
      <c r="R44" s="9">
        <f t="shared" si="0"/>
        <v>0.3</v>
      </c>
      <c r="S44" s="11"/>
    </row>
    <row r="45" spans="1:19" ht="15" customHeight="1">
      <c r="A45" s="13">
        <v>42491</v>
      </c>
      <c r="B45" s="8">
        <f>CHOOSE( CONTROL!$C$36, 4.0318, 4.0302) * CHOOSE(CONTROL!$C$19, $D$11, 100%, $F$11)</f>
        <v>4.0317999999999996</v>
      </c>
      <c r="C45" s="8">
        <f>CHOOSE( CONTROL!$C$36, 4.0398, 4.0382) * CHOOSE(CONTROL!$C$19, $D$11, 100%, $F$11)</f>
        <v>4.0397999999999996</v>
      </c>
      <c r="D45" s="8">
        <f>CHOOSE( CONTROL!$C$36, 4.0466, 4.0449) * CHOOSE( CONTROL!$C$19, $D$11, 100%, $F$11)</f>
        <v>4.0465999999999998</v>
      </c>
      <c r="E45" s="12">
        <f>CHOOSE( CONTROL!$C$36, 4.0429, 4.0413) * CHOOSE( CONTROL!$C$19, $D$11, 100%, $F$11)</f>
        <v>4.0429000000000004</v>
      </c>
      <c r="F45" s="4">
        <f>CHOOSE( CONTROL!$C$36, 4.7649, 4.7632) * CHOOSE(CONTROL!$C$19, $D$11, 100%, $F$11)</f>
        <v>4.7648999999999999</v>
      </c>
      <c r="G45" s="8">
        <f>CHOOSE( CONTROL!$C$36, 4.003, 4.0014) * CHOOSE( CONTROL!$C$19, $D$11, 100%, $F$11)</f>
        <v>4.0030000000000001</v>
      </c>
      <c r="H45" s="4">
        <f>CHOOSE( CONTROL!$C$36, 4.9722, 4.9706) * CHOOSE(CONTROL!$C$19, $D$11, 100%, $F$11)</f>
        <v>4.9722</v>
      </c>
      <c r="I45" s="8">
        <f>CHOOSE( CONTROL!$C$36, 4.0511, 4.0495) * CHOOSE(CONTROL!$C$19, $D$11, 100%, $F$11)</f>
        <v>4.0510999999999999</v>
      </c>
      <c r="J45" s="4">
        <f>CHOOSE( CONTROL!$C$36, 3.9186, 3.917) * CHOOSE(CONTROL!$C$19, $D$11, 100%, $F$11)</f>
        <v>3.9186000000000001</v>
      </c>
      <c r="K45" s="4"/>
      <c r="L45" s="9">
        <v>30.7165</v>
      </c>
      <c r="M45" s="9">
        <v>12.063700000000001</v>
      </c>
      <c r="N45" s="9">
        <v>4.9444999999999997</v>
      </c>
      <c r="O45" s="9">
        <v>0.37409999999999999</v>
      </c>
      <c r="P45" s="9">
        <v>2.1017999999999999</v>
      </c>
      <c r="Q45" s="9"/>
      <c r="R45" s="9">
        <f t="shared" si="0"/>
        <v>0.3</v>
      </c>
      <c r="S45" s="11"/>
    </row>
    <row r="46" spans="1:19" ht="15" customHeight="1">
      <c r="A46" s="13">
        <v>42522</v>
      </c>
      <c r="B46" s="8">
        <f>CHOOSE( CONTROL!$C$36, 4.0618, 4.0601) * CHOOSE(CONTROL!$C$19, $D$11, 100%, $F$11)</f>
        <v>4.0617999999999999</v>
      </c>
      <c r="C46" s="8">
        <f>CHOOSE( CONTROL!$C$36, 4.0698, 4.0681) * CHOOSE(CONTROL!$C$19, $D$11, 100%, $F$11)</f>
        <v>4.0697999999999999</v>
      </c>
      <c r="D46" s="8">
        <f>CHOOSE( CONTROL!$C$36, 4.0768, 4.0751) * CHOOSE( CONTROL!$C$19, $D$11, 100%, $F$11)</f>
        <v>4.0768000000000004</v>
      </c>
      <c r="E46" s="12">
        <f>CHOOSE( CONTROL!$C$36, 4.073, 4.0713) * CHOOSE( CONTROL!$C$19, $D$11, 100%, $F$11)</f>
        <v>4.0730000000000004</v>
      </c>
      <c r="F46" s="4">
        <f>CHOOSE( CONTROL!$C$36, 4.7948, 4.7931) * CHOOSE(CONTROL!$C$19, $D$11, 100%, $F$11)</f>
        <v>4.7948000000000004</v>
      </c>
      <c r="G46" s="8">
        <f>CHOOSE( CONTROL!$C$36, 4.0328, 4.0311) * CHOOSE( CONTROL!$C$19, $D$11, 100%, $F$11)</f>
        <v>4.0327999999999999</v>
      </c>
      <c r="H46" s="4">
        <f>CHOOSE( CONTROL!$C$36, 5.0018, 5.0001) * CHOOSE(CONTROL!$C$19, $D$11, 100%, $F$11)</f>
        <v>5.0018000000000002</v>
      </c>
      <c r="I46" s="8">
        <f>CHOOSE( CONTROL!$C$36, 4.0808, 4.0792) * CHOOSE(CONTROL!$C$19, $D$11, 100%, $F$11)</f>
        <v>4.0808</v>
      </c>
      <c r="J46" s="4">
        <f>CHOOSE( CONTROL!$C$36, 3.9476, 3.946) * CHOOSE(CONTROL!$C$19, $D$11, 100%, $F$11)</f>
        <v>3.9476</v>
      </c>
      <c r="K46" s="4"/>
      <c r="L46" s="9">
        <v>29.7257</v>
      </c>
      <c r="M46" s="9">
        <v>11.6745</v>
      </c>
      <c r="N46" s="9">
        <v>4.7850000000000001</v>
      </c>
      <c r="O46" s="9">
        <v>0.36199999999999999</v>
      </c>
      <c r="P46" s="9">
        <v>2.0339999999999998</v>
      </c>
      <c r="Q46" s="9"/>
      <c r="R46" s="9">
        <f t="shared" si="0"/>
        <v>0.3</v>
      </c>
      <c r="S46" s="11"/>
    </row>
    <row r="47" spans="1:19" ht="15" customHeight="1">
      <c r="A47" s="13">
        <v>42552</v>
      </c>
      <c r="B47" s="8">
        <f>CHOOSE( CONTROL!$C$36, 4.0938, 4.0921) * CHOOSE(CONTROL!$C$19, $D$11, 100%, $F$11)</f>
        <v>4.0937999999999999</v>
      </c>
      <c r="C47" s="8">
        <f>CHOOSE( CONTROL!$C$36, 4.1018, 4.1001) * CHOOSE(CONTROL!$C$19, $D$11, 100%, $F$11)</f>
        <v>4.1017999999999999</v>
      </c>
      <c r="D47" s="8">
        <f>CHOOSE( CONTROL!$C$36, 4.109, 4.1074) * CHOOSE( CONTROL!$C$19, $D$11, 100%, $F$11)</f>
        <v>4.109</v>
      </c>
      <c r="E47" s="12">
        <f>CHOOSE( CONTROL!$C$36, 4.1052, 4.1035) * CHOOSE( CONTROL!$C$19, $D$11, 100%, $F$11)</f>
        <v>4.1052</v>
      </c>
      <c r="F47" s="4">
        <f>CHOOSE( CONTROL!$C$36, 4.8268, 4.8252) * CHOOSE(CONTROL!$C$19, $D$11, 100%, $F$11)</f>
        <v>4.8268000000000004</v>
      </c>
      <c r="G47" s="8">
        <f>CHOOSE( CONTROL!$C$36, 4.0646, 4.0629) * CHOOSE( CONTROL!$C$19, $D$11, 100%, $F$11)</f>
        <v>4.0646000000000004</v>
      </c>
      <c r="H47" s="4">
        <f>CHOOSE( CONTROL!$C$36, 5.0333, 5.0317) * CHOOSE(CONTROL!$C$19, $D$11, 100%, $F$11)</f>
        <v>5.0332999999999997</v>
      </c>
      <c r="I47" s="8">
        <f>CHOOSE( CONTROL!$C$36, 4.1126, 4.111) * CHOOSE(CONTROL!$C$19, $D$11, 100%, $F$11)</f>
        <v>4.1125999999999996</v>
      </c>
      <c r="J47" s="4">
        <f>CHOOSE( CONTROL!$C$36, 3.9786, 3.977) * CHOOSE(CONTROL!$C$19, $D$11, 100%, $F$11)</f>
        <v>3.9786000000000001</v>
      </c>
      <c r="K47" s="4"/>
      <c r="L47" s="9">
        <v>30.7165</v>
      </c>
      <c r="M47" s="9">
        <v>12.063700000000001</v>
      </c>
      <c r="N47" s="9">
        <v>4.9444999999999997</v>
      </c>
      <c r="O47" s="9">
        <v>0.37409999999999999</v>
      </c>
      <c r="P47" s="9">
        <v>2.1017999999999999</v>
      </c>
      <c r="Q47" s="9"/>
      <c r="R47" s="9">
        <f t="shared" si="0"/>
        <v>0.3</v>
      </c>
      <c r="S47" s="11"/>
    </row>
    <row r="48" spans="1:19" ht="15" customHeight="1">
      <c r="A48" s="13">
        <v>42583</v>
      </c>
      <c r="B48" s="8">
        <f>CHOOSE( CONTROL!$C$36, 4.102, 4.1004) * CHOOSE(CONTROL!$C$19, $D$11, 100%, $F$11)</f>
        <v>4.1020000000000003</v>
      </c>
      <c r="C48" s="8">
        <f>CHOOSE( CONTROL!$C$36, 4.11, 4.1084) * CHOOSE(CONTROL!$C$19, $D$11, 100%, $F$11)</f>
        <v>4.1100000000000003</v>
      </c>
      <c r="D48" s="8">
        <f>CHOOSE( CONTROL!$C$36, 4.1174, 4.1157) * CHOOSE( CONTROL!$C$19, $D$11, 100%, $F$11)</f>
        <v>4.1173999999999999</v>
      </c>
      <c r="E48" s="12">
        <f>CHOOSE( CONTROL!$C$36, 4.1135, 4.1118) * CHOOSE( CONTROL!$C$19, $D$11, 100%, $F$11)</f>
        <v>4.1135000000000002</v>
      </c>
      <c r="F48" s="4">
        <f>CHOOSE( CONTROL!$C$36, 4.8351, 4.8334) * CHOOSE(CONTROL!$C$19, $D$11, 100%, $F$11)</f>
        <v>4.8350999999999997</v>
      </c>
      <c r="G48" s="8">
        <f>CHOOSE( CONTROL!$C$36, 4.0728, 4.0712) * CHOOSE( CONTROL!$C$19, $D$11, 100%, $F$11)</f>
        <v>4.0728</v>
      </c>
      <c r="H48" s="4">
        <f>CHOOSE( CONTROL!$C$36, 5.0415, 5.0398) * CHOOSE(CONTROL!$C$19, $D$11, 100%, $F$11)</f>
        <v>5.0415000000000001</v>
      </c>
      <c r="I48" s="8">
        <f>CHOOSE( CONTROL!$C$36, 4.1208, 4.1192) * CHOOSE(CONTROL!$C$19, $D$11, 100%, $F$11)</f>
        <v>4.1208</v>
      </c>
      <c r="J48" s="4">
        <f>CHOOSE( CONTROL!$C$36, 3.9866, 3.985) * CHOOSE(CONTROL!$C$19, $D$11, 100%, $F$11)</f>
        <v>3.9866000000000001</v>
      </c>
      <c r="K48" s="4"/>
      <c r="L48" s="9">
        <v>30.7165</v>
      </c>
      <c r="M48" s="9">
        <v>12.063700000000001</v>
      </c>
      <c r="N48" s="9">
        <v>4.9444999999999997</v>
      </c>
      <c r="O48" s="9">
        <v>0.37409999999999999</v>
      </c>
      <c r="P48" s="9">
        <v>2.1017999999999999</v>
      </c>
      <c r="Q48" s="9"/>
      <c r="R48" s="9">
        <f t="shared" si="0"/>
        <v>0.3</v>
      </c>
      <c r="S48" s="11"/>
    </row>
    <row r="49" spans="1:19" ht="15" customHeight="1">
      <c r="A49" s="13">
        <v>42614</v>
      </c>
      <c r="B49" s="8">
        <f>CHOOSE( CONTROL!$C$36, 4.0897, 4.088) * CHOOSE(CONTROL!$C$19, $D$11, 100%, $F$11)</f>
        <v>4.0896999999999997</v>
      </c>
      <c r="C49" s="8">
        <f>CHOOSE( CONTROL!$C$36, 4.0977, 4.096) * CHOOSE(CONTROL!$C$19, $D$11, 100%, $F$11)</f>
        <v>4.0976999999999997</v>
      </c>
      <c r="D49" s="8">
        <f>CHOOSE( CONTROL!$C$36, 4.1049, 4.1032) * CHOOSE( CONTROL!$C$19, $D$11, 100%, $F$11)</f>
        <v>4.1048999999999998</v>
      </c>
      <c r="E49" s="12">
        <f>CHOOSE( CONTROL!$C$36, 4.1011, 4.0994) * CHOOSE( CONTROL!$C$19, $D$11, 100%, $F$11)</f>
        <v>4.1010999999999997</v>
      </c>
      <c r="F49" s="4">
        <f>CHOOSE( CONTROL!$C$36, 4.8227, 4.821) * CHOOSE(CONTROL!$C$19, $D$11, 100%, $F$11)</f>
        <v>4.8227000000000002</v>
      </c>
      <c r="G49" s="8">
        <f>CHOOSE( CONTROL!$C$36, 4.0605, 4.0588) * CHOOSE( CONTROL!$C$19, $D$11, 100%, $F$11)</f>
        <v>4.0605000000000002</v>
      </c>
      <c r="H49" s="4">
        <f>CHOOSE( CONTROL!$C$36, 5.0292, 5.0276) * CHOOSE(CONTROL!$C$19, $D$11, 100%, $F$11)</f>
        <v>5.0292000000000003</v>
      </c>
      <c r="I49" s="8">
        <f>CHOOSE( CONTROL!$C$36, 4.1085, 4.1069) * CHOOSE(CONTROL!$C$19, $D$11, 100%, $F$11)</f>
        <v>4.1085000000000003</v>
      </c>
      <c r="J49" s="4">
        <f>CHOOSE( CONTROL!$C$36, 3.9746, 3.973) * CHOOSE(CONTROL!$C$19, $D$11, 100%, $F$11)</f>
        <v>3.9746000000000001</v>
      </c>
      <c r="K49" s="4"/>
      <c r="L49" s="9">
        <v>29.7257</v>
      </c>
      <c r="M49" s="9">
        <v>11.6745</v>
      </c>
      <c r="N49" s="9">
        <v>4.7850000000000001</v>
      </c>
      <c r="O49" s="9">
        <v>0.36199999999999999</v>
      </c>
      <c r="P49" s="9">
        <v>2.0339999999999998</v>
      </c>
      <c r="Q49" s="9"/>
      <c r="R49" s="9">
        <f t="shared" si="0"/>
        <v>0.3</v>
      </c>
      <c r="S49" s="11"/>
    </row>
    <row r="50" spans="1:19" ht="15" customHeight="1">
      <c r="A50" s="13">
        <v>42644</v>
      </c>
      <c r="B50" s="8">
        <f>CHOOSE( CONTROL!$C$36, 4.1163, 4.1152) * CHOOSE(CONTROL!$C$19, $D$11, 100%, $F$11)</f>
        <v>4.1162999999999998</v>
      </c>
      <c r="C50" s="8">
        <f>CHOOSE( CONTROL!$C$36, 4.1216, 4.1205) * CHOOSE(CONTROL!$C$19, $D$11, 100%, $F$11)</f>
        <v>4.1215999999999999</v>
      </c>
      <c r="D50" s="8">
        <f>CHOOSE( CONTROL!$C$36, 4.1159, 4.1149) * CHOOSE( CONTROL!$C$19, $D$11, 100%, $F$11)</f>
        <v>4.1158999999999999</v>
      </c>
      <c r="E50" s="12">
        <f>CHOOSE( CONTROL!$C$36, 4.1172, 4.1162) * CHOOSE( CONTROL!$C$19, $D$11, 100%, $F$11)</f>
        <v>4.1172000000000004</v>
      </c>
      <c r="F50" s="4">
        <f>CHOOSE( CONTROL!$C$36, 4.851, 4.8499) * CHOOSE(CONTROL!$C$19, $D$11, 100%, $F$11)</f>
        <v>4.851</v>
      </c>
      <c r="G50" s="8">
        <f>CHOOSE( CONTROL!$C$36, 4.1132, 4.1122) * CHOOSE( CONTROL!$C$19, $D$11, 100%, $F$11)</f>
        <v>4.1132</v>
      </c>
      <c r="H50" s="4">
        <f>CHOOSE( CONTROL!$C$36, 5.0572, 5.0561) * CHOOSE(CONTROL!$C$19, $D$11, 100%, $F$11)</f>
        <v>5.0571999999999999</v>
      </c>
      <c r="I50" s="8">
        <f>CHOOSE( CONTROL!$C$36, 4.137, 4.1359) * CHOOSE(CONTROL!$C$19, $D$11, 100%, $F$11)</f>
        <v>4.1369999999999996</v>
      </c>
      <c r="J50" s="4">
        <f>CHOOSE( CONTROL!$C$36, 4.0021, 4.001) * CHOOSE(CONTROL!$C$19, $D$11, 100%, $F$11)</f>
        <v>4.0021000000000004</v>
      </c>
      <c r="K50" s="4"/>
      <c r="L50" s="9">
        <v>31.095300000000002</v>
      </c>
      <c r="M50" s="9">
        <v>12.063700000000001</v>
      </c>
      <c r="N50" s="9">
        <v>4.9444999999999997</v>
      </c>
      <c r="O50" s="9">
        <v>0.37409999999999999</v>
      </c>
      <c r="P50" s="9">
        <v>2.1017999999999999</v>
      </c>
      <c r="Q50" s="9"/>
      <c r="R50" s="9">
        <f t="shared" si="0"/>
        <v>0.3</v>
      </c>
      <c r="S50" s="11"/>
    </row>
    <row r="51" spans="1:19" ht="15" customHeight="1">
      <c r="A51" s="13">
        <v>42675</v>
      </c>
      <c r="B51" s="8">
        <f>CHOOSE( CONTROL!$C$36, 4.2016, 4.2005) * CHOOSE(CONTROL!$C$19, $D$11, 100%, $F$11)</f>
        <v>4.2016</v>
      </c>
      <c r="C51" s="8">
        <f>CHOOSE( CONTROL!$C$36, 4.2067, 4.2056) * CHOOSE(CONTROL!$C$19, $D$11, 100%, $F$11)</f>
        <v>4.2066999999999997</v>
      </c>
      <c r="D51" s="8">
        <f>CHOOSE( CONTROL!$C$36, 4.1859, 4.1848) * CHOOSE( CONTROL!$C$19, $D$11, 100%, $F$11)</f>
        <v>4.1859000000000002</v>
      </c>
      <c r="E51" s="12">
        <f>CHOOSE( CONTROL!$C$36, 4.193, 4.1919) * CHOOSE( CONTROL!$C$19, $D$11, 100%, $F$11)</f>
        <v>4.1929999999999996</v>
      </c>
      <c r="F51" s="4">
        <f>CHOOSE( CONTROL!$C$36, 4.8608, 4.8598) * CHOOSE(CONTROL!$C$19, $D$11, 100%, $F$11)</f>
        <v>4.8608000000000002</v>
      </c>
      <c r="G51" s="8">
        <f>CHOOSE( CONTROL!$C$36, 4.1777, 4.1766) * CHOOSE( CONTROL!$C$19, $D$11, 100%, $F$11)</f>
        <v>4.1776999999999997</v>
      </c>
      <c r="H51" s="4">
        <f>CHOOSE( CONTROL!$C$36, 5.0669, 5.0658) * CHOOSE(CONTROL!$C$19, $D$11, 100%, $F$11)</f>
        <v>5.0669000000000004</v>
      </c>
      <c r="I51" s="8">
        <f>CHOOSE( CONTROL!$C$36, 4.2691, 4.2681) * CHOOSE(CONTROL!$C$19, $D$11, 100%, $F$11)</f>
        <v>4.2690999999999999</v>
      </c>
      <c r="J51" s="4">
        <f>CHOOSE( CONTROL!$C$36, 4.0851, 4.084) * CHOOSE(CONTROL!$C$19, $D$11, 100%, $F$11)</f>
        <v>4.0850999999999997</v>
      </c>
      <c r="K51" s="4"/>
      <c r="L51" s="9">
        <v>28.360600000000002</v>
      </c>
      <c r="M51" s="9">
        <v>11.6745</v>
      </c>
      <c r="N51" s="9">
        <v>4.7850000000000001</v>
      </c>
      <c r="O51" s="9">
        <v>0.36199999999999999</v>
      </c>
      <c r="P51" s="9">
        <v>1.1791</v>
      </c>
      <c r="Q51" s="9"/>
      <c r="R51" s="9">
        <f t="shared" si="0"/>
        <v>0.3</v>
      </c>
      <c r="S51" s="11"/>
    </row>
    <row r="52" spans="1:19" ht="15" customHeight="1">
      <c r="A52" s="13">
        <v>42705</v>
      </c>
      <c r="B52" s="8">
        <f>CHOOSE( CONTROL!$C$36, 4.3792, 4.3781) * CHOOSE(CONTROL!$C$19, $D$11, 100%, $F$11)</f>
        <v>4.3792</v>
      </c>
      <c r="C52" s="8">
        <f>CHOOSE( CONTROL!$C$36, 4.3843, 4.3832) * CHOOSE(CONTROL!$C$19, $D$11, 100%, $F$11)</f>
        <v>4.3842999999999996</v>
      </c>
      <c r="D52" s="8">
        <f>CHOOSE( CONTROL!$C$36, 4.3649, 4.3638) * CHOOSE( CONTROL!$C$19, $D$11, 100%, $F$11)</f>
        <v>4.3648999999999996</v>
      </c>
      <c r="E52" s="12">
        <f>CHOOSE( CONTROL!$C$36, 4.3715, 4.3704) * CHOOSE( CONTROL!$C$19, $D$11, 100%, $F$11)</f>
        <v>4.3715000000000002</v>
      </c>
      <c r="F52" s="4">
        <f>CHOOSE( CONTROL!$C$36, 5.0385, 5.0374) * CHOOSE(CONTROL!$C$19, $D$11, 100%, $F$11)</f>
        <v>5.0385</v>
      </c>
      <c r="G52" s="8">
        <f>CHOOSE( CONTROL!$C$36, 4.3539, 4.3528) * CHOOSE( CONTROL!$C$19, $D$11, 100%, $F$11)</f>
        <v>4.3539000000000003</v>
      </c>
      <c r="H52" s="4">
        <f>CHOOSE( CONTROL!$C$36, 5.242, 5.2409) * CHOOSE(CONTROL!$C$19, $D$11, 100%, $F$11)</f>
        <v>5.242</v>
      </c>
      <c r="I52" s="8">
        <f>CHOOSE( CONTROL!$C$36, 4.4455, 4.4445) * CHOOSE(CONTROL!$C$19, $D$11, 100%, $F$11)</f>
        <v>4.4455</v>
      </c>
      <c r="J52" s="4">
        <f>CHOOSE( CONTROL!$C$36, 4.2571, 4.256) * CHOOSE(CONTROL!$C$19, $D$11, 100%, $F$11)</f>
        <v>4.2571000000000003</v>
      </c>
      <c r="K52" s="4"/>
      <c r="L52" s="9">
        <v>29.306000000000001</v>
      </c>
      <c r="M52" s="9">
        <v>12.063700000000001</v>
      </c>
      <c r="N52" s="9">
        <v>4.9444999999999997</v>
      </c>
      <c r="O52" s="9">
        <v>0.37409999999999999</v>
      </c>
      <c r="P52" s="9">
        <v>1.2183999999999999</v>
      </c>
      <c r="Q52" s="9"/>
      <c r="R52" s="9">
        <f t="shared" si="0"/>
        <v>0.3</v>
      </c>
      <c r="S52" s="11"/>
    </row>
    <row r="53" spans="1:19" ht="15" customHeight="1">
      <c r="A53" s="13">
        <v>42736</v>
      </c>
      <c r="B53" s="8">
        <f>CHOOSE( CONTROL!$C$36, 4.8942, 4.8932) * CHOOSE(CONTROL!$C$19, $D$11, 100%, $F$11)</f>
        <v>4.8941999999999997</v>
      </c>
      <c r="C53" s="8">
        <f>CHOOSE( CONTROL!$C$36, 4.8993, 4.8983) * CHOOSE(CONTROL!$C$19, $D$11, 100%, $F$11)</f>
        <v>4.8993000000000002</v>
      </c>
      <c r="D53" s="8">
        <f>CHOOSE( CONTROL!$C$36, 4.9006, 4.8996) * CHOOSE( CONTROL!$C$19, $D$11, 100%, $F$11)</f>
        <v>4.9005999999999998</v>
      </c>
      <c r="E53" s="12">
        <f>CHOOSE( CONTROL!$C$36, 4.8996, 4.8986) * CHOOSE( CONTROL!$C$19, $D$11, 100%, $F$11)</f>
        <v>4.8996000000000004</v>
      </c>
      <c r="F53" s="4">
        <f>CHOOSE( CONTROL!$C$36, 5.5535, 5.5524) * CHOOSE(CONTROL!$C$19, $D$11, 100%, $F$11)</f>
        <v>5.5534999999999997</v>
      </c>
      <c r="G53" s="8">
        <f>CHOOSE( CONTROL!$C$36, 4.8728, 4.8717) * CHOOSE( CONTROL!$C$19, $D$11, 100%, $F$11)</f>
        <v>4.8727999999999998</v>
      </c>
      <c r="H53" s="4">
        <f>CHOOSE( CONTROL!$C$36, 5.7499, 5.7488) * CHOOSE(CONTROL!$C$19, $D$11, 100%, $F$11)</f>
        <v>5.7499000000000002</v>
      </c>
      <c r="I53" s="8">
        <f>CHOOSE( CONTROL!$C$36, 4.922, 4.9209) * CHOOSE(CONTROL!$C$19, $D$11, 100%, $F$11)</f>
        <v>4.9219999999999997</v>
      </c>
      <c r="J53" s="4">
        <f>CHOOSE( CONTROL!$C$36, 4.7558, 4.7547) * CHOOSE(CONTROL!$C$19, $D$11, 100%, $F$11)</f>
        <v>4.7557999999999998</v>
      </c>
      <c r="K53" s="4"/>
      <c r="L53" s="9">
        <v>29.306000000000001</v>
      </c>
      <c r="M53" s="9">
        <v>12.063700000000001</v>
      </c>
      <c r="N53" s="9">
        <v>4.9444999999999997</v>
      </c>
      <c r="O53" s="9">
        <v>0.37409999999999999</v>
      </c>
      <c r="P53" s="9">
        <v>1.2183999999999999</v>
      </c>
      <c r="Q53" s="9"/>
      <c r="R53" s="9">
        <f t="shared" si="0"/>
        <v>0.3</v>
      </c>
      <c r="S53" s="11"/>
    </row>
    <row r="54" spans="1:19" ht="15" customHeight="1">
      <c r="A54" s="13">
        <v>42767</v>
      </c>
      <c r="B54" s="8">
        <f>CHOOSE( CONTROL!$C$36, 4.5768, 4.5757) * CHOOSE(CONTROL!$C$19, $D$11, 100%, $F$11)</f>
        <v>4.5768000000000004</v>
      </c>
      <c r="C54" s="8">
        <f>CHOOSE( CONTROL!$C$36, 4.5819, 4.5808) * CHOOSE(CONTROL!$C$19, $D$11, 100%, $F$11)</f>
        <v>4.5819000000000001</v>
      </c>
      <c r="D54" s="8">
        <f>CHOOSE( CONTROL!$C$36, 4.5831, 4.582) * CHOOSE( CONTROL!$C$19, $D$11, 100%, $F$11)</f>
        <v>4.5831</v>
      </c>
      <c r="E54" s="12">
        <f>CHOOSE( CONTROL!$C$36, 4.5821, 4.581) * CHOOSE( CONTROL!$C$19, $D$11, 100%, $F$11)</f>
        <v>4.5820999999999996</v>
      </c>
      <c r="F54" s="4">
        <f>CHOOSE( CONTROL!$C$36, 5.2361, 5.235) * CHOOSE(CONTROL!$C$19, $D$11, 100%, $F$11)</f>
        <v>5.2361000000000004</v>
      </c>
      <c r="G54" s="8">
        <f>CHOOSE( CONTROL!$C$36, 4.5596, 4.5586) * CHOOSE( CONTROL!$C$19, $D$11, 100%, $F$11)</f>
        <v>4.5595999999999997</v>
      </c>
      <c r="H54" s="4">
        <f>CHOOSE( CONTROL!$C$36, 5.4368, 5.4358) * CHOOSE(CONTROL!$C$19, $D$11, 100%, $F$11)</f>
        <v>5.4367999999999999</v>
      </c>
      <c r="I54" s="8">
        <f>CHOOSE( CONTROL!$C$36, 4.614, 4.613) * CHOOSE(CONTROL!$C$19, $D$11, 100%, $F$11)</f>
        <v>4.6139999999999999</v>
      </c>
      <c r="J54" s="4">
        <f>CHOOSE( CONTROL!$C$36, 4.4484, 4.4473) * CHOOSE(CONTROL!$C$19, $D$11, 100%, $F$11)</f>
        <v>4.4484000000000004</v>
      </c>
      <c r="K54" s="4"/>
      <c r="L54" s="9">
        <v>26.469899999999999</v>
      </c>
      <c r="M54" s="9">
        <v>10.8962</v>
      </c>
      <c r="N54" s="9">
        <v>4.4660000000000002</v>
      </c>
      <c r="O54" s="9">
        <v>0.33789999999999998</v>
      </c>
      <c r="P54" s="9">
        <v>1.1005</v>
      </c>
      <c r="Q54" s="9"/>
      <c r="R54" s="9">
        <f t="shared" si="0"/>
        <v>0.3</v>
      </c>
      <c r="S54" s="11"/>
    </row>
    <row r="55" spans="1:19" ht="15" customHeight="1">
      <c r="A55" s="13">
        <v>42795</v>
      </c>
      <c r="B55" s="8">
        <f>CHOOSE( CONTROL!$C$36, 4.479, 4.4779) * CHOOSE(CONTROL!$C$19, $D$11, 100%, $F$11)</f>
        <v>4.4790000000000001</v>
      </c>
      <c r="C55" s="8">
        <f>CHOOSE( CONTROL!$C$36, 4.4841, 4.483) * CHOOSE(CONTROL!$C$19, $D$11, 100%, $F$11)</f>
        <v>4.4840999999999998</v>
      </c>
      <c r="D55" s="8">
        <f>CHOOSE( CONTROL!$C$36, 4.4846, 4.4836) * CHOOSE( CONTROL!$C$19, $D$11, 100%, $F$11)</f>
        <v>4.4846000000000004</v>
      </c>
      <c r="E55" s="12">
        <f>CHOOSE( CONTROL!$C$36, 4.4839, 4.4828) * CHOOSE( CONTROL!$C$19, $D$11, 100%, $F$11)</f>
        <v>4.4839000000000002</v>
      </c>
      <c r="F55" s="4">
        <f>CHOOSE( CONTROL!$C$36, 5.1383, 5.1372) * CHOOSE(CONTROL!$C$19, $D$11, 100%, $F$11)</f>
        <v>5.1383000000000001</v>
      </c>
      <c r="G55" s="8">
        <f>CHOOSE( CONTROL!$C$36, 4.4628, 4.4617) * CHOOSE( CONTROL!$C$19, $D$11, 100%, $F$11)</f>
        <v>4.4627999999999997</v>
      </c>
      <c r="H55" s="4">
        <f>CHOOSE( CONTROL!$C$36, 5.3404, 5.3394) * CHOOSE(CONTROL!$C$19, $D$11, 100%, $F$11)</f>
        <v>5.3403999999999998</v>
      </c>
      <c r="I55" s="8">
        <f>CHOOSE( CONTROL!$C$36, 4.5173, 4.5163) * CHOOSE(CONTROL!$C$19, $D$11, 100%, $F$11)</f>
        <v>4.5172999999999996</v>
      </c>
      <c r="J55" s="4">
        <f>CHOOSE( CONTROL!$C$36, 4.3537, 4.3526) * CHOOSE(CONTROL!$C$19, $D$11, 100%, $F$11)</f>
        <v>4.3536999999999999</v>
      </c>
      <c r="K55" s="4"/>
      <c r="L55" s="9">
        <v>29.306000000000001</v>
      </c>
      <c r="M55" s="9">
        <v>12.063700000000001</v>
      </c>
      <c r="N55" s="9">
        <v>4.9444999999999997</v>
      </c>
      <c r="O55" s="9">
        <v>0.37409999999999999</v>
      </c>
      <c r="P55" s="9">
        <v>1.2183999999999999</v>
      </c>
      <c r="Q55" s="9"/>
      <c r="R55" s="9">
        <f t="shared" si="0"/>
        <v>0.3</v>
      </c>
      <c r="S55" s="11"/>
    </row>
    <row r="56" spans="1:19" ht="15" customHeight="1">
      <c r="A56" s="13">
        <v>42826</v>
      </c>
      <c r="B56" s="8">
        <f>CHOOSE( CONTROL!$C$36, 4.5481, 4.547) * CHOOSE(CONTROL!$C$19, $D$11, 100%, $F$11)</f>
        <v>4.5480999999999998</v>
      </c>
      <c r="C56" s="8">
        <f>CHOOSE( CONTROL!$C$36, 4.5526, 4.5516) * CHOOSE(CONTROL!$C$19, $D$11, 100%, $F$11)</f>
        <v>4.5526</v>
      </c>
      <c r="D56" s="8">
        <f>CHOOSE( CONTROL!$C$36, 4.5658, 4.5647) * CHOOSE( CONTROL!$C$19, $D$11, 100%, $F$11)</f>
        <v>4.5658000000000003</v>
      </c>
      <c r="E56" s="12">
        <f>CHOOSE( CONTROL!$C$36, 4.5609, 4.5598) * CHOOSE( CONTROL!$C$19, $D$11, 100%, $F$11)</f>
        <v>4.5609000000000002</v>
      </c>
      <c r="F56" s="4">
        <f>CHOOSE( CONTROL!$C$36, 5.2825, 5.2814) * CHOOSE(CONTROL!$C$19, $D$11, 100%, $F$11)</f>
        <v>5.2824999999999998</v>
      </c>
      <c r="G56" s="8">
        <f>CHOOSE( CONTROL!$C$36, 4.5135, 4.5124) * CHOOSE( CONTROL!$C$19, $D$11, 100%, $F$11)</f>
        <v>4.5134999999999996</v>
      </c>
      <c r="H56" s="4">
        <f>CHOOSE( CONTROL!$C$36, 5.4827, 5.4816) * CHOOSE(CONTROL!$C$19, $D$11, 100%, $F$11)</f>
        <v>5.4827000000000004</v>
      </c>
      <c r="I56" s="8">
        <f>CHOOSE( CONTROL!$C$36, 4.553, 4.5519) * CHOOSE(CONTROL!$C$19, $D$11, 100%, $F$11)</f>
        <v>4.5529999999999999</v>
      </c>
      <c r="J56" s="4">
        <f>CHOOSE( CONTROL!$C$36, 4.4199, 4.4188) * CHOOSE(CONTROL!$C$19, $D$11, 100%, $F$11)</f>
        <v>4.4199000000000002</v>
      </c>
      <c r="K56" s="4"/>
      <c r="L56" s="9">
        <v>30.092199999999998</v>
      </c>
      <c r="M56" s="9">
        <v>11.6745</v>
      </c>
      <c r="N56" s="9">
        <v>4.7850000000000001</v>
      </c>
      <c r="O56" s="9">
        <v>0.36199999999999999</v>
      </c>
      <c r="P56" s="9">
        <v>2.0339999999999998</v>
      </c>
      <c r="Q56" s="9"/>
      <c r="R56" s="9">
        <f t="shared" si="0"/>
        <v>0.3</v>
      </c>
      <c r="S56" s="11"/>
    </row>
    <row r="57" spans="1:19" ht="15" customHeight="1">
      <c r="A57" s="13">
        <v>42856</v>
      </c>
      <c r="B57" s="8">
        <f>CHOOSE( CONTROL!$C$36, 4.6717, 4.67) * CHOOSE(CONTROL!$C$19, $D$11, 100%, $F$11)</f>
        <v>4.6717000000000004</v>
      </c>
      <c r="C57" s="8">
        <f>CHOOSE( CONTROL!$C$36, 4.6796, 4.678) * CHOOSE(CONTROL!$C$19, $D$11, 100%, $F$11)</f>
        <v>4.6795999999999998</v>
      </c>
      <c r="D57" s="8">
        <f>CHOOSE( CONTROL!$C$36, 4.6864, 4.6848) * CHOOSE( CONTROL!$C$19, $D$11, 100%, $F$11)</f>
        <v>4.6863999999999999</v>
      </c>
      <c r="E57" s="12">
        <f>CHOOSE( CONTROL!$C$36, 4.6827, 4.6811) * CHOOSE( CONTROL!$C$19, $D$11, 100%, $F$11)</f>
        <v>4.6826999999999996</v>
      </c>
      <c r="F57" s="4">
        <f>CHOOSE( CONTROL!$C$36, 5.4047, 5.403) * CHOOSE(CONTROL!$C$19, $D$11, 100%, $F$11)</f>
        <v>5.4047000000000001</v>
      </c>
      <c r="G57" s="8">
        <f>CHOOSE( CONTROL!$C$36, 4.6339, 4.6323) * CHOOSE( CONTROL!$C$19, $D$11, 100%, $F$11)</f>
        <v>4.6338999999999997</v>
      </c>
      <c r="H57" s="4">
        <f>CHOOSE( CONTROL!$C$36, 5.6031, 5.6015) * CHOOSE(CONTROL!$C$19, $D$11, 100%, $F$11)</f>
        <v>5.6031000000000004</v>
      </c>
      <c r="I57" s="8">
        <f>CHOOSE( CONTROL!$C$36, 4.6709, 4.6693) * CHOOSE(CONTROL!$C$19, $D$11, 100%, $F$11)</f>
        <v>4.6708999999999996</v>
      </c>
      <c r="J57" s="4">
        <f>CHOOSE( CONTROL!$C$36, 4.5382, 4.5365) * CHOOSE(CONTROL!$C$19, $D$11, 100%, $F$11)</f>
        <v>4.5381999999999998</v>
      </c>
      <c r="K57" s="4"/>
      <c r="L57" s="9">
        <v>30.7165</v>
      </c>
      <c r="M57" s="9">
        <v>12.063700000000001</v>
      </c>
      <c r="N57" s="9">
        <v>4.9444999999999997</v>
      </c>
      <c r="O57" s="9">
        <v>0.37409999999999999</v>
      </c>
      <c r="P57" s="9">
        <v>2.1017999999999999</v>
      </c>
      <c r="Q57" s="9">
        <v>25.076499999999999</v>
      </c>
      <c r="R57" s="9"/>
      <c r="S57" s="11"/>
    </row>
    <row r="58" spans="1:19" ht="15" customHeight="1">
      <c r="A58" s="13">
        <v>42887</v>
      </c>
      <c r="B58" s="8">
        <f>CHOOSE( CONTROL!$C$36, 4.5963, 4.5947) * CHOOSE(CONTROL!$C$19, $D$11, 100%, $F$11)</f>
        <v>4.5963000000000003</v>
      </c>
      <c r="C58" s="8">
        <f>CHOOSE( CONTROL!$C$36, 4.6043, 4.6027) * CHOOSE(CONTROL!$C$19, $D$11, 100%, $F$11)</f>
        <v>4.6043000000000003</v>
      </c>
      <c r="D58" s="8">
        <f>CHOOSE( CONTROL!$C$36, 4.6113, 4.6097) * CHOOSE( CONTROL!$C$19, $D$11, 100%, $F$11)</f>
        <v>4.6113</v>
      </c>
      <c r="E58" s="12">
        <f>CHOOSE( CONTROL!$C$36, 4.6075, 4.6059) * CHOOSE( CONTROL!$C$19, $D$11, 100%, $F$11)</f>
        <v>4.6074999999999999</v>
      </c>
      <c r="F58" s="4">
        <f>CHOOSE( CONTROL!$C$36, 5.3294, 5.3277) * CHOOSE(CONTROL!$C$19, $D$11, 100%, $F$11)</f>
        <v>5.3293999999999997</v>
      </c>
      <c r="G58" s="8">
        <f>CHOOSE( CONTROL!$C$36, 4.5598, 4.5582) * CHOOSE( CONTROL!$C$19, $D$11, 100%, $F$11)</f>
        <v>4.5598000000000001</v>
      </c>
      <c r="H58" s="4">
        <f>CHOOSE( CONTROL!$C$36, 5.5288, 5.5272) * CHOOSE(CONTROL!$C$19, $D$11, 100%, $F$11)</f>
        <v>5.5288000000000004</v>
      </c>
      <c r="I58" s="8">
        <f>CHOOSE( CONTROL!$C$36, 4.5986, 4.597) * CHOOSE(CONTROL!$C$19, $D$11, 100%, $F$11)</f>
        <v>4.5986000000000002</v>
      </c>
      <c r="J58" s="4">
        <f>CHOOSE( CONTROL!$C$36, 4.4652, 4.4636) * CHOOSE(CONTROL!$C$19, $D$11, 100%, $F$11)</f>
        <v>4.4652000000000003</v>
      </c>
      <c r="K58" s="4"/>
      <c r="L58" s="9">
        <v>29.7257</v>
      </c>
      <c r="M58" s="9">
        <v>11.6745</v>
      </c>
      <c r="N58" s="9">
        <v>4.7850000000000001</v>
      </c>
      <c r="O58" s="9">
        <v>0.36199999999999999</v>
      </c>
      <c r="P58" s="9">
        <v>2.0339999999999998</v>
      </c>
      <c r="Q58" s="9">
        <v>24.267600000000002</v>
      </c>
      <c r="R58" s="9"/>
      <c r="S58" s="11"/>
    </row>
    <row r="59" spans="1:19" ht="15" customHeight="1">
      <c r="A59" s="13">
        <v>42917</v>
      </c>
      <c r="B59" s="8">
        <f>CHOOSE( CONTROL!$C$36, 4.7947, 4.793) * CHOOSE(CONTROL!$C$19, $D$11, 100%, $F$11)</f>
        <v>4.7946999999999997</v>
      </c>
      <c r="C59" s="8">
        <f>CHOOSE( CONTROL!$C$36, 4.8027, 4.801) * CHOOSE(CONTROL!$C$19, $D$11, 100%, $F$11)</f>
        <v>4.8026999999999997</v>
      </c>
      <c r="D59" s="8">
        <f>CHOOSE( CONTROL!$C$36, 4.8099, 4.8083) * CHOOSE( CONTROL!$C$19, $D$11, 100%, $F$11)</f>
        <v>4.8098999999999998</v>
      </c>
      <c r="E59" s="12">
        <f>CHOOSE( CONTROL!$C$36, 4.8061, 4.8044) * CHOOSE( CONTROL!$C$19, $D$11, 100%, $F$11)</f>
        <v>4.8060999999999998</v>
      </c>
      <c r="F59" s="4">
        <f>CHOOSE( CONTROL!$C$36, 5.5277, 5.5261) * CHOOSE(CONTROL!$C$19, $D$11, 100%, $F$11)</f>
        <v>5.5277000000000003</v>
      </c>
      <c r="G59" s="8">
        <f>CHOOSE( CONTROL!$C$36, 4.7557, 4.7541) * CHOOSE( CONTROL!$C$19, $D$11, 100%, $F$11)</f>
        <v>4.7557</v>
      </c>
      <c r="H59" s="4">
        <f>CHOOSE( CONTROL!$C$36, 5.7244, 5.7228) * CHOOSE(CONTROL!$C$19, $D$11, 100%, $F$11)</f>
        <v>5.7244000000000002</v>
      </c>
      <c r="I59" s="8">
        <f>CHOOSE( CONTROL!$C$36, 4.7916, 4.79) * CHOOSE(CONTROL!$C$19, $D$11, 100%, $F$11)</f>
        <v>4.7915999999999999</v>
      </c>
      <c r="J59" s="4">
        <f>CHOOSE( CONTROL!$C$36, 4.6573, 4.6557) * CHOOSE(CONTROL!$C$19, $D$11, 100%, $F$11)</f>
        <v>4.6573000000000002</v>
      </c>
      <c r="K59" s="4"/>
      <c r="L59" s="9">
        <v>30.7165</v>
      </c>
      <c r="M59" s="9">
        <v>12.063700000000001</v>
      </c>
      <c r="N59" s="9">
        <v>4.9444999999999997</v>
      </c>
      <c r="O59" s="9">
        <v>0.37409999999999999</v>
      </c>
      <c r="P59" s="9">
        <v>2.1017999999999999</v>
      </c>
      <c r="Q59" s="9">
        <v>25.076499999999999</v>
      </c>
      <c r="R59" s="9"/>
      <c r="S59" s="11"/>
    </row>
    <row r="60" spans="1:19" ht="15" customHeight="1">
      <c r="A60" s="13">
        <v>42948</v>
      </c>
      <c r="B60" s="8">
        <f>CHOOSE( CONTROL!$C$36, 4.4235, 4.4219) * CHOOSE(CONTROL!$C$19, $D$11, 100%, $F$11)</f>
        <v>4.4234999999999998</v>
      </c>
      <c r="C60" s="8">
        <f>CHOOSE( CONTROL!$C$36, 4.4315, 4.4299) * CHOOSE(CONTROL!$C$19, $D$11, 100%, $F$11)</f>
        <v>4.4314999999999998</v>
      </c>
      <c r="D60" s="8">
        <f>CHOOSE( CONTROL!$C$36, 4.4389, 4.4372) * CHOOSE( CONTROL!$C$19, $D$11, 100%, $F$11)</f>
        <v>4.4389000000000003</v>
      </c>
      <c r="E60" s="12">
        <f>CHOOSE( CONTROL!$C$36, 4.435, 4.4333) * CHOOSE( CONTROL!$C$19, $D$11, 100%, $F$11)</f>
        <v>4.4349999999999996</v>
      </c>
      <c r="F60" s="4">
        <f>CHOOSE( CONTROL!$C$36, 5.1566, 5.1549) * CHOOSE(CONTROL!$C$19, $D$11, 100%, $F$11)</f>
        <v>5.1566000000000001</v>
      </c>
      <c r="G60" s="8">
        <f>CHOOSE( CONTROL!$C$36, 4.3898, 4.3882) * CHOOSE( CONTROL!$C$19, $D$11, 100%, $F$11)</f>
        <v>4.3898000000000001</v>
      </c>
      <c r="H60" s="4">
        <f>CHOOSE( CONTROL!$C$36, 5.3585, 5.3568) * CHOOSE(CONTROL!$C$19, $D$11, 100%, $F$11)</f>
        <v>5.3585000000000003</v>
      </c>
      <c r="I60" s="8">
        <f>CHOOSE( CONTROL!$C$36, 4.4323, 4.4307) * CHOOSE(CONTROL!$C$19, $D$11, 100%, $F$11)</f>
        <v>4.4322999999999997</v>
      </c>
      <c r="J60" s="4">
        <f>CHOOSE( CONTROL!$C$36, 4.2979, 4.2963) * CHOOSE(CONTROL!$C$19, $D$11, 100%, $F$11)</f>
        <v>4.2979000000000003</v>
      </c>
      <c r="K60" s="4"/>
      <c r="L60" s="9">
        <v>30.7165</v>
      </c>
      <c r="M60" s="9">
        <v>12.063700000000001</v>
      </c>
      <c r="N60" s="9">
        <v>4.9444999999999997</v>
      </c>
      <c r="O60" s="9">
        <v>0.37409999999999999</v>
      </c>
      <c r="P60" s="9">
        <v>2.1017999999999999</v>
      </c>
      <c r="Q60" s="9">
        <v>25.076499999999999</v>
      </c>
      <c r="R60" s="9"/>
      <c r="S60" s="11"/>
    </row>
    <row r="61" spans="1:19" ht="15" customHeight="1">
      <c r="A61" s="13">
        <v>42979</v>
      </c>
      <c r="B61" s="8">
        <f>CHOOSE( CONTROL!$C$36, 4.3306, 4.3289) * CHOOSE(CONTROL!$C$19, $D$11, 100%, $F$11)</f>
        <v>4.3305999999999996</v>
      </c>
      <c r="C61" s="8">
        <f>CHOOSE( CONTROL!$C$36, 4.3386, 4.3369) * CHOOSE(CONTROL!$C$19, $D$11, 100%, $F$11)</f>
        <v>4.3385999999999996</v>
      </c>
      <c r="D61" s="8">
        <f>CHOOSE( CONTROL!$C$36, 4.3458, 4.3441) * CHOOSE( CONTROL!$C$19, $D$11, 100%, $F$11)</f>
        <v>4.3457999999999997</v>
      </c>
      <c r="E61" s="12">
        <f>CHOOSE( CONTROL!$C$36, 4.342, 4.3403) * CHOOSE( CONTROL!$C$19, $D$11, 100%, $F$11)</f>
        <v>4.3419999999999996</v>
      </c>
      <c r="F61" s="4">
        <f>CHOOSE( CONTROL!$C$36, 5.0636, 5.062) * CHOOSE(CONTROL!$C$19, $D$11, 100%, $F$11)</f>
        <v>5.0636000000000001</v>
      </c>
      <c r="G61" s="8">
        <f>CHOOSE( CONTROL!$C$36, 4.298, 4.2964) * CHOOSE( CONTROL!$C$19, $D$11, 100%, $F$11)</f>
        <v>4.298</v>
      </c>
      <c r="H61" s="4">
        <f>CHOOSE( CONTROL!$C$36, 5.2668, 5.2652) * CHOOSE(CONTROL!$C$19, $D$11, 100%, $F$11)</f>
        <v>5.2667999999999999</v>
      </c>
      <c r="I61" s="8">
        <f>CHOOSE( CONTROL!$C$36, 4.3419, 4.3403) * CHOOSE(CONTROL!$C$19, $D$11, 100%, $F$11)</f>
        <v>4.3418999999999999</v>
      </c>
      <c r="J61" s="4">
        <f>CHOOSE( CONTROL!$C$36, 4.2079, 4.2063) * CHOOSE(CONTROL!$C$19, $D$11, 100%, $F$11)</f>
        <v>4.2079000000000004</v>
      </c>
      <c r="K61" s="4"/>
      <c r="L61" s="9">
        <v>29.7257</v>
      </c>
      <c r="M61" s="9">
        <v>11.6745</v>
      </c>
      <c r="N61" s="9">
        <v>4.7850000000000001</v>
      </c>
      <c r="O61" s="9">
        <v>0.36199999999999999</v>
      </c>
      <c r="P61" s="9">
        <v>2.0339999999999998</v>
      </c>
      <c r="Q61" s="9">
        <v>24.267600000000002</v>
      </c>
      <c r="R61" s="9"/>
      <c r="S61" s="11"/>
    </row>
    <row r="62" spans="1:19" ht="15" customHeight="1">
      <c r="A62" s="13">
        <v>43009</v>
      </c>
      <c r="B62" s="8">
        <f>CHOOSE( CONTROL!$C$36, 4.5213, 4.5202) * CHOOSE(CONTROL!$C$19, $D$11, 100%, $F$11)</f>
        <v>4.5213000000000001</v>
      </c>
      <c r="C62" s="8">
        <f>CHOOSE( CONTROL!$C$36, 4.5266, 4.5255) * CHOOSE(CONTROL!$C$19, $D$11, 100%, $F$11)</f>
        <v>4.5266000000000002</v>
      </c>
      <c r="D62" s="8">
        <f>CHOOSE( CONTROL!$C$36, 4.5209, 4.5199) * CHOOSE( CONTROL!$C$19, $D$11, 100%, $F$11)</f>
        <v>4.5209000000000001</v>
      </c>
      <c r="E62" s="12">
        <f>CHOOSE( CONTROL!$C$36, 4.5222, 4.5212) * CHOOSE( CONTROL!$C$19, $D$11, 100%, $F$11)</f>
        <v>4.5221999999999998</v>
      </c>
      <c r="F62" s="4">
        <f>CHOOSE( CONTROL!$C$36, 5.256, 5.2549) * CHOOSE(CONTROL!$C$19, $D$11, 100%, $F$11)</f>
        <v>5.2560000000000002</v>
      </c>
      <c r="G62" s="8">
        <f>CHOOSE( CONTROL!$C$36, 4.5126, 4.5115) * CHOOSE( CONTROL!$C$19, $D$11, 100%, $F$11)</f>
        <v>4.5125999999999999</v>
      </c>
      <c r="H62" s="4">
        <f>CHOOSE( CONTROL!$C$36, 5.4565, 5.4555) * CHOOSE(CONTROL!$C$19, $D$11, 100%, $F$11)</f>
        <v>5.4565000000000001</v>
      </c>
      <c r="I62" s="8">
        <f>CHOOSE( CONTROL!$C$36, 4.5293, 4.5283) * CHOOSE(CONTROL!$C$19, $D$11, 100%, $F$11)</f>
        <v>4.5293000000000001</v>
      </c>
      <c r="J62" s="4">
        <f>CHOOSE( CONTROL!$C$36, 4.3942, 4.3932) * CHOOSE(CONTROL!$C$19, $D$11, 100%, $F$11)</f>
        <v>4.3941999999999997</v>
      </c>
      <c r="K62" s="4"/>
      <c r="L62" s="9">
        <v>31.095300000000002</v>
      </c>
      <c r="M62" s="9">
        <v>12.063700000000001</v>
      </c>
      <c r="N62" s="9">
        <v>4.9444999999999997</v>
      </c>
      <c r="O62" s="9">
        <v>0.37409999999999999</v>
      </c>
      <c r="P62" s="9">
        <v>2.1017999999999999</v>
      </c>
      <c r="Q62" s="9">
        <v>25.076499999999999</v>
      </c>
      <c r="R62" s="9"/>
      <c r="S62" s="11"/>
    </row>
    <row r="63" spans="1:19" ht="15" customHeight="1">
      <c r="A63" s="13">
        <v>43040</v>
      </c>
      <c r="B63" s="8">
        <f>CHOOSE( CONTROL!$C$36, 4.8771, 4.876) * CHOOSE(CONTROL!$C$19, $D$11, 100%, $F$11)</f>
        <v>4.8771000000000004</v>
      </c>
      <c r="C63" s="8">
        <f>CHOOSE( CONTROL!$C$36, 4.8822, 4.8811) * CHOOSE(CONTROL!$C$19, $D$11, 100%, $F$11)</f>
        <v>4.8822000000000001</v>
      </c>
      <c r="D63" s="8">
        <f>CHOOSE( CONTROL!$C$36, 4.8614, 4.8603) * CHOOSE( CONTROL!$C$19, $D$11, 100%, $F$11)</f>
        <v>4.8613999999999997</v>
      </c>
      <c r="E63" s="12">
        <f>CHOOSE( CONTROL!$C$36, 4.8685, 4.8674) * CHOOSE( CONTROL!$C$19, $D$11, 100%, $F$11)</f>
        <v>4.8685</v>
      </c>
      <c r="F63" s="4">
        <f>CHOOSE( CONTROL!$C$36, 5.5363, 5.5352) * CHOOSE(CONTROL!$C$19, $D$11, 100%, $F$11)</f>
        <v>5.5362999999999998</v>
      </c>
      <c r="G63" s="8">
        <f>CHOOSE( CONTROL!$C$36, 4.8438, 4.8427) * CHOOSE( CONTROL!$C$19, $D$11, 100%, $F$11)</f>
        <v>4.8437999999999999</v>
      </c>
      <c r="H63" s="4">
        <f>CHOOSE( CONTROL!$C$36, 5.7329, 5.7318) * CHOOSE(CONTROL!$C$19, $D$11, 100%, $F$11)</f>
        <v>5.7328999999999999</v>
      </c>
      <c r="I63" s="8">
        <f>CHOOSE( CONTROL!$C$36, 4.9235, 4.9225) * CHOOSE(CONTROL!$C$19, $D$11, 100%, $F$11)</f>
        <v>4.9234999999999998</v>
      </c>
      <c r="J63" s="4">
        <f>CHOOSE( CONTROL!$C$36, 4.7391, 4.7381) * CHOOSE(CONTROL!$C$19, $D$11, 100%, $F$11)</f>
        <v>4.7390999999999996</v>
      </c>
      <c r="K63" s="4"/>
      <c r="L63" s="9">
        <v>28.360600000000002</v>
      </c>
      <c r="M63" s="9">
        <v>11.6745</v>
      </c>
      <c r="N63" s="9">
        <v>4.7850000000000001</v>
      </c>
      <c r="O63" s="9">
        <v>0.36199999999999999</v>
      </c>
      <c r="P63" s="9">
        <v>1.2509999999999999</v>
      </c>
      <c r="Q63" s="9">
        <v>24.267600000000002</v>
      </c>
      <c r="R63" s="9"/>
      <c r="S63" s="11"/>
    </row>
    <row r="64" spans="1:19" ht="15" customHeight="1">
      <c r="A64" s="13">
        <v>43070</v>
      </c>
      <c r="B64" s="8">
        <f>CHOOSE( CONTROL!$C$36, 4.8682, 4.8671) * CHOOSE(CONTROL!$C$19, $D$11, 100%, $F$11)</f>
        <v>4.8681999999999999</v>
      </c>
      <c r="C64" s="8">
        <f>CHOOSE( CONTROL!$C$36, 4.8733, 4.8722) * CHOOSE(CONTROL!$C$19, $D$11, 100%, $F$11)</f>
        <v>4.8733000000000004</v>
      </c>
      <c r="D64" s="8">
        <f>CHOOSE( CONTROL!$C$36, 4.8539, 4.8528) * CHOOSE( CONTROL!$C$19, $D$11, 100%, $F$11)</f>
        <v>4.8539000000000003</v>
      </c>
      <c r="E64" s="12">
        <f>CHOOSE( CONTROL!$C$36, 4.8605, 4.8594) * CHOOSE( CONTROL!$C$19, $D$11, 100%, $F$11)</f>
        <v>4.8605</v>
      </c>
      <c r="F64" s="4">
        <f>CHOOSE( CONTROL!$C$36, 5.5274, 5.5263) * CHOOSE(CONTROL!$C$19, $D$11, 100%, $F$11)</f>
        <v>5.5274000000000001</v>
      </c>
      <c r="G64" s="8">
        <f>CHOOSE( CONTROL!$C$36, 4.836, 4.8349) * CHOOSE( CONTROL!$C$19, $D$11, 100%, $F$11)</f>
        <v>4.8360000000000003</v>
      </c>
      <c r="H64" s="4">
        <f>CHOOSE( CONTROL!$C$36, 5.7241, 5.7231) * CHOOSE(CONTROL!$C$19, $D$11, 100%, $F$11)</f>
        <v>5.7241</v>
      </c>
      <c r="I64" s="8">
        <f>CHOOSE( CONTROL!$C$36, 4.9192, 4.9181) * CHOOSE(CONTROL!$C$19, $D$11, 100%, $F$11)</f>
        <v>4.9192</v>
      </c>
      <c r="J64" s="4">
        <f>CHOOSE( CONTROL!$C$36, 4.7305, 4.7294) * CHOOSE(CONTROL!$C$19, $D$11, 100%, $F$11)</f>
        <v>4.7305000000000001</v>
      </c>
      <c r="K64" s="4"/>
      <c r="L64" s="9">
        <v>29.306000000000001</v>
      </c>
      <c r="M64" s="9">
        <v>12.063700000000001</v>
      </c>
      <c r="N64" s="9">
        <v>4.9444999999999997</v>
      </c>
      <c r="O64" s="9">
        <v>0.37409999999999999</v>
      </c>
      <c r="P64" s="9">
        <v>1.2927</v>
      </c>
      <c r="Q64" s="9">
        <v>25.076499999999999</v>
      </c>
      <c r="R64" s="9"/>
      <c r="S64" s="11"/>
    </row>
    <row r="65" spans="1:19" ht="15" customHeight="1">
      <c r="A65" s="13">
        <v>43101</v>
      </c>
      <c r="B65" s="8">
        <f>CHOOSE( CONTROL!$C$36, 5.114, 5.1129) * CHOOSE(CONTROL!$C$19, $D$11, 100%, $F$11)</f>
        <v>5.1139999999999999</v>
      </c>
      <c r="C65" s="8">
        <f>CHOOSE( CONTROL!$C$36, 5.1191, 5.118) * CHOOSE(CONTROL!$C$19, $D$11, 100%, $F$11)</f>
        <v>5.1191000000000004</v>
      </c>
      <c r="D65" s="8">
        <f>CHOOSE( CONTROL!$C$36, 5.1204, 5.1193) * CHOOSE( CONTROL!$C$19, $D$11, 100%, $F$11)</f>
        <v>5.1204000000000001</v>
      </c>
      <c r="E65" s="12">
        <f>CHOOSE( CONTROL!$C$36, 5.1194, 5.1183) * CHOOSE( CONTROL!$C$19, $D$11, 100%, $F$11)</f>
        <v>5.1193999999999997</v>
      </c>
      <c r="F65" s="4">
        <f>CHOOSE( CONTROL!$C$36, 5.7733, 5.7722) * CHOOSE(CONTROL!$C$19, $D$11, 100%, $F$11)</f>
        <v>5.7732999999999999</v>
      </c>
      <c r="G65" s="8">
        <f>CHOOSE( CONTROL!$C$36, 5.0895, 5.0884) * CHOOSE( CONTROL!$C$19, $D$11, 100%, $F$11)</f>
        <v>5.0895000000000001</v>
      </c>
      <c r="H65" s="4">
        <f>CHOOSE( CONTROL!$C$36, 5.9666, 5.9655) * CHOOSE(CONTROL!$C$19, $D$11, 100%, $F$11)</f>
        <v>5.9665999999999997</v>
      </c>
      <c r="I65" s="8">
        <f>CHOOSE( CONTROL!$C$36, 5.1349, 5.1338) * CHOOSE(CONTROL!$C$19, $D$11, 100%, $F$11)</f>
        <v>5.1349</v>
      </c>
      <c r="J65" s="4">
        <f>CHOOSE( CONTROL!$C$36, 4.9686, 4.9675) * CHOOSE(CONTROL!$C$19, $D$11, 100%, $F$11)</f>
        <v>4.9686000000000003</v>
      </c>
      <c r="K65" s="4"/>
      <c r="L65" s="9">
        <v>29.306000000000001</v>
      </c>
      <c r="M65" s="9">
        <v>12.063700000000001</v>
      </c>
      <c r="N65" s="9">
        <v>4.9444999999999997</v>
      </c>
      <c r="O65" s="9">
        <v>0.37409999999999999</v>
      </c>
      <c r="P65" s="9">
        <v>1.2927</v>
      </c>
      <c r="Q65" s="9">
        <v>24.901700000000002</v>
      </c>
      <c r="R65" s="9"/>
      <c r="S65" s="11"/>
    </row>
    <row r="66" spans="1:19" ht="15" customHeight="1">
      <c r="A66" s="13">
        <v>43132</v>
      </c>
      <c r="B66" s="8">
        <f>CHOOSE( CONTROL!$C$36, 4.7824, 4.7813) * CHOOSE(CONTROL!$C$19, $D$11, 100%, $F$11)</f>
        <v>4.7824</v>
      </c>
      <c r="C66" s="8">
        <f>CHOOSE( CONTROL!$C$36, 4.7875, 4.7864) * CHOOSE(CONTROL!$C$19, $D$11, 100%, $F$11)</f>
        <v>4.7874999999999996</v>
      </c>
      <c r="D66" s="8">
        <f>CHOOSE( CONTROL!$C$36, 4.7886, 4.7875) * CHOOSE( CONTROL!$C$19, $D$11, 100%, $F$11)</f>
        <v>4.7885999999999997</v>
      </c>
      <c r="E66" s="12">
        <f>CHOOSE( CONTROL!$C$36, 4.7877, 4.7866) * CHOOSE( CONTROL!$C$19, $D$11, 100%, $F$11)</f>
        <v>4.7877000000000001</v>
      </c>
      <c r="F66" s="4">
        <f>CHOOSE( CONTROL!$C$36, 5.4416, 5.4405) * CHOOSE(CONTROL!$C$19, $D$11, 100%, $F$11)</f>
        <v>5.4416000000000002</v>
      </c>
      <c r="G66" s="8">
        <f>CHOOSE( CONTROL!$C$36, 4.7623, 4.7613) * CHOOSE( CONTROL!$C$19, $D$11, 100%, $F$11)</f>
        <v>4.7622999999999998</v>
      </c>
      <c r="H66" s="4">
        <f>CHOOSE( CONTROL!$C$36, 5.6395, 5.6385) * CHOOSE(CONTROL!$C$19, $D$11, 100%, $F$11)</f>
        <v>5.6395</v>
      </c>
      <c r="I66" s="8">
        <f>CHOOSE( CONTROL!$C$36, 4.8132, 4.8121) * CHOOSE(CONTROL!$C$19, $D$11, 100%, $F$11)</f>
        <v>4.8132000000000001</v>
      </c>
      <c r="J66" s="4">
        <f>CHOOSE( CONTROL!$C$36, 4.6474, 4.6464) * CHOOSE(CONTROL!$C$19, $D$11, 100%, $F$11)</f>
        <v>4.6474000000000002</v>
      </c>
      <c r="K66" s="4"/>
      <c r="L66" s="9">
        <v>26.469899999999999</v>
      </c>
      <c r="M66" s="9">
        <v>10.8962</v>
      </c>
      <c r="N66" s="9">
        <v>4.4660000000000002</v>
      </c>
      <c r="O66" s="9">
        <v>0.33789999999999998</v>
      </c>
      <c r="P66" s="9">
        <v>1.1676</v>
      </c>
      <c r="Q66" s="9">
        <v>22.491800000000001</v>
      </c>
      <c r="R66" s="9"/>
      <c r="S66" s="11"/>
    </row>
    <row r="67" spans="1:19" ht="15" customHeight="1">
      <c r="A67" s="13">
        <v>43160</v>
      </c>
      <c r="B67" s="8">
        <f>CHOOSE( CONTROL!$C$36, 4.6802, 4.6791) * CHOOSE(CONTROL!$C$19, $D$11, 100%, $F$11)</f>
        <v>4.6802000000000001</v>
      </c>
      <c r="C67" s="8">
        <f>CHOOSE( CONTROL!$C$36, 4.6853, 4.6842) * CHOOSE(CONTROL!$C$19, $D$11, 100%, $F$11)</f>
        <v>4.6852999999999998</v>
      </c>
      <c r="D67" s="8">
        <f>CHOOSE( CONTROL!$C$36, 4.6858, 4.6847) * CHOOSE( CONTROL!$C$19, $D$11, 100%, $F$11)</f>
        <v>4.6858000000000004</v>
      </c>
      <c r="E67" s="12">
        <f>CHOOSE( CONTROL!$C$36, 4.6851, 4.684) * CHOOSE( CONTROL!$C$19, $D$11, 100%, $F$11)</f>
        <v>4.6851000000000003</v>
      </c>
      <c r="F67" s="4">
        <f>CHOOSE( CONTROL!$C$36, 5.3395, 5.3384) * CHOOSE(CONTROL!$C$19, $D$11, 100%, $F$11)</f>
        <v>5.3395000000000001</v>
      </c>
      <c r="G67" s="8">
        <f>CHOOSE( CONTROL!$C$36, 4.6612, 4.6601) * CHOOSE( CONTROL!$C$19, $D$11, 100%, $F$11)</f>
        <v>4.6612</v>
      </c>
      <c r="H67" s="4">
        <f>CHOOSE( CONTROL!$C$36, 5.5388, 5.5377) * CHOOSE(CONTROL!$C$19, $D$11, 100%, $F$11)</f>
        <v>5.5388000000000002</v>
      </c>
      <c r="I67" s="8">
        <f>CHOOSE( CONTROL!$C$36, 4.7122, 4.7112) * CHOOSE(CONTROL!$C$19, $D$11, 100%, $F$11)</f>
        <v>4.7122000000000002</v>
      </c>
      <c r="J67" s="4">
        <f>CHOOSE( CONTROL!$C$36, 4.5485, 4.5475) * CHOOSE(CONTROL!$C$19, $D$11, 100%, $F$11)</f>
        <v>4.5484999999999998</v>
      </c>
      <c r="K67" s="4"/>
      <c r="L67" s="9">
        <v>29.306000000000001</v>
      </c>
      <c r="M67" s="9">
        <v>12.063700000000001</v>
      </c>
      <c r="N67" s="9">
        <v>4.9444999999999997</v>
      </c>
      <c r="O67" s="9">
        <v>0.37409999999999999</v>
      </c>
      <c r="P67" s="9">
        <v>1.2927</v>
      </c>
      <c r="Q67" s="9">
        <v>24.901700000000002</v>
      </c>
      <c r="R67" s="9"/>
      <c r="S67" s="11"/>
    </row>
    <row r="68" spans="1:19" ht="15" customHeight="1">
      <c r="A68" s="13">
        <v>43191</v>
      </c>
      <c r="B68" s="8">
        <f>CHOOSE( CONTROL!$C$36, 4.7524, 4.7513) * CHOOSE(CONTROL!$C$19, $D$11, 100%, $F$11)</f>
        <v>4.7523999999999997</v>
      </c>
      <c r="C68" s="8">
        <f>CHOOSE( CONTROL!$C$36, 4.7569, 4.7558) * CHOOSE(CONTROL!$C$19, $D$11, 100%, $F$11)</f>
        <v>4.7568999999999999</v>
      </c>
      <c r="D68" s="8">
        <f>CHOOSE( CONTROL!$C$36, 4.7773, 4.7762) * CHOOSE( CONTROL!$C$19, $D$11, 100%, $F$11)</f>
        <v>4.7773000000000003</v>
      </c>
      <c r="E68" s="12">
        <f>CHOOSE( CONTROL!$C$36, 4.77, 4.7689) * CHOOSE( CONTROL!$C$19, $D$11, 100%, $F$11)</f>
        <v>4.7699999999999996</v>
      </c>
      <c r="F68" s="4">
        <f>CHOOSE( CONTROL!$C$36, 5.4868, 5.4857) * CHOOSE(CONTROL!$C$19, $D$11, 100%, $F$11)</f>
        <v>5.4867999999999997</v>
      </c>
      <c r="G68" s="8">
        <f>CHOOSE( CONTROL!$C$36, 4.7396, 4.7386) * CHOOSE( CONTROL!$C$19, $D$11, 100%, $F$11)</f>
        <v>4.7396000000000003</v>
      </c>
      <c r="H68" s="4">
        <f>CHOOSE( CONTROL!$C$36, 5.684, 5.683) * CHOOSE(CONTROL!$C$19, $D$11, 100%, $F$11)</f>
        <v>5.6840000000000002</v>
      </c>
      <c r="I68" s="8">
        <f>CHOOSE( CONTROL!$C$36, 4.7509, 4.7498) * CHOOSE(CONTROL!$C$19, $D$11, 100%, $F$11)</f>
        <v>4.7508999999999997</v>
      </c>
      <c r="J68" s="4">
        <f>CHOOSE( CONTROL!$C$36, 4.6176, 4.6166) * CHOOSE(CONTROL!$C$19, $D$11, 100%, $F$11)</f>
        <v>4.6176000000000004</v>
      </c>
      <c r="K68" s="4"/>
      <c r="L68" s="9">
        <v>30.092199999999998</v>
      </c>
      <c r="M68" s="9">
        <v>11.6745</v>
      </c>
      <c r="N68" s="9">
        <v>4.7850000000000001</v>
      </c>
      <c r="O68" s="9">
        <v>0.36199999999999999</v>
      </c>
      <c r="P68" s="9">
        <v>1.2509999999999999</v>
      </c>
      <c r="Q68" s="9">
        <v>24.098400000000002</v>
      </c>
      <c r="R68" s="9"/>
      <c r="S68" s="11"/>
    </row>
    <row r="69" spans="1:19" ht="15" customHeight="1">
      <c r="A69" s="13">
        <v>43221</v>
      </c>
      <c r="B69" s="8">
        <f>CHOOSE( CONTROL!$C$36, 4.8813, 4.8797) * CHOOSE(CONTROL!$C$19, $D$11, 100%, $F$11)</f>
        <v>4.8813000000000004</v>
      </c>
      <c r="C69" s="8">
        <f>CHOOSE( CONTROL!$C$36, 4.8893, 4.8877) * CHOOSE(CONTROL!$C$19, $D$11, 100%, $F$11)</f>
        <v>4.8893000000000004</v>
      </c>
      <c r="D69" s="8">
        <f>CHOOSE( CONTROL!$C$36, 4.9035, 4.9019) * CHOOSE( CONTROL!$C$19, $D$11, 100%, $F$11)</f>
        <v>4.9035000000000002</v>
      </c>
      <c r="E69" s="12">
        <f>CHOOSE( CONTROL!$C$36, 4.8971, 4.8955) * CHOOSE( CONTROL!$C$19, $D$11, 100%, $F$11)</f>
        <v>4.8971</v>
      </c>
      <c r="F69" s="4">
        <f>CHOOSE( CONTROL!$C$36, 5.6144, 5.6127) * CHOOSE(CONTROL!$C$19, $D$11, 100%, $F$11)</f>
        <v>5.6143999999999998</v>
      </c>
      <c r="G69" s="8">
        <f>CHOOSE( CONTROL!$C$36, 4.8654, 4.8638) * CHOOSE( CONTROL!$C$19, $D$11, 100%, $F$11)</f>
        <v>4.8654000000000002</v>
      </c>
      <c r="H69" s="4">
        <f>CHOOSE( CONTROL!$C$36, 5.8099, 5.8082) * CHOOSE(CONTROL!$C$19, $D$11, 100%, $F$11)</f>
        <v>5.8098999999999998</v>
      </c>
      <c r="I69" s="8">
        <f>CHOOSE( CONTROL!$C$36, 4.8741, 4.8725) * CHOOSE(CONTROL!$C$19, $D$11, 100%, $F$11)</f>
        <v>4.8741000000000003</v>
      </c>
      <c r="J69" s="4">
        <f>CHOOSE( CONTROL!$C$36, 4.7412, 4.7396) * CHOOSE(CONTROL!$C$19, $D$11, 100%, $F$11)</f>
        <v>4.7412000000000001</v>
      </c>
      <c r="K69" s="4"/>
      <c r="L69" s="9">
        <v>30.7165</v>
      </c>
      <c r="M69" s="9">
        <v>12.063700000000001</v>
      </c>
      <c r="N69" s="9">
        <v>4.9444999999999997</v>
      </c>
      <c r="O69" s="9">
        <v>0.37409999999999999</v>
      </c>
      <c r="P69" s="9">
        <v>1.2927</v>
      </c>
      <c r="Q69" s="9">
        <v>24.901700000000002</v>
      </c>
      <c r="R69" s="9"/>
      <c r="S69" s="11"/>
    </row>
    <row r="70" spans="1:19" ht="15" customHeight="1">
      <c r="A70" s="13">
        <v>43252</v>
      </c>
      <c r="B70" s="8">
        <f>CHOOSE( CONTROL!$C$36, 4.8026, 4.801) * CHOOSE(CONTROL!$C$19, $D$11, 100%, $F$11)</f>
        <v>4.8026</v>
      </c>
      <c r="C70" s="8">
        <f>CHOOSE( CONTROL!$C$36, 4.8106, 4.809) * CHOOSE(CONTROL!$C$19, $D$11, 100%, $F$11)</f>
        <v>4.8106</v>
      </c>
      <c r="D70" s="8">
        <f>CHOOSE( CONTROL!$C$36, 4.825, 4.8234) * CHOOSE( CONTROL!$C$19, $D$11, 100%, $F$11)</f>
        <v>4.8250000000000002</v>
      </c>
      <c r="E70" s="12">
        <f>CHOOSE( CONTROL!$C$36, 4.8186, 4.817) * CHOOSE( CONTROL!$C$19, $D$11, 100%, $F$11)</f>
        <v>4.8186</v>
      </c>
      <c r="F70" s="4">
        <f>CHOOSE( CONTROL!$C$36, 5.5357, 5.534) * CHOOSE(CONTROL!$C$19, $D$11, 100%, $F$11)</f>
        <v>5.5357000000000003</v>
      </c>
      <c r="G70" s="8">
        <f>CHOOSE( CONTROL!$C$36, 4.788, 4.7863) * CHOOSE( CONTROL!$C$19, $D$11, 100%, $F$11)</f>
        <v>4.7880000000000003</v>
      </c>
      <c r="H70" s="4">
        <f>CHOOSE( CONTROL!$C$36, 5.7323, 5.7306) * CHOOSE(CONTROL!$C$19, $D$11, 100%, $F$11)</f>
        <v>5.7323000000000004</v>
      </c>
      <c r="I70" s="8">
        <f>CHOOSE( CONTROL!$C$36, 4.7985, 4.7969) * CHOOSE(CONTROL!$C$19, $D$11, 100%, $F$11)</f>
        <v>4.7984999999999998</v>
      </c>
      <c r="J70" s="4">
        <f>CHOOSE( CONTROL!$C$36, 4.665, 4.6634) * CHOOSE(CONTROL!$C$19, $D$11, 100%, $F$11)</f>
        <v>4.665</v>
      </c>
      <c r="K70" s="4"/>
      <c r="L70" s="9">
        <v>29.7257</v>
      </c>
      <c r="M70" s="9">
        <v>11.6745</v>
      </c>
      <c r="N70" s="9">
        <v>4.7850000000000001</v>
      </c>
      <c r="O70" s="9">
        <v>0.36199999999999999</v>
      </c>
      <c r="P70" s="9">
        <v>1.2509999999999999</v>
      </c>
      <c r="Q70" s="9">
        <v>24.098400000000002</v>
      </c>
      <c r="R70" s="9"/>
      <c r="S70" s="11"/>
    </row>
    <row r="71" spans="1:19" ht="15" customHeight="1">
      <c r="A71" s="13">
        <v>43282</v>
      </c>
      <c r="B71" s="8">
        <f>CHOOSE( CONTROL!$C$36, 5.0099, 5.0082) * CHOOSE(CONTROL!$C$19, $D$11, 100%, $F$11)</f>
        <v>5.0099</v>
      </c>
      <c r="C71" s="8">
        <f>CHOOSE( CONTROL!$C$36, 5.0179, 5.0162) * CHOOSE(CONTROL!$C$19, $D$11, 100%, $F$11)</f>
        <v>5.0179</v>
      </c>
      <c r="D71" s="8">
        <f>CHOOSE( CONTROL!$C$36, 5.0325, 5.0308) * CHOOSE( CONTROL!$C$19, $D$11, 100%, $F$11)</f>
        <v>5.0324999999999998</v>
      </c>
      <c r="E71" s="12">
        <f>CHOOSE( CONTROL!$C$36, 5.026, 5.0243) * CHOOSE( CONTROL!$C$19, $D$11, 100%, $F$11)</f>
        <v>5.0259999999999998</v>
      </c>
      <c r="F71" s="4">
        <f>CHOOSE( CONTROL!$C$36, 5.7429, 5.7412) * CHOOSE(CONTROL!$C$19, $D$11, 100%, $F$11)</f>
        <v>5.7428999999999997</v>
      </c>
      <c r="G71" s="8">
        <f>CHOOSE( CONTROL!$C$36, 4.9925, 4.9909) * CHOOSE( CONTROL!$C$19, $D$11, 100%, $F$11)</f>
        <v>4.9924999999999997</v>
      </c>
      <c r="H71" s="4">
        <f>CHOOSE( CONTROL!$C$36, 5.9366, 5.935) * CHOOSE(CONTROL!$C$19, $D$11, 100%, $F$11)</f>
        <v>5.9366000000000003</v>
      </c>
      <c r="I71" s="8">
        <f>CHOOSE( CONTROL!$C$36, 5.0001, 4.9985) * CHOOSE(CONTROL!$C$19, $D$11, 100%, $F$11)</f>
        <v>5.0000999999999998</v>
      </c>
      <c r="J71" s="4">
        <f>CHOOSE( CONTROL!$C$36, 4.8657, 4.8641) * CHOOSE(CONTROL!$C$19, $D$11, 100%, $F$11)</f>
        <v>4.8657000000000004</v>
      </c>
      <c r="K71" s="4"/>
      <c r="L71" s="9">
        <v>30.7165</v>
      </c>
      <c r="M71" s="9">
        <v>12.063700000000001</v>
      </c>
      <c r="N71" s="9">
        <v>4.9444999999999997</v>
      </c>
      <c r="O71" s="9">
        <v>0.37409999999999999</v>
      </c>
      <c r="P71" s="9">
        <v>1.2927</v>
      </c>
      <c r="Q71" s="9">
        <v>24.901700000000002</v>
      </c>
      <c r="R71" s="9"/>
      <c r="S71" s="11"/>
    </row>
    <row r="72" spans="1:19" ht="15" customHeight="1">
      <c r="A72" s="13">
        <v>43313</v>
      </c>
      <c r="B72" s="8">
        <f>CHOOSE( CONTROL!$C$36, 4.6221, 4.6205) * CHOOSE(CONTROL!$C$19, $D$11, 100%, $F$11)</f>
        <v>4.6220999999999997</v>
      </c>
      <c r="C72" s="8">
        <f>CHOOSE( CONTROL!$C$36, 4.6301, 4.6285) * CHOOSE(CONTROL!$C$19, $D$11, 100%, $F$11)</f>
        <v>4.6300999999999997</v>
      </c>
      <c r="D72" s="8">
        <f>CHOOSE( CONTROL!$C$36, 4.6448, 4.6431) * CHOOSE( CONTROL!$C$19, $D$11, 100%, $F$11)</f>
        <v>4.6448</v>
      </c>
      <c r="E72" s="12">
        <f>CHOOSE( CONTROL!$C$36, 4.6383, 4.6366) * CHOOSE( CONTROL!$C$19, $D$11, 100%, $F$11)</f>
        <v>4.6383000000000001</v>
      </c>
      <c r="F72" s="4">
        <f>CHOOSE( CONTROL!$C$36, 5.3551, 5.3535) * CHOOSE(CONTROL!$C$19, $D$11, 100%, $F$11)</f>
        <v>5.3551000000000002</v>
      </c>
      <c r="G72" s="8">
        <f>CHOOSE( CONTROL!$C$36, 4.6102, 4.6086) * CHOOSE( CONTROL!$C$19, $D$11, 100%, $F$11)</f>
        <v>4.6101999999999999</v>
      </c>
      <c r="H72" s="4">
        <f>CHOOSE( CONTROL!$C$36, 5.5543, 5.5526) * CHOOSE(CONTROL!$C$19, $D$11, 100%, $F$11)</f>
        <v>5.5542999999999996</v>
      </c>
      <c r="I72" s="8">
        <f>CHOOSE( CONTROL!$C$36, 4.6247, 4.623) * CHOOSE(CONTROL!$C$19, $D$11, 100%, $F$11)</f>
        <v>4.6246999999999998</v>
      </c>
      <c r="J72" s="4">
        <f>CHOOSE( CONTROL!$C$36, 4.4902, 4.4886) * CHOOSE(CONTROL!$C$19, $D$11, 100%, $F$11)</f>
        <v>4.4901999999999997</v>
      </c>
      <c r="K72" s="4"/>
      <c r="L72" s="9">
        <v>30.7165</v>
      </c>
      <c r="M72" s="9">
        <v>12.063700000000001</v>
      </c>
      <c r="N72" s="9">
        <v>4.9444999999999997</v>
      </c>
      <c r="O72" s="9">
        <v>0.37409999999999999</v>
      </c>
      <c r="P72" s="9">
        <v>1.2927</v>
      </c>
      <c r="Q72" s="9">
        <v>24.901700000000002</v>
      </c>
      <c r="R72" s="9"/>
      <c r="S72" s="11"/>
    </row>
    <row r="73" spans="1:19" ht="15" customHeight="1">
      <c r="A73" s="13">
        <v>43344</v>
      </c>
      <c r="B73" s="8">
        <f>CHOOSE( CONTROL!$C$36, 4.525, 4.5234) * CHOOSE(CONTROL!$C$19, $D$11, 100%, $F$11)</f>
        <v>4.5250000000000004</v>
      </c>
      <c r="C73" s="8">
        <f>CHOOSE( CONTROL!$C$36, 4.533, 4.5314) * CHOOSE(CONTROL!$C$19, $D$11, 100%, $F$11)</f>
        <v>4.5330000000000004</v>
      </c>
      <c r="D73" s="8">
        <f>CHOOSE( CONTROL!$C$36, 4.5476, 4.5459) * CHOOSE( CONTROL!$C$19, $D$11, 100%, $F$11)</f>
        <v>4.5476000000000001</v>
      </c>
      <c r="E73" s="12">
        <f>CHOOSE( CONTROL!$C$36, 4.5411, 4.5394) * CHOOSE( CONTROL!$C$19, $D$11, 100%, $F$11)</f>
        <v>4.5411000000000001</v>
      </c>
      <c r="F73" s="4">
        <f>CHOOSE( CONTROL!$C$36, 5.258, 5.2564) * CHOOSE(CONTROL!$C$19, $D$11, 100%, $F$11)</f>
        <v>5.258</v>
      </c>
      <c r="G73" s="8">
        <f>CHOOSE( CONTROL!$C$36, 4.5144, 4.5127) * CHOOSE( CONTROL!$C$19, $D$11, 100%, $F$11)</f>
        <v>4.5144000000000002</v>
      </c>
      <c r="H73" s="4">
        <f>CHOOSE( CONTROL!$C$36, 5.4585, 5.4569) * CHOOSE(CONTROL!$C$19, $D$11, 100%, $F$11)</f>
        <v>5.4584999999999999</v>
      </c>
      <c r="I73" s="8">
        <f>CHOOSE( CONTROL!$C$36, 4.5302, 4.5286) * CHOOSE(CONTROL!$C$19, $D$11, 100%, $F$11)</f>
        <v>4.5301999999999998</v>
      </c>
      <c r="J73" s="4">
        <f>CHOOSE( CONTROL!$C$36, 4.3962, 4.3946) * CHOOSE(CONTROL!$C$19, $D$11, 100%, $F$11)</f>
        <v>4.3962000000000003</v>
      </c>
      <c r="K73" s="4"/>
      <c r="L73" s="9">
        <v>29.7257</v>
      </c>
      <c r="M73" s="9">
        <v>11.6745</v>
      </c>
      <c r="N73" s="9">
        <v>4.7850000000000001</v>
      </c>
      <c r="O73" s="9">
        <v>0.36199999999999999</v>
      </c>
      <c r="P73" s="9">
        <v>1.2509999999999999</v>
      </c>
      <c r="Q73" s="9">
        <v>24.098400000000002</v>
      </c>
      <c r="R73" s="9"/>
      <c r="S73" s="11"/>
    </row>
    <row r="74" spans="1:19" ht="15" customHeight="1">
      <c r="A74" s="13">
        <v>43374</v>
      </c>
      <c r="B74" s="8">
        <f>CHOOSE( CONTROL!$C$36, 4.7243, 4.7232) * CHOOSE(CONTROL!$C$19, $D$11, 100%, $F$11)</f>
        <v>4.7243000000000004</v>
      </c>
      <c r="C74" s="8">
        <f>CHOOSE( CONTROL!$C$36, 4.7297, 4.7286) * CHOOSE(CONTROL!$C$19, $D$11, 100%, $F$11)</f>
        <v>4.7297000000000002</v>
      </c>
      <c r="D74" s="8">
        <f>CHOOSE( CONTROL!$C$36, 4.7502, 4.7491) * CHOOSE( CONTROL!$C$19, $D$11, 100%, $F$11)</f>
        <v>4.7502000000000004</v>
      </c>
      <c r="E74" s="12">
        <f>CHOOSE( CONTROL!$C$36, 4.7429, 4.7418) * CHOOSE( CONTROL!$C$19, $D$11, 100%, $F$11)</f>
        <v>4.7428999999999997</v>
      </c>
      <c r="F74" s="4">
        <f>CHOOSE( CONTROL!$C$36, 5.4591, 5.458) * CHOOSE(CONTROL!$C$19, $D$11, 100%, $F$11)</f>
        <v>5.4591000000000003</v>
      </c>
      <c r="G74" s="8">
        <f>CHOOSE( CONTROL!$C$36, 4.7128, 4.7117) * CHOOSE( CONTROL!$C$19, $D$11, 100%, $F$11)</f>
        <v>4.7127999999999997</v>
      </c>
      <c r="H74" s="4">
        <f>CHOOSE( CONTROL!$C$36, 5.6568, 5.6557) * CHOOSE(CONTROL!$C$19, $D$11, 100%, $F$11)</f>
        <v>5.6567999999999996</v>
      </c>
      <c r="I74" s="8">
        <f>CHOOSE( CONTROL!$C$36, 4.726, 4.725) * CHOOSE(CONTROL!$C$19, $D$11, 100%, $F$11)</f>
        <v>4.726</v>
      </c>
      <c r="J74" s="4">
        <f>CHOOSE( CONTROL!$C$36, 4.5908, 4.5898) * CHOOSE(CONTROL!$C$19, $D$11, 100%, $F$11)</f>
        <v>4.5907999999999998</v>
      </c>
      <c r="K74" s="4"/>
      <c r="L74" s="9">
        <v>31.095300000000002</v>
      </c>
      <c r="M74" s="9">
        <v>12.063700000000001</v>
      </c>
      <c r="N74" s="9">
        <v>4.9444999999999997</v>
      </c>
      <c r="O74" s="9">
        <v>0.37409999999999999</v>
      </c>
      <c r="P74" s="9">
        <v>1.2927</v>
      </c>
      <c r="Q74" s="9">
        <v>24.901700000000002</v>
      </c>
      <c r="R74" s="9"/>
      <c r="S74" s="11"/>
    </row>
    <row r="75" spans="1:19" ht="15" customHeight="1">
      <c r="A75" s="13">
        <v>43405</v>
      </c>
      <c r="B75" s="8">
        <f>CHOOSE( CONTROL!$C$36, 5.0961, 5.095) * CHOOSE(CONTROL!$C$19, $D$11, 100%, $F$11)</f>
        <v>5.0960999999999999</v>
      </c>
      <c r="C75" s="8">
        <f>CHOOSE( CONTROL!$C$36, 5.1012, 5.1001) * CHOOSE(CONTROL!$C$19, $D$11, 100%, $F$11)</f>
        <v>5.1012000000000004</v>
      </c>
      <c r="D75" s="8">
        <f>CHOOSE( CONTROL!$C$36, 5.0804, 5.0793) * CHOOSE( CONTROL!$C$19, $D$11, 100%, $F$11)</f>
        <v>5.0804</v>
      </c>
      <c r="E75" s="12">
        <f>CHOOSE( CONTROL!$C$36, 5.0875, 5.0864) * CHOOSE( CONTROL!$C$19, $D$11, 100%, $F$11)</f>
        <v>5.0875000000000004</v>
      </c>
      <c r="F75" s="4">
        <f>CHOOSE( CONTROL!$C$36, 5.7553, 5.7542) * CHOOSE(CONTROL!$C$19, $D$11, 100%, $F$11)</f>
        <v>5.7553000000000001</v>
      </c>
      <c r="G75" s="8">
        <f>CHOOSE( CONTROL!$C$36, 5.0597, 5.0586) * CHOOSE( CONTROL!$C$19, $D$11, 100%, $F$11)</f>
        <v>5.0597000000000003</v>
      </c>
      <c r="H75" s="4">
        <f>CHOOSE( CONTROL!$C$36, 5.9489, 5.9478) * CHOOSE(CONTROL!$C$19, $D$11, 100%, $F$11)</f>
        <v>5.9489000000000001</v>
      </c>
      <c r="I75" s="8">
        <f>CHOOSE( CONTROL!$C$36, 5.1357, 5.1346) * CHOOSE(CONTROL!$C$19, $D$11, 100%, $F$11)</f>
        <v>5.1356999999999999</v>
      </c>
      <c r="J75" s="4">
        <f>CHOOSE( CONTROL!$C$36, 4.9512, 4.9501) * CHOOSE(CONTROL!$C$19, $D$11, 100%, $F$11)</f>
        <v>4.9512</v>
      </c>
      <c r="K75" s="4"/>
      <c r="L75" s="9">
        <v>28.360600000000002</v>
      </c>
      <c r="M75" s="9">
        <v>11.6745</v>
      </c>
      <c r="N75" s="9">
        <v>4.7850000000000001</v>
      </c>
      <c r="O75" s="9">
        <v>0.36199999999999999</v>
      </c>
      <c r="P75" s="9">
        <v>1.2509999999999999</v>
      </c>
      <c r="Q75" s="9">
        <v>24.098400000000002</v>
      </c>
      <c r="R75" s="9"/>
      <c r="S75" s="11"/>
    </row>
    <row r="76" spans="1:19" ht="15" customHeight="1">
      <c r="A76" s="13">
        <v>43435</v>
      </c>
      <c r="B76" s="8">
        <f>CHOOSE( CONTROL!$C$36, 5.0868, 5.0857) * CHOOSE(CONTROL!$C$19, $D$11, 100%, $F$11)</f>
        <v>5.0868000000000002</v>
      </c>
      <c r="C76" s="8">
        <f>CHOOSE( CONTROL!$C$36, 5.0919, 5.0908) * CHOOSE(CONTROL!$C$19, $D$11, 100%, $F$11)</f>
        <v>5.0918999999999999</v>
      </c>
      <c r="D76" s="8">
        <f>CHOOSE( CONTROL!$C$36, 5.0725, 5.0714) * CHOOSE( CONTROL!$C$19, $D$11, 100%, $F$11)</f>
        <v>5.0724999999999998</v>
      </c>
      <c r="E76" s="12">
        <f>CHOOSE( CONTROL!$C$36, 5.0791, 5.078) * CHOOSE( CONTROL!$C$19, $D$11, 100%, $F$11)</f>
        <v>5.0791000000000004</v>
      </c>
      <c r="F76" s="4">
        <f>CHOOSE( CONTROL!$C$36, 5.746, 5.7449) * CHOOSE(CONTROL!$C$19, $D$11, 100%, $F$11)</f>
        <v>5.7460000000000004</v>
      </c>
      <c r="G76" s="8">
        <f>CHOOSE( CONTROL!$C$36, 5.0515, 5.0505) * CHOOSE( CONTROL!$C$19, $D$11, 100%, $F$11)</f>
        <v>5.0514999999999999</v>
      </c>
      <c r="H76" s="4">
        <f>CHOOSE( CONTROL!$C$36, 5.9397, 5.9386) * CHOOSE(CONTROL!$C$19, $D$11, 100%, $F$11)</f>
        <v>5.9397000000000002</v>
      </c>
      <c r="I76" s="8">
        <f>CHOOSE( CONTROL!$C$36, 5.131, 5.1299) * CHOOSE(CONTROL!$C$19, $D$11, 100%, $F$11)</f>
        <v>5.1310000000000002</v>
      </c>
      <c r="J76" s="4">
        <f>CHOOSE( CONTROL!$C$36, 4.9422, 4.9411) * CHOOSE(CONTROL!$C$19, $D$11, 100%, $F$11)</f>
        <v>4.9421999999999997</v>
      </c>
      <c r="K76" s="4"/>
      <c r="L76" s="9">
        <v>29.306000000000001</v>
      </c>
      <c r="M76" s="9">
        <v>12.063700000000001</v>
      </c>
      <c r="N76" s="9">
        <v>4.9444999999999997</v>
      </c>
      <c r="O76" s="9">
        <v>0.37409999999999999</v>
      </c>
      <c r="P76" s="9">
        <v>1.2927</v>
      </c>
      <c r="Q76" s="9">
        <v>24.901700000000002</v>
      </c>
      <c r="R76" s="9"/>
      <c r="S76" s="11"/>
    </row>
    <row r="77" spans="1:19" ht="15" customHeight="1">
      <c r="A77" s="13">
        <v>43466</v>
      </c>
      <c r="B77" s="8">
        <f>CHOOSE( CONTROL!$C$36, 5.768, 5.7669) * CHOOSE(CONTROL!$C$19, $D$11, 100%, $F$11)</f>
        <v>5.7679999999999998</v>
      </c>
      <c r="C77" s="8">
        <f>CHOOSE( CONTROL!$C$36, 5.7731, 5.772) * CHOOSE(CONTROL!$C$19, $D$11, 100%, $F$11)</f>
        <v>5.7731000000000003</v>
      </c>
      <c r="D77" s="8">
        <f>CHOOSE( CONTROL!$C$36, 5.7744, 5.7733) * CHOOSE( CONTROL!$C$19, $D$11, 100%, $F$11)</f>
        <v>5.7744</v>
      </c>
      <c r="E77" s="12">
        <f>CHOOSE( CONTROL!$C$36, 5.7734, 5.7723) * CHOOSE( CONTROL!$C$19, $D$11, 100%, $F$11)</f>
        <v>5.7733999999999996</v>
      </c>
      <c r="F77" s="4">
        <f>CHOOSE( CONTROL!$C$36, 6.4273, 6.4262) * CHOOSE(CONTROL!$C$19, $D$11, 100%, $F$11)</f>
        <v>6.4272999999999998</v>
      </c>
      <c r="G77" s="8">
        <f>CHOOSE( CONTROL!$C$36, 5.7343, 5.7332) * CHOOSE( CONTROL!$C$19, $D$11, 100%, $F$11)</f>
        <v>5.7343000000000002</v>
      </c>
      <c r="H77" s="4">
        <f>CHOOSE( CONTROL!$C$36, 6.6114, 6.6104) * CHOOSE(CONTROL!$C$19, $D$11, 100%, $F$11)</f>
        <v>6.6113999999999997</v>
      </c>
      <c r="I77" s="8">
        <f>CHOOSE( CONTROL!$C$36, 5.7684, 5.7674) * CHOOSE(CONTROL!$C$19, $D$11, 100%, $F$11)</f>
        <v>5.7683999999999997</v>
      </c>
      <c r="J77" s="4">
        <f>CHOOSE( CONTROL!$C$36, 5.6018, 5.6008) * CHOOSE(CONTROL!$C$19, $D$11, 100%, $F$11)</f>
        <v>5.6017999999999999</v>
      </c>
      <c r="K77" s="4"/>
      <c r="L77" s="9">
        <v>29.306000000000001</v>
      </c>
      <c r="M77" s="9">
        <v>12.063700000000001</v>
      </c>
      <c r="N77" s="9">
        <v>4.9444999999999997</v>
      </c>
      <c r="O77" s="9">
        <v>0.37409999999999999</v>
      </c>
      <c r="P77" s="9">
        <v>1.2927</v>
      </c>
      <c r="Q77" s="9">
        <v>24.651199999999999</v>
      </c>
      <c r="R77" s="9"/>
      <c r="S77" s="11"/>
    </row>
    <row r="78" spans="1:19" ht="15" customHeight="1">
      <c r="A78" s="13">
        <v>43497</v>
      </c>
      <c r="B78" s="8">
        <f>CHOOSE( CONTROL!$C$36, 5.3941, 5.393) * CHOOSE(CONTROL!$C$19, $D$11, 100%, $F$11)</f>
        <v>5.3940999999999999</v>
      </c>
      <c r="C78" s="8">
        <f>CHOOSE( CONTROL!$C$36, 5.3992, 5.3981) * CHOOSE(CONTROL!$C$19, $D$11, 100%, $F$11)</f>
        <v>5.3992000000000004</v>
      </c>
      <c r="D78" s="8">
        <f>CHOOSE( CONTROL!$C$36, 5.4003, 5.3992) * CHOOSE( CONTROL!$C$19, $D$11, 100%, $F$11)</f>
        <v>5.4002999999999997</v>
      </c>
      <c r="E78" s="12">
        <f>CHOOSE( CONTROL!$C$36, 5.3994, 5.3983) * CHOOSE( CONTROL!$C$19, $D$11, 100%, $F$11)</f>
        <v>5.3994</v>
      </c>
      <c r="F78" s="4">
        <f>CHOOSE( CONTROL!$C$36, 6.0533, 6.0522) * CHOOSE(CONTROL!$C$19, $D$11, 100%, $F$11)</f>
        <v>6.0533000000000001</v>
      </c>
      <c r="G78" s="8">
        <f>CHOOSE( CONTROL!$C$36, 5.3655, 5.3644) * CHOOSE( CONTROL!$C$19, $D$11, 100%, $F$11)</f>
        <v>5.3654999999999999</v>
      </c>
      <c r="H78" s="4">
        <f>CHOOSE( CONTROL!$C$36, 6.2427, 6.2416) * CHOOSE(CONTROL!$C$19, $D$11, 100%, $F$11)</f>
        <v>6.2427000000000001</v>
      </c>
      <c r="I78" s="8">
        <f>CHOOSE( CONTROL!$C$36, 5.4058, 5.4047) * CHOOSE(CONTROL!$C$19, $D$11, 100%, $F$11)</f>
        <v>5.4058000000000002</v>
      </c>
      <c r="J78" s="4">
        <f>CHOOSE( CONTROL!$C$36, 5.2397, 5.2387) * CHOOSE(CONTROL!$C$19, $D$11, 100%, $F$11)</f>
        <v>5.2397</v>
      </c>
      <c r="K78" s="4"/>
      <c r="L78" s="9">
        <v>26.469899999999999</v>
      </c>
      <c r="M78" s="9">
        <v>10.8962</v>
      </c>
      <c r="N78" s="9">
        <v>4.4660000000000002</v>
      </c>
      <c r="O78" s="9">
        <v>0.33789999999999998</v>
      </c>
      <c r="P78" s="9">
        <v>1.1676</v>
      </c>
      <c r="Q78" s="9">
        <v>22.265599999999999</v>
      </c>
      <c r="R78" s="9"/>
      <c r="S78" s="11"/>
    </row>
    <row r="79" spans="1:19" ht="15" customHeight="1">
      <c r="A79" s="13">
        <v>43525</v>
      </c>
      <c r="B79" s="8">
        <f>CHOOSE( CONTROL!$C$36, 5.2789, 5.2778) * CHOOSE(CONTROL!$C$19, $D$11, 100%, $F$11)</f>
        <v>5.2789000000000001</v>
      </c>
      <c r="C79" s="8">
        <f>CHOOSE( CONTROL!$C$36, 5.284, 5.2829) * CHOOSE(CONTROL!$C$19, $D$11, 100%, $F$11)</f>
        <v>5.2839999999999998</v>
      </c>
      <c r="D79" s="8">
        <f>CHOOSE( CONTROL!$C$36, 5.2845, 5.2834) * CHOOSE( CONTROL!$C$19, $D$11, 100%, $F$11)</f>
        <v>5.2845000000000004</v>
      </c>
      <c r="E79" s="12">
        <f>CHOOSE( CONTROL!$C$36, 5.2838, 5.2827) * CHOOSE( CONTROL!$C$19, $D$11, 100%, $F$11)</f>
        <v>5.2838000000000003</v>
      </c>
      <c r="F79" s="4">
        <f>CHOOSE( CONTROL!$C$36, 5.9382, 5.9371) * CHOOSE(CONTROL!$C$19, $D$11, 100%, $F$11)</f>
        <v>5.9382000000000001</v>
      </c>
      <c r="G79" s="8">
        <f>CHOOSE( CONTROL!$C$36, 5.2515, 5.2504) * CHOOSE( CONTROL!$C$19, $D$11, 100%, $F$11)</f>
        <v>5.2515000000000001</v>
      </c>
      <c r="H79" s="4">
        <f>CHOOSE( CONTROL!$C$36, 6.1292, 6.1281) * CHOOSE(CONTROL!$C$19, $D$11, 100%, $F$11)</f>
        <v>6.1292</v>
      </c>
      <c r="I79" s="8">
        <f>CHOOSE( CONTROL!$C$36, 5.2922, 5.2912) * CHOOSE(CONTROL!$C$19, $D$11, 100%, $F$11)</f>
        <v>5.2922000000000002</v>
      </c>
      <c r="J79" s="4">
        <f>CHOOSE( CONTROL!$C$36, 5.1282, 5.1272) * CHOOSE(CONTROL!$C$19, $D$11, 100%, $F$11)</f>
        <v>5.1281999999999996</v>
      </c>
      <c r="K79" s="4"/>
      <c r="L79" s="9">
        <v>29.306000000000001</v>
      </c>
      <c r="M79" s="9">
        <v>12.063700000000001</v>
      </c>
      <c r="N79" s="9">
        <v>4.9444999999999997</v>
      </c>
      <c r="O79" s="9">
        <v>0.37409999999999999</v>
      </c>
      <c r="P79" s="9">
        <v>1.2927</v>
      </c>
      <c r="Q79" s="9">
        <v>24.651199999999999</v>
      </c>
      <c r="R79" s="9"/>
      <c r="S79" s="11"/>
    </row>
    <row r="80" spans="1:19" ht="15" customHeight="1">
      <c r="A80" s="13">
        <v>43556</v>
      </c>
      <c r="B80" s="8">
        <f>CHOOSE( CONTROL!$C$36, 5.3601, 5.3591) * CHOOSE(CONTROL!$C$19, $D$11, 100%, $F$11)</f>
        <v>5.3601000000000001</v>
      </c>
      <c r="C80" s="8">
        <f>CHOOSE( CONTROL!$C$36, 5.3647, 5.3636) * CHOOSE(CONTROL!$C$19, $D$11, 100%, $F$11)</f>
        <v>5.3647</v>
      </c>
      <c r="D80" s="8">
        <f>CHOOSE( CONTROL!$C$36, 5.3851, 5.384) * CHOOSE( CONTROL!$C$19, $D$11, 100%, $F$11)</f>
        <v>5.3851000000000004</v>
      </c>
      <c r="E80" s="12">
        <f>CHOOSE( CONTROL!$C$36, 5.3778, 5.3767) * CHOOSE( CONTROL!$C$19, $D$11, 100%, $F$11)</f>
        <v>5.3777999999999997</v>
      </c>
      <c r="F80" s="4">
        <f>CHOOSE( CONTROL!$C$36, 6.0945, 6.0935) * CHOOSE(CONTROL!$C$19, $D$11, 100%, $F$11)</f>
        <v>6.0945</v>
      </c>
      <c r="G80" s="8">
        <f>CHOOSE( CONTROL!$C$36, 5.3389, 5.3379) * CHOOSE( CONTROL!$C$19, $D$11, 100%, $F$11)</f>
        <v>5.3388999999999998</v>
      </c>
      <c r="H80" s="4">
        <f>CHOOSE( CONTROL!$C$36, 6.2834, 6.2823) * CHOOSE(CONTROL!$C$19, $D$11, 100%, $F$11)</f>
        <v>6.2834000000000003</v>
      </c>
      <c r="I80" s="8">
        <f>CHOOSE( CONTROL!$C$36, 5.3397, 5.3386) * CHOOSE(CONTROL!$C$19, $D$11, 100%, $F$11)</f>
        <v>5.3396999999999997</v>
      </c>
      <c r="J80" s="4">
        <f>CHOOSE( CONTROL!$C$36, 5.2061, 5.2051) * CHOOSE(CONTROL!$C$19, $D$11, 100%, $F$11)</f>
        <v>5.2061000000000002</v>
      </c>
      <c r="K80" s="4"/>
      <c r="L80" s="9">
        <v>30.092199999999998</v>
      </c>
      <c r="M80" s="9">
        <v>11.6745</v>
      </c>
      <c r="N80" s="9">
        <v>4.7850000000000001</v>
      </c>
      <c r="O80" s="9">
        <v>0.36199999999999999</v>
      </c>
      <c r="P80" s="9">
        <v>1.2509999999999999</v>
      </c>
      <c r="Q80" s="9">
        <v>23.856000000000002</v>
      </c>
      <c r="R80" s="9"/>
      <c r="S80" s="11"/>
    </row>
    <row r="81" spans="1:19" ht="15" customHeight="1">
      <c r="A81" s="13">
        <v>43586</v>
      </c>
      <c r="B81" s="8">
        <f>CHOOSE( CONTROL!$C$36, 5.5053, 5.5037) * CHOOSE(CONTROL!$C$19, $D$11, 100%, $F$11)</f>
        <v>5.5053000000000001</v>
      </c>
      <c r="C81" s="8">
        <f>CHOOSE( CONTROL!$C$36, 5.5133, 5.5117) * CHOOSE(CONTROL!$C$19, $D$11, 100%, $F$11)</f>
        <v>5.5133000000000001</v>
      </c>
      <c r="D81" s="8">
        <f>CHOOSE( CONTROL!$C$36, 5.5275, 5.5258) * CHOOSE( CONTROL!$C$19, $D$11, 100%, $F$11)</f>
        <v>5.5274999999999999</v>
      </c>
      <c r="E81" s="12">
        <f>CHOOSE( CONTROL!$C$36, 5.5211, 5.5195) * CHOOSE( CONTROL!$C$19, $D$11, 100%, $F$11)</f>
        <v>5.5210999999999997</v>
      </c>
      <c r="F81" s="4">
        <f>CHOOSE( CONTROL!$C$36, 6.2383, 6.2367) * CHOOSE(CONTROL!$C$19, $D$11, 100%, $F$11)</f>
        <v>6.2382999999999997</v>
      </c>
      <c r="G81" s="8">
        <f>CHOOSE( CONTROL!$C$36, 5.4807, 5.4791) * CHOOSE( CONTROL!$C$19, $D$11, 100%, $F$11)</f>
        <v>5.4806999999999997</v>
      </c>
      <c r="H81" s="4">
        <f>CHOOSE( CONTROL!$C$36, 6.4252, 6.4235) * CHOOSE(CONTROL!$C$19, $D$11, 100%, $F$11)</f>
        <v>6.4252000000000002</v>
      </c>
      <c r="I81" s="8">
        <f>CHOOSE( CONTROL!$C$36, 5.4786, 5.477) * CHOOSE(CONTROL!$C$19, $D$11, 100%, $F$11)</f>
        <v>5.4786000000000001</v>
      </c>
      <c r="J81" s="4">
        <f>CHOOSE( CONTROL!$C$36, 5.3454, 5.3438) * CHOOSE(CONTROL!$C$19, $D$11, 100%, $F$11)</f>
        <v>5.3453999999999997</v>
      </c>
      <c r="K81" s="4"/>
      <c r="L81" s="9">
        <v>30.7165</v>
      </c>
      <c r="M81" s="9">
        <v>12.063700000000001</v>
      </c>
      <c r="N81" s="9">
        <v>4.9444999999999997</v>
      </c>
      <c r="O81" s="9">
        <v>0.37409999999999999</v>
      </c>
      <c r="P81" s="9">
        <v>1.2927</v>
      </c>
      <c r="Q81" s="9">
        <v>24.651199999999999</v>
      </c>
      <c r="R81" s="9"/>
      <c r="S81" s="11"/>
    </row>
    <row r="82" spans="1:19" ht="15" customHeight="1">
      <c r="A82" s="13">
        <v>43617</v>
      </c>
      <c r="B82" s="8">
        <f>CHOOSE( CONTROL!$C$36, 5.4166, 5.4149) * CHOOSE(CONTROL!$C$19, $D$11, 100%, $F$11)</f>
        <v>5.4165999999999999</v>
      </c>
      <c r="C82" s="8">
        <f>CHOOSE( CONTROL!$C$36, 5.4246, 5.4229) * CHOOSE(CONTROL!$C$19, $D$11, 100%, $F$11)</f>
        <v>5.4245999999999999</v>
      </c>
      <c r="D82" s="8">
        <f>CHOOSE( CONTROL!$C$36, 5.439, 5.4373) * CHOOSE( CONTROL!$C$19, $D$11, 100%, $F$11)</f>
        <v>5.4390000000000001</v>
      </c>
      <c r="E82" s="12">
        <f>CHOOSE( CONTROL!$C$36, 5.4326, 5.4309) * CHOOSE( CONTROL!$C$19, $D$11, 100%, $F$11)</f>
        <v>5.4325999999999999</v>
      </c>
      <c r="F82" s="4">
        <f>CHOOSE( CONTROL!$C$36, 6.1496, 6.148) * CHOOSE(CONTROL!$C$19, $D$11, 100%, $F$11)</f>
        <v>6.1496000000000004</v>
      </c>
      <c r="G82" s="8">
        <f>CHOOSE( CONTROL!$C$36, 5.3934, 5.3917) * CHOOSE( CONTROL!$C$19, $D$11, 100%, $F$11)</f>
        <v>5.3933999999999997</v>
      </c>
      <c r="H82" s="4">
        <f>CHOOSE( CONTROL!$C$36, 6.3377, 6.336) * CHOOSE(CONTROL!$C$19, $D$11, 100%, $F$11)</f>
        <v>6.3376999999999999</v>
      </c>
      <c r="I82" s="8">
        <f>CHOOSE( CONTROL!$C$36, 5.3933, 5.3917) * CHOOSE(CONTROL!$C$19, $D$11, 100%, $F$11)</f>
        <v>5.3933</v>
      </c>
      <c r="J82" s="4">
        <f>CHOOSE( CONTROL!$C$36, 5.2595, 5.2579) * CHOOSE(CONTROL!$C$19, $D$11, 100%, $F$11)</f>
        <v>5.2595000000000001</v>
      </c>
      <c r="K82" s="4"/>
      <c r="L82" s="9">
        <v>29.7257</v>
      </c>
      <c r="M82" s="9">
        <v>11.6745</v>
      </c>
      <c r="N82" s="9">
        <v>4.7850000000000001</v>
      </c>
      <c r="O82" s="9">
        <v>0.36199999999999999</v>
      </c>
      <c r="P82" s="9">
        <v>1.2509999999999999</v>
      </c>
      <c r="Q82" s="9">
        <v>23.856000000000002</v>
      </c>
      <c r="R82" s="9"/>
      <c r="S82" s="11"/>
    </row>
    <row r="83" spans="1:19" ht="15" customHeight="1">
      <c r="A83" s="13">
        <v>43647</v>
      </c>
      <c r="B83" s="8">
        <f>CHOOSE( CONTROL!$C$36, 5.6502, 5.6486) * CHOOSE(CONTROL!$C$19, $D$11, 100%, $F$11)</f>
        <v>5.6501999999999999</v>
      </c>
      <c r="C83" s="8">
        <f>CHOOSE( CONTROL!$C$36, 5.6582, 5.6566) * CHOOSE(CONTROL!$C$19, $D$11, 100%, $F$11)</f>
        <v>5.6581999999999999</v>
      </c>
      <c r="D83" s="8">
        <f>CHOOSE( CONTROL!$C$36, 5.6729, 5.6712) * CHOOSE( CONTROL!$C$19, $D$11, 100%, $F$11)</f>
        <v>5.6729000000000003</v>
      </c>
      <c r="E83" s="12">
        <f>CHOOSE( CONTROL!$C$36, 5.6664, 5.6647) * CHOOSE( CONTROL!$C$19, $D$11, 100%, $F$11)</f>
        <v>5.6664000000000003</v>
      </c>
      <c r="F83" s="4">
        <f>CHOOSE( CONTROL!$C$36, 6.3833, 6.3816) * CHOOSE(CONTROL!$C$19, $D$11, 100%, $F$11)</f>
        <v>6.3833000000000002</v>
      </c>
      <c r="G83" s="8">
        <f>CHOOSE( CONTROL!$C$36, 5.6239, 5.6223) * CHOOSE( CONTROL!$C$19, $D$11, 100%, $F$11)</f>
        <v>5.6238999999999999</v>
      </c>
      <c r="H83" s="4">
        <f>CHOOSE( CONTROL!$C$36, 6.5681, 6.5664) * CHOOSE(CONTROL!$C$19, $D$11, 100%, $F$11)</f>
        <v>6.5681000000000003</v>
      </c>
      <c r="I83" s="8">
        <f>CHOOSE( CONTROL!$C$36, 5.6205, 5.6189) * CHOOSE(CONTROL!$C$19, $D$11, 100%, $F$11)</f>
        <v>5.6204999999999998</v>
      </c>
      <c r="J83" s="4">
        <f>CHOOSE( CONTROL!$C$36, 5.4857, 5.4841) * CHOOSE(CONTROL!$C$19, $D$11, 100%, $F$11)</f>
        <v>5.4856999999999996</v>
      </c>
      <c r="K83" s="4"/>
      <c r="L83" s="9">
        <v>30.7165</v>
      </c>
      <c r="M83" s="9">
        <v>12.063700000000001</v>
      </c>
      <c r="N83" s="9">
        <v>4.9444999999999997</v>
      </c>
      <c r="O83" s="9">
        <v>0.37409999999999999</v>
      </c>
      <c r="P83" s="9">
        <v>1.2927</v>
      </c>
      <c r="Q83" s="9">
        <v>24.651199999999999</v>
      </c>
      <c r="R83" s="9"/>
      <c r="S83" s="11"/>
    </row>
    <row r="84" spans="1:19" ht="15" customHeight="1">
      <c r="A84" s="13">
        <v>43678</v>
      </c>
      <c r="B84" s="8">
        <f>CHOOSE( CONTROL!$C$36, 5.2131, 5.2114) * CHOOSE(CONTROL!$C$19, $D$11, 100%, $F$11)</f>
        <v>5.2130999999999998</v>
      </c>
      <c r="C84" s="8">
        <f>CHOOSE( CONTROL!$C$36, 5.221, 5.2194) * CHOOSE(CONTROL!$C$19, $D$11, 100%, $F$11)</f>
        <v>5.2210000000000001</v>
      </c>
      <c r="D84" s="8">
        <f>CHOOSE( CONTROL!$C$36, 5.2357, 5.2341) * CHOOSE( CONTROL!$C$19, $D$11, 100%, $F$11)</f>
        <v>5.2356999999999996</v>
      </c>
      <c r="E84" s="12">
        <f>CHOOSE( CONTROL!$C$36, 5.2292, 5.2276) * CHOOSE( CONTROL!$C$19, $D$11, 100%, $F$11)</f>
        <v>5.2291999999999996</v>
      </c>
      <c r="F84" s="4">
        <f>CHOOSE( CONTROL!$C$36, 5.9461, 5.9444) * CHOOSE(CONTROL!$C$19, $D$11, 100%, $F$11)</f>
        <v>5.9461000000000004</v>
      </c>
      <c r="G84" s="8">
        <f>CHOOSE( CONTROL!$C$36, 5.1929, 5.1913) * CHOOSE( CONTROL!$C$19, $D$11, 100%, $F$11)</f>
        <v>5.1928999999999998</v>
      </c>
      <c r="H84" s="4">
        <f>CHOOSE( CONTROL!$C$36, 6.137, 6.1353) * CHOOSE(CONTROL!$C$19, $D$11, 100%, $F$11)</f>
        <v>6.1369999999999996</v>
      </c>
      <c r="I84" s="8">
        <f>CHOOSE( CONTROL!$C$36, 5.1971, 5.1955) * CHOOSE(CONTROL!$C$19, $D$11, 100%, $F$11)</f>
        <v>5.1970999999999998</v>
      </c>
      <c r="J84" s="4">
        <f>CHOOSE( CONTROL!$C$36, 5.0624, 5.0608) * CHOOSE(CONTROL!$C$19, $D$11, 100%, $F$11)</f>
        <v>5.0624000000000002</v>
      </c>
      <c r="K84" s="4"/>
      <c r="L84" s="9">
        <v>30.7165</v>
      </c>
      <c r="M84" s="9">
        <v>12.063700000000001</v>
      </c>
      <c r="N84" s="9">
        <v>4.9444999999999997</v>
      </c>
      <c r="O84" s="9">
        <v>0.37409999999999999</v>
      </c>
      <c r="P84" s="9">
        <v>1.2927</v>
      </c>
      <c r="Q84" s="9">
        <v>24.651199999999999</v>
      </c>
      <c r="R84" s="9"/>
      <c r="S84" s="11"/>
    </row>
    <row r="85" spans="1:19" ht="15" customHeight="1">
      <c r="A85" s="13">
        <v>43709</v>
      </c>
      <c r="B85" s="8">
        <f>CHOOSE( CONTROL!$C$36, 5.1036, 5.1019) * CHOOSE(CONTROL!$C$19, $D$11, 100%, $F$11)</f>
        <v>5.1036000000000001</v>
      </c>
      <c r="C85" s="8">
        <f>CHOOSE( CONTROL!$C$36, 5.1116, 5.1099) * CHOOSE(CONTROL!$C$19, $D$11, 100%, $F$11)</f>
        <v>5.1116000000000001</v>
      </c>
      <c r="D85" s="8">
        <f>CHOOSE( CONTROL!$C$36, 5.1262, 5.1245) * CHOOSE( CONTROL!$C$19, $D$11, 100%, $F$11)</f>
        <v>5.1261999999999999</v>
      </c>
      <c r="E85" s="12">
        <f>CHOOSE( CONTROL!$C$36, 5.1197, 5.118) * CHOOSE( CONTROL!$C$19, $D$11, 100%, $F$11)</f>
        <v>5.1196999999999999</v>
      </c>
      <c r="F85" s="4">
        <f>CHOOSE( CONTROL!$C$36, 5.8366, 5.8349) * CHOOSE(CONTROL!$C$19, $D$11, 100%, $F$11)</f>
        <v>5.8365999999999998</v>
      </c>
      <c r="G85" s="8">
        <f>CHOOSE( CONTROL!$C$36, 5.0849, 5.0832) * CHOOSE( CONTROL!$C$19, $D$11, 100%, $F$11)</f>
        <v>5.0849000000000002</v>
      </c>
      <c r="H85" s="4">
        <f>CHOOSE( CONTROL!$C$36, 6.029, 6.0274) * CHOOSE(CONTROL!$C$19, $D$11, 100%, $F$11)</f>
        <v>6.0289999999999999</v>
      </c>
      <c r="I85" s="8">
        <f>CHOOSE( CONTROL!$C$36, 5.0907, 5.0891) * CHOOSE(CONTROL!$C$19, $D$11, 100%, $F$11)</f>
        <v>5.0907</v>
      </c>
      <c r="J85" s="4">
        <f>CHOOSE( CONTROL!$C$36, 4.9564, 4.9548) * CHOOSE(CONTROL!$C$19, $D$11, 100%, $F$11)</f>
        <v>4.9564000000000004</v>
      </c>
      <c r="K85" s="4"/>
      <c r="L85" s="9">
        <v>29.7257</v>
      </c>
      <c r="M85" s="9">
        <v>11.6745</v>
      </c>
      <c r="N85" s="9">
        <v>4.7850000000000001</v>
      </c>
      <c r="O85" s="9">
        <v>0.36199999999999999</v>
      </c>
      <c r="P85" s="9">
        <v>1.2509999999999999</v>
      </c>
      <c r="Q85" s="9">
        <v>23.856000000000002</v>
      </c>
      <c r="R85" s="9"/>
      <c r="S85" s="11"/>
    </row>
    <row r="86" spans="1:19" ht="15" customHeight="1">
      <c r="A86" s="13">
        <v>43739</v>
      </c>
      <c r="B86" s="8">
        <f>CHOOSE( CONTROL!$C$36, 5.3286, 5.3275) * CHOOSE(CONTROL!$C$19, $D$11, 100%, $F$11)</f>
        <v>5.3285999999999998</v>
      </c>
      <c r="C86" s="8">
        <f>CHOOSE( CONTROL!$C$36, 5.3339, 5.3329) * CHOOSE(CONTROL!$C$19, $D$11, 100%, $F$11)</f>
        <v>5.3338999999999999</v>
      </c>
      <c r="D86" s="8">
        <f>CHOOSE( CONTROL!$C$36, 5.3544, 5.3533) * CHOOSE( CONTROL!$C$19, $D$11, 100%, $F$11)</f>
        <v>5.3544</v>
      </c>
      <c r="E86" s="12">
        <f>CHOOSE( CONTROL!$C$36, 5.3471, 5.346) * CHOOSE( CONTROL!$C$19, $D$11, 100%, $F$11)</f>
        <v>5.3471000000000002</v>
      </c>
      <c r="F86" s="4">
        <f>CHOOSE( CONTROL!$C$36, 6.0633, 6.0623) * CHOOSE(CONTROL!$C$19, $D$11, 100%, $F$11)</f>
        <v>6.0632999999999999</v>
      </c>
      <c r="G86" s="8">
        <f>CHOOSE( CONTROL!$C$36, 5.3086, 5.3076) * CHOOSE( CONTROL!$C$19, $D$11, 100%, $F$11)</f>
        <v>5.3086000000000002</v>
      </c>
      <c r="H86" s="4">
        <f>CHOOSE( CONTROL!$C$36, 6.2526, 6.2515) * CHOOSE(CONTROL!$C$19, $D$11, 100%, $F$11)</f>
        <v>6.2526000000000002</v>
      </c>
      <c r="I86" s="8">
        <f>CHOOSE( CONTROL!$C$36, 5.3114, 5.3104) * CHOOSE(CONTROL!$C$19, $D$11, 100%, $F$11)</f>
        <v>5.3113999999999999</v>
      </c>
      <c r="J86" s="4">
        <f>CHOOSE( CONTROL!$C$36, 5.1759, 5.1749) * CHOOSE(CONTROL!$C$19, $D$11, 100%, $F$11)</f>
        <v>5.1759000000000004</v>
      </c>
      <c r="K86" s="4"/>
      <c r="L86" s="9">
        <v>31.095300000000002</v>
      </c>
      <c r="M86" s="9">
        <v>12.063700000000001</v>
      </c>
      <c r="N86" s="9">
        <v>4.9444999999999997</v>
      </c>
      <c r="O86" s="9">
        <v>0.37409999999999999</v>
      </c>
      <c r="P86" s="9">
        <v>1.2927</v>
      </c>
      <c r="Q86" s="9">
        <v>24.651199999999999</v>
      </c>
      <c r="R86" s="9"/>
      <c r="S86" s="11"/>
    </row>
    <row r="87" spans="1:19" ht="15" customHeight="1">
      <c r="A87" s="13">
        <v>43770</v>
      </c>
      <c r="B87" s="8">
        <f>CHOOSE( CONTROL!$C$36, 5.7478, 5.7467) * CHOOSE(CONTROL!$C$19, $D$11, 100%, $F$11)</f>
        <v>5.7477999999999998</v>
      </c>
      <c r="C87" s="8">
        <f>CHOOSE( CONTROL!$C$36, 5.7529, 5.7518) * CHOOSE(CONTROL!$C$19, $D$11, 100%, $F$11)</f>
        <v>5.7529000000000003</v>
      </c>
      <c r="D87" s="8">
        <f>CHOOSE( CONTROL!$C$36, 5.7321, 5.731) * CHOOSE( CONTROL!$C$19, $D$11, 100%, $F$11)</f>
        <v>5.7321</v>
      </c>
      <c r="E87" s="12">
        <f>CHOOSE( CONTROL!$C$36, 5.7392, 5.7381) * CHOOSE( CONTROL!$C$19, $D$11, 100%, $F$11)</f>
        <v>5.7392000000000003</v>
      </c>
      <c r="F87" s="4">
        <f>CHOOSE( CONTROL!$C$36, 6.407, 6.4059) * CHOOSE(CONTROL!$C$19, $D$11, 100%, $F$11)</f>
        <v>6.407</v>
      </c>
      <c r="G87" s="8">
        <f>CHOOSE( CONTROL!$C$36, 5.7023, 5.7012) * CHOOSE( CONTROL!$C$19, $D$11, 100%, $F$11)</f>
        <v>5.7023000000000001</v>
      </c>
      <c r="H87" s="4">
        <f>CHOOSE( CONTROL!$C$36, 6.5915, 6.5904) * CHOOSE(CONTROL!$C$19, $D$11, 100%, $F$11)</f>
        <v>6.5914999999999999</v>
      </c>
      <c r="I87" s="8">
        <f>CHOOSE( CONTROL!$C$36, 5.767, 5.766) * CHOOSE(CONTROL!$C$19, $D$11, 100%, $F$11)</f>
        <v>5.7670000000000003</v>
      </c>
      <c r="J87" s="4">
        <f>CHOOSE( CONTROL!$C$36, 5.5822, 5.5812) * CHOOSE(CONTROL!$C$19, $D$11, 100%, $F$11)</f>
        <v>5.5822000000000003</v>
      </c>
      <c r="K87" s="4"/>
      <c r="L87" s="9">
        <v>28.360600000000002</v>
      </c>
      <c r="M87" s="9">
        <v>11.6745</v>
      </c>
      <c r="N87" s="9">
        <v>4.7850000000000001</v>
      </c>
      <c r="O87" s="9">
        <v>0.36199999999999999</v>
      </c>
      <c r="P87" s="9">
        <v>1.2509999999999999</v>
      </c>
      <c r="Q87" s="9">
        <v>23.856000000000002</v>
      </c>
      <c r="R87" s="9"/>
      <c r="S87" s="11"/>
    </row>
    <row r="88" spans="1:19" ht="15.75">
      <c r="A88" s="13">
        <v>43800</v>
      </c>
      <c r="B88" s="8">
        <f>CHOOSE( CONTROL!$C$36, 5.7373, 5.7362) * CHOOSE(CONTROL!$C$19, $D$11, 100%, $F$11)</f>
        <v>5.7373000000000003</v>
      </c>
      <c r="C88" s="8">
        <f>CHOOSE( CONTROL!$C$36, 5.7424, 5.7413) * CHOOSE(CONTROL!$C$19, $D$11, 100%, $F$11)</f>
        <v>5.7423999999999999</v>
      </c>
      <c r="D88" s="8">
        <f>CHOOSE( CONTROL!$C$36, 5.723, 5.7219) * CHOOSE( CONTROL!$C$19, $D$11, 100%, $F$11)</f>
        <v>5.7229999999999999</v>
      </c>
      <c r="E88" s="12">
        <f>CHOOSE( CONTROL!$C$36, 5.7296, 5.7285) * CHOOSE( CONTROL!$C$19, $D$11, 100%, $F$11)</f>
        <v>5.7295999999999996</v>
      </c>
      <c r="F88" s="4">
        <f>CHOOSE( CONTROL!$C$36, 6.3965, 6.3954) * CHOOSE(CONTROL!$C$19, $D$11, 100%, $F$11)</f>
        <v>6.3964999999999996</v>
      </c>
      <c r="G88" s="8">
        <f>CHOOSE( CONTROL!$C$36, 5.693, 5.6919) * CHOOSE( CONTROL!$C$19, $D$11, 100%, $F$11)</f>
        <v>5.6929999999999996</v>
      </c>
      <c r="H88" s="4">
        <f>CHOOSE( CONTROL!$C$36, 6.5811, 6.5801) * CHOOSE(CONTROL!$C$19, $D$11, 100%, $F$11)</f>
        <v>6.5811000000000002</v>
      </c>
      <c r="I88" s="8">
        <f>CHOOSE( CONTROL!$C$36, 5.7612, 5.7601) * CHOOSE(CONTROL!$C$19, $D$11, 100%, $F$11)</f>
        <v>5.7611999999999997</v>
      </c>
      <c r="J88" s="4">
        <f>CHOOSE( CONTROL!$C$36, 5.5721, 5.571) * CHOOSE(CONTROL!$C$19, $D$11, 100%, $F$11)</f>
        <v>5.5720999999999998</v>
      </c>
      <c r="K88" s="4"/>
      <c r="L88" s="9">
        <v>29.306000000000001</v>
      </c>
      <c r="M88" s="9">
        <v>12.063700000000001</v>
      </c>
      <c r="N88" s="9">
        <v>4.9444999999999997</v>
      </c>
      <c r="O88" s="9">
        <v>0.37409999999999999</v>
      </c>
      <c r="P88" s="9">
        <v>1.2927</v>
      </c>
      <c r="Q88" s="9">
        <v>24.651199999999999</v>
      </c>
      <c r="R88" s="9"/>
      <c r="S88" s="11"/>
    </row>
    <row r="89" spans="1:19" ht="15.75">
      <c r="A89" s="13">
        <v>43831</v>
      </c>
      <c r="B89" s="8">
        <f>CHOOSE( CONTROL!$C$36, 5.9317, 5.9306) * CHOOSE(CONTROL!$C$19, $D$11, 100%, $F$11)</f>
        <v>5.9317000000000002</v>
      </c>
      <c r="C89" s="8">
        <f>CHOOSE( CONTROL!$C$36, 5.9368, 5.9357) * CHOOSE(CONTROL!$C$19, $D$11, 100%, $F$11)</f>
        <v>5.9367999999999999</v>
      </c>
      <c r="D89" s="8">
        <f>CHOOSE( CONTROL!$C$36, 5.9381, 5.937) * CHOOSE( CONTROL!$C$19, $D$11, 100%, $F$11)</f>
        <v>5.9381000000000004</v>
      </c>
      <c r="E89" s="12">
        <f>CHOOSE( CONTROL!$C$36, 5.9371, 5.936) * CHOOSE( CONTROL!$C$19, $D$11, 100%, $F$11)</f>
        <v>5.9371</v>
      </c>
      <c r="F89" s="4">
        <f>CHOOSE( CONTROL!$C$36, 6.591, 6.5899) * CHOOSE(CONTROL!$C$19, $D$11, 100%, $F$11)</f>
        <v>6.5910000000000002</v>
      </c>
      <c r="G89" s="8">
        <f>CHOOSE( CONTROL!$C$36, 5.8957, 5.8947) * CHOOSE( CONTROL!$C$19, $D$11, 100%, $F$11)</f>
        <v>5.8956999999999997</v>
      </c>
      <c r="H89" s="4">
        <f>CHOOSE( CONTROL!$C$36, 6.7729, 6.7718) * CHOOSE(CONTROL!$C$19, $D$11, 100%, $F$11)</f>
        <v>6.7728999999999999</v>
      </c>
      <c r="I89" s="8">
        <f>CHOOSE( CONTROL!$C$36, 5.927, 5.926) * CHOOSE(CONTROL!$C$19, $D$11, 100%, $F$11)</f>
        <v>5.9269999999999996</v>
      </c>
      <c r="J89" s="4">
        <f>CHOOSE( CONTROL!$C$36, 5.7603, 5.7593) * CHOOSE(CONTROL!$C$19, $D$11, 100%, $F$11)</f>
        <v>5.7603</v>
      </c>
      <c r="K89" s="4"/>
      <c r="L89" s="9">
        <v>29.306000000000001</v>
      </c>
      <c r="M89" s="9">
        <v>12.063700000000001</v>
      </c>
      <c r="N89" s="9">
        <v>4.9444999999999997</v>
      </c>
      <c r="O89" s="9">
        <v>0.37409999999999999</v>
      </c>
      <c r="P89" s="9">
        <v>1.2927</v>
      </c>
      <c r="Q89" s="9">
        <v>22.150099999999998</v>
      </c>
      <c r="R89" s="9"/>
      <c r="S89" s="11"/>
    </row>
    <row r="90" spans="1:19" ht="15.75">
      <c r="A90" s="13">
        <v>43862</v>
      </c>
      <c r="B90" s="8">
        <f>CHOOSE( CONTROL!$C$36, 5.5472, 5.5461) * CHOOSE(CONTROL!$C$19, $D$11, 100%, $F$11)</f>
        <v>5.5472000000000001</v>
      </c>
      <c r="C90" s="8">
        <f>CHOOSE( CONTROL!$C$36, 5.5523, 5.5512) * CHOOSE(CONTROL!$C$19, $D$11, 100%, $F$11)</f>
        <v>5.5522999999999998</v>
      </c>
      <c r="D90" s="8">
        <f>CHOOSE( CONTROL!$C$36, 5.5534, 5.5524) * CHOOSE( CONTROL!$C$19, $D$11, 100%, $F$11)</f>
        <v>5.5533999999999999</v>
      </c>
      <c r="E90" s="12">
        <f>CHOOSE( CONTROL!$C$36, 5.5525, 5.5514) * CHOOSE( CONTROL!$C$19, $D$11, 100%, $F$11)</f>
        <v>5.5525000000000002</v>
      </c>
      <c r="F90" s="4">
        <f>CHOOSE( CONTROL!$C$36, 6.2064, 6.2054) * CHOOSE(CONTROL!$C$19, $D$11, 100%, $F$11)</f>
        <v>6.2064000000000004</v>
      </c>
      <c r="G90" s="8">
        <f>CHOOSE( CONTROL!$C$36, 5.5165, 5.5154) * CHOOSE( CONTROL!$C$19, $D$11, 100%, $F$11)</f>
        <v>5.5164999999999997</v>
      </c>
      <c r="H90" s="4">
        <f>CHOOSE( CONTROL!$C$36, 6.3937, 6.3926) * CHOOSE(CONTROL!$C$19, $D$11, 100%, $F$11)</f>
        <v>6.3936999999999999</v>
      </c>
      <c r="I90" s="8">
        <f>CHOOSE( CONTROL!$C$36, 5.5541, 5.5531) * CHOOSE(CONTROL!$C$19, $D$11, 100%, $F$11)</f>
        <v>5.5541</v>
      </c>
      <c r="J90" s="4">
        <f>CHOOSE( CONTROL!$C$36, 5.388, 5.3869) * CHOOSE(CONTROL!$C$19, $D$11, 100%, $F$11)</f>
        <v>5.3879999999999999</v>
      </c>
      <c r="K90" s="4"/>
      <c r="L90" s="9">
        <v>27.415299999999998</v>
      </c>
      <c r="M90" s="9">
        <v>11.285299999999999</v>
      </c>
      <c r="N90" s="9">
        <v>4.6254999999999997</v>
      </c>
      <c r="O90" s="9">
        <v>0.34989999999999999</v>
      </c>
      <c r="P90" s="9">
        <v>1.2093</v>
      </c>
      <c r="Q90" s="9">
        <v>20.7211</v>
      </c>
      <c r="R90" s="9"/>
      <c r="S90" s="11"/>
    </row>
    <row r="91" spans="1:19" ht="15.75">
      <c r="A91" s="13">
        <v>43891</v>
      </c>
      <c r="B91" s="8">
        <f>CHOOSE( CONTROL!$C$36, 5.4288, 5.4277) * CHOOSE(CONTROL!$C$19, $D$11, 100%, $F$11)</f>
        <v>5.4287999999999998</v>
      </c>
      <c r="C91" s="8">
        <f>CHOOSE( CONTROL!$C$36, 5.4339, 5.4328) * CHOOSE(CONTROL!$C$19, $D$11, 100%, $F$11)</f>
        <v>5.4339000000000004</v>
      </c>
      <c r="D91" s="8">
        <f>CHOOSE( CONTROL!$C$36, 5.4344, 5.4333) * CHOOSE( CONTROL!$C$19, $D$11, 100%, $F$11)</f>
        <v>5.4344000000000001</v>
      </c>
      <c r="E91" s="12">
        <f>CHOOSE( CONTROL!$C$36, 5.4337, 5.4326) * CHOOSE( CONTROL!$C$19, $D$11, 100%, $F$11)</f>
        <v>5.4337</v>
      </c>
      <c r="F91" s="4">
        <f>CHOOSE( CONTROL!$C$36, 6.088, 6.0869) * CHOOSE(CONTROL!$C$19, $D$11, 100%, $F$11)</f>
        <v>6.0880000000000001</v>
      </c>
      <c r="G91" s="8">
        <f>CHOOSE( CONTROL!$C$36, 5.3993, 5.3982) * CHOOSE( CONTROL!$C$19, $D$11, 100%, $F$11)</f>
        <v>5.3993000000000002</v>
      </c>
      <c r="H91" s="4">
        <f>CHOOSE( CONTROL!$C$36, 6.2769, 6.2759) * CHOOSE(CONTROL!$C$19, $D$11, 100%, $F$11)</f>
        <v>6.2769000000000004</v>
      </c>
      <c r="I91" s="8">
        <f>CHOOSE( CONTROL!$C$36, 5.4374, 5.4363) * CHOOSE(CONTROL!$C$19, $D$11, 100%, $F$11)</f>
        <v>5.4374000000000002</v>
      </c>
      <c r="J91" s="4">
        <f>CHOOSE( CONTROL!$C$36, 5.2733, 5.2723) * CHOOSE(CONTROL!$C$19, $D$11, 100%, $F$11)</f>
        <v>5.2732999999999999</v>
      </c>
      <c r="K91" s="4"/>
      <c r="L91" s="9">
        <v>29.306000000000001</v>
      </c>
      <c r="M91" s="9">
        <v>12.063700000000001</v>
      </c>
      <c r="N91" s="9">
        <v>4.9444999999999997</v>
      </c>
      <c r="O91" s="9">
        <v>0.37409999999999999</v>
      </c>
      <c r="P91" s="9">
        <v>1.2927</v>
      </c>
      <c r="Q91" s="9">
        <v>22.150099999999998</v>
      </c>
      <c r="R91" s="9"/>
      <c r="S91" s="11"/>
    </row>
    <row r="92" spans="1:19" ht="15.75">
      <c r="A92" s="13">
        <v>43922</v>
      </c>
      <c r="B92" s="8">
        <f>CHOOSE( CONTROL!$C$36, 5.5123, 5.5112) * CHOOSE(CONTROL!$C$19, $D$11, 100%, $F$11)</f>
        <v>5.5122999999999998</v>
      </c>
      <c r="C92" s="8">
        <f>CHOOSE( CONTROL!$C$36, 5.5168, 5.5157) * CHOOSE(CONTROL!$C$19, $D$11, 100%, $F$11)</f>
        <v>5.5167999999999999</v>
      </c>
      <c r="D92" s="8">
        <f>CHOOSE( CONTROL!$C$36, 5.5372, 5.5361) * CHOOSE( CONTROL!$C$19, $D$11, 100%, $F$11)</f>
        <v>5.5372000000000003</v>
      </c>
      <c r="E92" s="12">
        <f>CHOOSE( CONTROL!$C$36, 5.5299, 5.5288) * CHOOSE( CONTROL!$C$19, $D$11, 100%, $F$11)</f>
        <v>5.5298999999999996</v>
      </c>
      <c r="F92" s="4">
        <f>CHOOSE( CONTROL!$C$36, 6.2467, 6.2456) * CHOOSE(CONTROL!$C$19, $D$11, 100%, $F$11)</f>
        <v>6.2466999999999997</v>
      </c>
      <c r="G92" s="8">
        <f>CHOOSE( CONTROL!$C$36, 5.489, 5.4879) * CHOOSE( CONTROL!$C$19, $D$11, 100%, $F$11)</f>
        <v>5.4889999999999999</v>
      </c>
      <c r="H92" s="4">
        <f>CHOOSE( CONTROL!$C$36, 6.4334, 6.4323) * CHOOSE(CONTROL!$C$19, $D$11, 100%, $F$11)</f>
        <v>6.4333999999999998</v>
      </c>
      <c r="I92" s="8">
        <f>CHOOSE( CONTROL!$C$36, 5.4871, 5.486) * CHOOSE(CONTROL!$C$19, $D$11, 100%, $F$11)</f>
        <v>5.4870999999999999</v>
      </c>
      <c r="J92" s="4">
        <f>CHOOSE( CONTROL!$C$36, 5.3535, 5.3524) * CHOOSE(CONTROL!$C$19, $D$11, 100%, $F$11)</f>
        <v>5.3535000000000004</v>
      </c>
      <c r="K92" s="4"/>
      <c r="L92" s="9">
        <v>30.092199999999998</v>
      </c>
      <c r="M92" s="9">
        <v>11.6745</v>
      </c>
      <c r="N92" s="9">
        <v>4.7850000000000001</v>
      </c>
      <c r="O92" s="9">
        <v>0.36199999999999999</v>
      </c>
      <c r="P92" s="9">
        <v>1.2509999999999999</v>
      </c>
      <c r="Q92" s="9">
        <v>21.435600000000001</v>
      </c>
      <c r="R92" s="9"/>
      <c r="S92" s="11"/>
    </row>
    <row r="93" spans="1:19" ht="15.75">
      <c r="A93" s="13">
        <v>43952</v>
      </c>
      <c r="B93" s="8">
        <f>CHOOSE( CONTROL!$C$36, 5.6615, 5.6598) * CHOOSE(CONTROL!$C$19, $D$11, 100%, $F$11)</f>
        <v>5.6615000000000002</v>
      </c>
      <c r="C93" s="8">
        <f>CHOOSE( CONTROL!$C$36, 5.6695, 5.6678) * CHOOSE(CONTROL!$C$19, $D$11, 100%, $F$11)</f>
        <v>5.6695000000000002</v>
      </c>
      <c r="D93" s="8">
        <f>CHOOSE( CONTROL!$C$36, 5.6837, 5.682) * CHOOSE( CONTROL!$C$19, $D$11, 100%, $F$11)</f>
        <v>5.6837</v>
      </c>
      <c r="E93" s="12">
        <f>CHOOSE( CONTROL!$C$36, 5.6773, 5.6756) * CHOOSE( CONTROL!$C$19, $D$11, 100%, $F$11)</f>
        <v>5.6772999999999998</v>
      </c>
      <c r="F93" s="4">
        <f>CHOOSE( CONTROL!$C$36, 6.3945, 6.3929) * CHOOSE(CONTROL!$C$19, $D$11, 100%, $F$11)</f>
        <v>6.3944999999999999</v>
      </c>
      <c r="G93" s="8">
        <f>CHOOSE( CONTROL!$C$36, 5.6347, 5.6331) * CHOOSE( CONTROL!$C$19, $D$11, 100%, $F$11)</f>
        <v>5.6346999999999996</v>
      </c>
      <c r="H93" s="4">
        <f>CHOOSE( CONTROL!$C$36, 6.5792, 6.5775) * CHOOSE(CONTROL!$C$19, $D$11, 100%, $F$11)</f>
        <v>6.5792000000000002</v>
      </c>
      <c r="I93" s="8">
        <f>CHOOSE( CONTROL!$C$36, 5.6299, 5.6283) * CHOOSE(CONTROL!$C$19, $D$11, 100%, $F$11)</f>
        <v>5.6299000000000001</v>
      </c>
      <c r="J93" s="4">
        <f>CHOOSE( CONTROL!$C$36, 5.4966, 5.495) * CHOOSE(CONTROL!$C$19, $D$11, 100%, $F$11)</f>
        <v>5.4965999999999999</v>
      </c>
      <c r="K93" s="4"/>
      <c r="L93" s="9">
        <v>30.7165</v>
      </c>
      <c r="M93" s="9">
        <v>12.063700000000001</v>
      </c>
      <c r="N93" s="9">
        <v>4.9444999999999997</v>
      </c>
      <c r="O93" s="9">
        <v>0.37409999999999999</v>
      </c>
      <c r="P93" s="9">
        <v>1.2927</v>
      </c>
      <c r="Q93" s="9">
        <v>33.225200000000001</v>
      </c>
      <c r="R93" s="9"/>
      <c r="S93" s="11"/>
    </row>
    <row r="94" spans="1:19" ht="15.75">
      <c r="A94" s="13">
        <v>43983</v>
      </c>
      <c r="B94" s="8">
        <f>CHOOSE( CONTROL!$C$36, 5.5703, 5.5686) * CHOOSE(CONTROL!$C$19, $D$11, 100%, $F$11)</f>
        <v>5.5702999999999996</v>
      </c>
      <c r="C94" s="8">
        <f>CHOOSE( CONTROL!$C$36, 5.5783, 5.5766) * CHOOSE(CONTROL!$C$19, $D$11, 100%, $F$11)</f>
        <v>5.5782999999999996</v>
      </c>
      <c r="D94" s="8">
        <f>CHOOSE( CONTROL!$C$36, 5.5927, 5.591) * CHOOSE( CONTROL!$C$19, $D$11, 100%, $F$11)</f>
        <v>5.5926999999999998</v>
      </c>
      <c r="E94" s="12">
        <f>CHOOSE( CONTROL!$C$36, 5.5863, 5.5846) * CHOOSE( CONTROL!$C$19, $D$11, 100%, $F$11)</f>
        <v>5.5862999999999996</v>
      </c>
      <c r="F94" s="4">
        <f>CHOOSE( CONTROL!$C$36, 6.3033, 6.3016) * CHOOSE(CONTROL!$C$19, $D$11, 100%, $F$11)</f>
        <v>6.3033000000000001</v>
      </c>
      <c r="G94" s="8">
        <f>CHOOSE( CONTROL!$C$36, 5.5449, 5.5433) * CHOOSE( CONTROL!$C$19, $D$11, 100%, $F$11)</f>
        <v>5.5449000000000002</v>
      </c>
      <c r="H94" s="4">
        <f>CHOOSE( CONTROL!$C$36, 6.4892, 6.4876) * CHOOSE(CONTROL!$C$19, $D$11, 100%, $F$11)</f>
        <v>6.4892000000000003</v>
      </c>
      <c r="I94" s="8">
        <f>CHOOSE( CONTROL!$C$36, 5.5422, 5.5406) * CHOOSE(CONTROL!$C$19, $D$11, 100%, $F$11)</f>
        <v>5.5422000000000002</v>
      </c>
      <c r="J94" s="4">
        <f>CHOOSE( CONTROL!$C$36, 5.4083, 5.4067) * CHOOSE(CONTROL!$C$19, $D$11, 100%, $F$11)</f>
        <v>5.4082999999999997</v>
      </c>
      <c r="K94" s="4"/>
      <c r="L94" s="9">
        <v>29.7257</v>
      </c>
      <c r="M94" s="9">
        <v>11.6745</v>
      </c>
      <c r="N94" s="9">
        <v>4.7850000000000001</v>
      </c>
      <c r="O94" s="9">
        <v>0.36199999999999999</v>
      </c>
      <c r="P94" s="9">
        <v>1.2509999999999999</v>
      </c>
      <c r="Q94" s="9">
        <v>32.153399999999998</v>
      </c>
      <c r="R94" s="9"/>
      <c r="S94" s="11"/>
    </row>
    <row r="95" spans="1:19" ht="15.75">
      <c r="A95" s="13">
        <v>44013</v>
      </c>
      <c r="B95" s="8">
        <f>CHOOSE( CONTROL!$C$36, 5.8105, 5.8089) * CHOOSE(CONTROL!$C$19, $D$11, 100%, $F$11)</f>
        <v>5.8105000000000002</v>
      </c>
      <c r="C95" s="8">
        <f>CHOOSE( CONTROL!$C$36, 5.8185, 5.8169) * CHOOSE(CONTROL!$C$19, $D$11, 100%, $F$11)</f>
        <v>5.8185000000000002</v>
      </c>
      <c r="D95" s="8">
        <f>CHOOSE( CONTROL!$C$36, 5.8332, 5.8315) * CHOOSE( CONTROL!$C$19, $D$11, 100%, $F$11)</f>
        <v>5.8331999999999997</v>
      </c>
      <c r="E95" s="12">
        <f>CHOOSE( CONTROL!$C$36, 5.8267, 5.825) * CHOOSE( CONTROL!$C$19, $D$11, 100%, $F$11)</f>
        <v>5.8266999999999998</v>
      </c>
      <c r="F95" s="4">
        <f>CHOOSE( CONTROL!$C$36, 6.5436, 6.5419) * CHOOSE(CONTROL!$C$19, $D$11, 100%, $F$11)</f>
        <v>6.5435999999999996</v>
      </c>
      <c r="G95" s="8">
        <f>CHOOSE( CONTROL!$C$36, 5.782, 5.7804) * CHOOSE( CONTROL!$C$19, $D$11, 100%, $F$11)</f>
        <v>5.782</v>
      </c>
      <c r="H95" s="4">
        <f>CHOOSE( CONTROL!$C$36, 6.7261, 6.7245) * CHOOSE(CONTROL!$C$19, $D$11, 100%, $F$11)</f>
        <v>6.7260999999999997</v>
      </c>
      <c r="I95" s="8">
        <f>CHOOSE( CONTROL!$C$36, 5.7758, 5.7742) * CHOOSE(CONTROL!$C$19, $D$11, 100%, $F$11)</f>
        <v>5.7758000000000003</v>
      </c>
      <c r="J95" s="4">
        <f>CHOOSE( CONTROL!$C$36, 5.6409, 5.6393) * CHOOSE(CONTROL!$C$19, $D$11, 100%, $F$11)</f>
        <v>5.6409000000000002</v>
      </c>
      <c r="K95" s="4"/>
      <c r="L95" s="9">
        <v>30.7165</v>
      </c>
      <c r="M95" s="9">
        <v>12.063700000000001</v>
      </c>
      <c r="N95" s="9">
        <v>4.9444999999999997</v>
      </c>
      <c r="O95" s="9">
        <v>0.37409999999999999</v>
      </c>
      <c r="P95" s="9">
        <v>1.2927</v>
      </c>
      <c r="Q95" s="9">
        <v>33.225200000000001</v>
      </c>
      <c r="R95" s="9"/>
      <c r="S95" s="11"/>
    </row>
    <row r="96" spans="1:19" ht="15.75">
      <c r="A96" s="13">
        <v>44044</v>
      </c>
      <c r="B96" s="8">
        <f>CHOOSE( CONTROL!$C$36, 5.361, 5.3593) * CHOOSE(CONTROL!$C$19, $D$11, 100%, $F$11)</f>
        <v>5.3609999999999998</v>
      </c>
      <c r="C96" s="8">
        <f>CHOOSE( CONTROL!$C$36, 5.369, 5.3673) * CHOOSE(CONTROL!$C$19, $D$11, 100%, $F$11)</f>
        <v>5.3689999999999998</v>
      </c>
      <c r="D96" s="8">
        <f>CHOOSE( CONTROL!$C$36, 5.3837, 5.382) * CHOOSE( CONTROL!$C$19, $D$11, 100%, $F$11)</f>
        <v>5.3837000000000002</v>
      </c>
      <c r="E96" s="12">
        <f>CHOOSE( CONTROL!$C$36, 5.3772, 5.3755) * CHOOSE( CONTROL!$C$19, $D$11, 100%, $F$11)</f>
        <v>5.3772000000000002</v>
      </c>
      <c r="F96" s="4">
        <f>CHOOSE( CONTROL!$C$36, 6.094, 6.0923) * CHOOSE(CONTROL!$C$19, $D$11, 100%, $F$11)</f>
        <v>6.0940000000000003</v>
      </c>
      <c r="G96" s="8">
        <f>CHOOSE( CONTROL!$C$36, 5.3387, 5.3371) * CHOOSE( CONTROL!$C$19, $D$11, 100%, $F$11)</f>
        <v>5.3387000000000002</v>
      </c>
      <c r="H96" s="4">
        <f>CHOOSE( CONTROL!$C$36, 6.2828, 6.2812) * CHOOSE(CONTROL!$C$19, $D$11, 100%, $F$11)</f>
        <v>6.2827999999999999</v>
      </c>
      <c r="I96" s="8">
        <f>CHOOSE( CONTROL!$C$36, 5.3404, 5.3388) * CHOOSE(CONTROL!$C$19, $D$11, 100%, $F$11)</f>
        <v>5.3403999999999998</v>
      </c>
      <c r="J96" s="4">
        <f>CHOOSE( CONTROL!$C$36, 5.2056, 5.204) * CHOOSE(CONTROL!$C$19, $D$11, 100%, $F$11)</f>
        <v>5.2055999999999996</v>
      </c>
      <c r="K96" s="4"/>
      <c r="L96" s="9">
        <v>30.7165</v>
      </c>
      <c r="M96" s="9">
        <v>12.063700000000001</v>
      </c>
      <c r="N96" s="9">
        <v>4.9444999999999997</v>
      </c>
      <c r="O96" s="9">
        <v>0.37409999999999999</v>
      </c>
      <c r="P96" s="9">
        <v>1.2927</v>
      </c>
      <c r="Q96" s="9">
        <v>33.225200000000001</v>
      </c>
      <c r="R96" s="9"/>
      <c r="S96" s="11"/>
    </row>
    <row r="97" spans="1:19" ht="15.75">
      <c r="A97" s="13">
        <v>44075</v>
      </c>
      <c r="B97" s="8">
        <f>CHOOSE( CONTROL!$C$36, 5.2484, 5.2467) * CHOOSE(CONTROL!$C$19, $D$11, 100%, $F$11)</f>
        <v>5.2484000000000002</v>
      </c>
      <c r="C97" s="8">
        <f>CHOOSE( CONTROL!$C$36, 5.2564, 5.2547) * CHOOSE(CONTROL!$C$19, $D$11, 100%, $F$11)</f>
        <v>5.2564000000000002</v>
      </c>
      <c r="D97" s="8">
        <f>CHOOSE( CONTROL!$C$36, 5.271, 5.2693) * CHOOSE( CONTROL!$C$19, $D$11, 100%, $F$11)</f>
        <v>5.2709999999999999</v>
      </c>
      <c r="E97" s="12">
        <f>CHOOSE( CONTROL!$C$36, 5.2645, 5.2628) * CHOOSE( CONTROL!$C$19, $D$11, 100%, $F$11)</f>
        <v>5.2645</v>
      </c>
      <c r="F97" s="4">
        <f>CHOOSE( CONTROL!$C$36, 5.9814, 5.9798) * CHOOSE(CONTROL!$C$19, $D$11, 100%, $F$11)</f>
        <v>5.9813999999999998</v>
      </c>
      <c r="G97" s="8">
        <f>CHOOSE( CONTROL!$C$36, 5.2277, 5.226) * CHOOSE( CONTROL!$C$19, $D$11, 100%, $F$11)</f>
        <v>5.2276999999999996</v>
      </c>
      <c r="H97" s="4">
        <f>CHOOSE( CONTROL!$C$36, 6.1718, 6.1702) * CHOOSE(CONTROL!$C$19, $D$11, 100%, $F$11)</f>
        <v>6.1718000000000002</v>
      </c>
      <c r="I97" s="8">
        <f>CHOOSE( CONTROL!$C$36, 5.231, 5.2294) * CHOOSE(CONTROL!$C$19, $D$11, 100%, $F$11)</f>
        <v>5.2309999999999999</v>
      </c>
      <c r="J97" s="4">
        <f>CHOOSE( CONTROL!$C$36, 5.0966, 5.095) * CHOOSE(CONTROL!$C$19, $D$11, 100%, $F$11)</f>
        <v>5.0965999999999996</v>
      </c>
      <c r="K97" s="4"/>
      <c r="L97" s="9">
        <v>29.7257</v>
      </c>
      <c r="M97" s="9">
        <v>11.6745</v>
      </c>
      <c r="N97" s="9">
        <v>4.7850000000000001</v>
      </c>
      <c r="O97" s="9">
        <v>0.36199999999999999</v>
      </c>
      <c r="P97" s="9">
        <v>1.2509999999999999</v>
      </c>
      <c r="Q97" s="9">
        <v>32.153399999999998</v>
      </c>
      <c r="R97" s="9"/>
      <c r="S97" s="11"/>
    </row>
    <row r="98" spans="1:19" ht="15.75">
      <c r="A98" s="13">
        <v>44105</v>
      </c>
      <c r="B98" s="8">
        <f>CHOOSE( CONTROL!$C$36, 5.4798, 5.4788) * CHOOSE(CONTROL!$C$19, $D$11, 100%, $F$11)</f>
        <v>5.4798</v>
      </c>
      <c r="C98" s="8">
        <f>CHOOSE( CONTROL!$C$36, 5.4852, 5.4841) * CHOOSE(CONTROL!$C$19, $D$11, 100%, $F$11)</f>
        <v>5.4851999999999999</v>
      </c>
      <c r="D98" s="8">
        <f>CHOOSE( CONTROL!$C$36, 5.5057, 5.5046) * CHOOSE( CONTROL!$C$19, $D$11, 100%, $F$11)</f>
        <v>5.5057</v>
      </c>
      <c r="E98" s="12">
        <f>CHOOSE( CONTROL!$C$36, 5.4984, 5.4973) * CHOOSE( CONTROL!$C$19, $D$11, 100%, $F$11)</f>
        <v>5.4984000000000002</v>
      </c>
      <c r="F98" s="4">
        <f>CHOOSE( CONTROL!$C$36, 6.2146, 6.2135) * CHOOSE(CONTROL!$C$19, $D$11, 100%, $F$11)</f>
        <v>6.2145999999999999</v>
      </c>
      <c r="G98" s="8">
        <f>CHOOSE( CONTROL!$C$36, 5.4578, 5.4567) * CHOOSE( CONTROL!$C$19, $D$11, 100%, $F$11)</f>
        <v>5.4577999999999998</v>
      </c>
      <c r="H98" s="4">
        <f>CHOOSE( CONTROL!$C$36, 6.4017, 6.4007) * CHOOSE(CONTROL!$C$19, $D$11, 100%, $F$11)</f>
        <v>6.4016999999999999</v>
      </c>
      <c r="I98" s="8">
        <f>CHOOSE( CONTROL!$C$36, 5.458, 5.4569) * CHOOSE(CONTROL!$C$19, $D$11, 100%, $F$11)</f>
        <v>5.4580000000000002</v>
      </c>
      <c r="J98" s="4">
        <f>CHOOSE( CONTROL!$C$36, 5.3224, 5.3213) * CHOOSE(CONTROL!$C$19, $D$11, 100%, $F$11)</f>
        <v>5.3224</v>
      </c>
      <c r="K98" s="4"/>
      <c r="L98" s="9">
        <v>31.095300000000002</v>
      </c>
      <c r="M98" s="9">
        <v>12.063700000000001</v>
      </c>
      <c r="N98" s="9">
        <v>4.9444999999999997</v>
      </c>
      <c r="O98" s="9">
        <v>0.37409999999999999</v>
      </c>
      <c r="P98" s="9">
        <v>1.2927</v>
      </c>
      <c r="Q98" s="9">
        <v>33.225200000000001</v>
      </c>
      <c r="R98" s="9"/>
      <c r="S98" s="11"/>
    </row>
    <row r="99" spans="1:19" ht="15.75">
      <c r="A99" s="13">
        <v>44136</v>
      </c>
      <c r="B99" s="8">
        <f>CHOOSE( CONTROL!$C$36, 5.9109, 5.9098) * CHOOSE(CONTROL!$C$19, $D$11, 100%, $F$11)</f>
        <v>5.9108999999999998</v>
      </c>
      <c r="C99" s="8">
        <f>CHOOSE( CONTROL!$C$36, 5.916, 5.9149) * CHOOSE(CONTROL!$C$19, $D$11, 100%, $F$11)</f>
        <v>5.9160000000000004</v>
      </c>
      <c r="D99" s="8">
        <f>CHOOSE( CONTROL!$C$36, 5.8952, 5.8941) * CHOOSE( CONTROL!$C$19, $D$11, 100%, $F$11)</f>
        <v>5.8952</v>
      </c>
      <c r="E99" s="12">
        <f>CHOOSE( CONTROL!$C$36, 5.9023, 5.9012) * CHOOSE( CONTROL!$C$19, $D$11, 100%, $F$11)</f>
        <v>5.9023000000000003</v>
      </c>
      <c r="F99" s="4">
        <f>CHOOSE( CONTROL!$C$36, 6.5701, 6.5691) * CHOOSE(CONTROL!$C$19, $D$11, 100%, $F$11)</f>
        <v>6.5701000000000001</v>
      </c>
      <c r="G99" s="8">
        <f>CHOOSE( CONTROL!$C$36, 5.8632, 5.8621) * CHOOSE( CONTROL!$C$19, $D$11, 100%, $F$11)</f>
        <v>5.8632</v>
      </c>
      <c r="H99" s="4">
        <f>CHOOSE( CONTROL!$C$36, 6.7523, 6.7513) * CHOOSE(CONTROL!$C$19, $D$11, 100%, $F$11)</f>
        <v>6.7523</v>
      </c>
      <c r="I99" s="8">
        <f>CHOOSE( CONTROL!$C$36, 5.9251, 5.924) * CHOOSE(CONTROL!$C$19, $D$11, 100%, $F$11)</f>
        <v>5.9250999999999996</v>
      </c>
      <c r="J99" s="4">
        <f>CHOOSE( CONTROL!$C$36, 5.7402, 5.7391) * CHOOSE(CONTROL!$C$19, $D$11, 100%, $F$11)</f>
        <v>5.7401999999999997</v>
      </c>
      <c r="K99" s="4"/>
      <c r="L99" s="9">
        <v>28.360600000000002</v>
      </c>
      <c r="M99" s="9">
        <v>11.6745</v>
      </c>
      <c r="N99" s="9">
        <v>4.7850000000000001</v>
      </c>
      <c r="O99" s="9">
        <v>0.36199999999999999</v>
      </c>
      <c r="P99" s="9">
        <v>1.2509999999999999</v>
      </c>
      <c r="Q99" s="9">
        <v>32.153399999999998</v>
      </c>
      <c r="R99" s="9"/>
      <c r="S99" s="11"/>
    </row>
    <row r="100" spans="1:19" ht="15.75">
      <c r="A100" s="13">
        <v>44166</v>
      </c>
      <c r="B100" s="8">
        <f>CHOOSE( CONTROL!$C$36, 5.9001, 5.899) * CHOOSE(CONTROL!$C$19, $D$11, 100%, $F$11)</f>
        <v>5.9001000000000001</v>
      </c>
      <c r="C100" s="8">
        <f>CHOOSE( CONTROL!$C$36, 5.9052, 5.9041) * CHOOSE(CONTROL!$C$19, $D$11, 100%, $F$11)</f>
        <v>5.9051999999999998</v>
      </c>
      <c r="D100" s="8">
        <f>CHOOSE( CONTROL!$C$36, 5.8858, 5.8847) * CHOOSE( CONTROL!$C$19, $D$11, 100%, $F$11)</f>
        <v>5.8857999999999997</v>
      </c>
      <c r="E100" s="12">
        <f>CHOOSE( CONTROL!$C$36, 5.8924, 5.8913) * CHOOSE( CONTROL!$C$19, $D$11, 100%, $F$11)</f>
        <v>5.8924000000000003</v>
      </c>
      <c r="F100" s="4">
        <f>CHOOSE( CONTROL!$C$36, 6.5594, 6.5583) * CHOOSE(CONTROL!$C$19, $D$11, 100%, $F$11)</f>
        <v>6.5594000000000001</v>
      </c>
      <c r="G100" s="8">
        <f>CHOOSE( CONTROL!$C$36, 5.8535, 5.8525) * CHOOSE( CONTROL!$C$19, $D$11, 100%, $F$11)</f>
        <v>5.8535000000000004</v>
      </c>
      <c r="H100" s="4">
        <f>CHOOSE( CONTROL!$C$36, 6.7417, 6.7406) * CHOOSE(CONTROL!$C$19, $D$11, 100%, $F$11)</f>
        <v>6.7416999999999998</v>
      </c>
      <c r="I100" s="8">
        <f>CHOOSE( CONTROL!$C$36, 5.9189, 5.9179) * CHOOSE(CONTROL!$C$19, $D$11, 100%, $F$11)</f>
        <v>5.9188999999999998</v>
      </c>
      <c r="J100" s="4">
        <f>CHOOSE( CONTROL!$C$36, 5.7297, 5.7287) * CHOOSE(CONTROL!$C$19, $D$11, 100%, $F$11)</f>
        <v>5.7297000000000002</v>
      </c>
      <c r="K100" s="4"/>
      <c r="L100" s="9">
        <v>29.306000000000001</v>
      </c>
      <c r="M100" s="9">
        <v>12.063700000000001</v>
      </c>
      <c r="N100" s="9">
        <v>4.9444999999999997</v>
      </c>
      <c r="O100" s="9">
        <v>0.37409999999999999</v>
      </c>
      <c r="P100" s="9">
        <v>1.2927</v>
      </c>
      <c r="Q100" s="9">
        <v>33.225200000000001</v>
      </c>
      <c r="R100" s="9"/>
      <c r="S100" s="11"/>
    </row>
    <row r="101" spans="1:19" ht="15.75">
      <c r="A101" s="13">
        <v>44197</v>
      </c>
      <c r="B101" s="8">
        <f>CHOOSE( CONTROL!$C$36, 6.15, 6.1489) * CHOOSE(CONTROL!$C$19, $D$11, 100%, $F$11)</f>
        <v>6.15</v>
      </c>
      <c r="C101" s="8">
        <f>CHOOSE( CONTROL!$C$36, 6.1551, 6.154) * CHOOSE(CONTROL!$C$19, $D$11, 100%, $F$11)</f>
        <v>6.1551</v>
      </c>
      <c r="D101" s="8">
        <f>CHOOSE( CONTROL!$C$36, 6.1564, 6.1553) * CHOOSE( CONTROL!$C$19, $D$11, 100%, $F$11)</f>
        <v>6.1563999999999997</v>
      </c>
      <c r="E101" s="12">
        <f>CHOOSE( CONTROL!$C$36, 6.1554, 6.1543) * CHOOSE( CONTROL!$C$19, $D$11, 100%, $F$11)</f>
        <v>6.1554000000000002</v>
      </c>
      <c r="F101" s="4">
        <f>CHOOSE( CONTROL!$C$36, 6.8092, 6.8081) * CHOOSE(CONTROL!$C$19, $D$11, 100%, $F$11)</f>
        <v>6.8091999999999997</v>
      </c>
      <c r="G101" s="8">
        <f>CHOOSE( CONTROL!$C$36, 6.111, 6.1099) * CHOOSE( CONTROL!$C$19, $D$11, 100%, $F$11)</f>
        <v>6.1109999999999998</v>
      </c>
      <c r="H101" s="4">
        <f>CHOOSE( CONTROL!$C$36, 6.9881, 6.987) * CHOOSE(CONTROL!$C$19, $D$11, 100%, $F$11)</f>
        <v>6.9881000000000002</v>
      </c>
      <c r="I101" s="8">
        <f>CHOOSE( CONTROL!$C$36, 6.1385, 6.1374) * CHOOSE(CONTROL!$C$19, $D$11, 100%, $F$11)</f>
        <v>6.1384999999999996</v>
      </c>
      <c r="J101" s="4">
        <f>CHOOSE( CONTROL!$C$36, 5.9717, 5.9706) * CHOOSE(CONTROL!$C$19, $D$11, 100%, $F$11)</f>
        <v>5.9717000000000002</v>
      </c>
      <c r="K101" s="4"/>
      <c r="L101" s="9">
        <v>29.306000000000001</v>
      </c>
      <c r="M101" s="9">
        <v>12.063700000000001</v>
      </c>
      <c r="N101" s="9">
        <v>4.9444999999999997</v>
      </c>
      <c r="O101" s="9">
        <v>0.37409999999999999</v>
      </c>
      <c r="P101" s="9">
        <v>1.2927</v>
      </c>
      <c r="Q101" s="9">
        <v>33.011299999999999</v>
      </c>
      <c r="R101" s="9"/>
      <c r="S101" s="11"/>
    </row>
    <row r="102" spans="1:19" ht="15.75">
      <c r="A102" s="13">
        <v>44228</v>
      </c>
      <c r="B102" s="8">
        <f>CHOOSE( CONTROL!$C$36, 5.7513, 5.7503) * CHOOSE(CONTROL!$C$19, $D$11, 100%, $F$11)</f>
        <v>5.7512999999999996</v>
      </c>
      <c r="C102" s="8">
        <f>CHOOSE( CONTROL!$C$36, 5.7564, 5.7554) * CHOOSE(CONTROL!$C$19, $D$11, 100%, $F$11)</f>
        <v>5.7564000000000002</v>
      </c>
      <c r="D102" s="8">
        <f>CHOOSE( CONTROL!$C$36, 5.7576, 5.7565) * CHOOSE( CONTROL!$C$19, $D$11, 100%, $F$11)</f>
        <v>5.7576000000000001</v>
      </c>
      <c r="E102" s="12">
        <f>CHOOSE( CONTROL!$C$36, 5.7566, 5.7556) * CHOOSE( CONTROL!$C$19, $D$11, 100%, $F$11)</f>
        <v>5.7565999999999997</v>
      </c>
      <c r="F102" s="4">
        <f>CHOOSE( CONTROL!$C$36, 6.4106, 6.4095) * CHOOSE(CONTROL!$C$19, $D$11, 100%, $F$11)</f>
        <v>6.4105999999999996</v>
      </c>
      <c r="G102" s="8">
        <f>CHOOSE( CONTROL!$C$36, 5.7178, 5.7167) * CHOOSE( CONTROL!$C$19, $D$11, 100%, $F$11)</f>
        <v>5.7178000000000004</v>
      </c>
      <c r="H102" s="4">
        <f>CHOOSE( CONTROL!$C$36, 6.595, 6.5939) * CHOOSE(CONTROL!$C$19, $D$11, 100%, $F$11)</f>
        <v>6.5949999999999998</v>
      </c>
      <c r="I102" s="8">
        <f>CHOOSE( CONTROL!$C$36, 5.7519, 5.7508) * CHOOSE(CONTROL!$C$19, $D$11, 100%, $F$11)</f>
        <v>5.7519</v>
      </c>
      <c r="J102" s="4">
        <f>CHOOSE( CONTROL!$C$36, 5.5857, 5.5846) * CHOOSE(CONTROL!$C$19, $D$11, 100%, $F$11)</f>
        <v>5.5857000000000001</v>
      </c>
      <c r="K102" s="4"/>
      <c r="L102" s="9">
        <v>26.469899999999999</v>
      </c>
      <c r="M102" s="9">
        <v>10.8962</v>
      </c>
      <c r="N102" s="9">
        <v>4.4660000000000002</v>
      </c>
      <c r="O102" s="9">
        <v>0.33789999999999998</v>
      </c>
      <c r="P102" s="9">
        <v>1.1676</v>
      </c>
      <c r="Q102" s="9">
        <v>29.816600000000001</v>
      </c>
      <c r="R102" s="9"/>
      <c r="S102" s="11"/>
    </row>
    <row r="103" spans="1:19" ht="15.75">
      <c r="A103" s="13">
        <v>44256</v>
      </c>
      <c r="B103" s="8">
        <f>CHOOSE( CONTROL!$C$36, 5.6286, 5.6275) * CHOOSE(CONTROL!$C$19, $D$11, 100%, $F$11)</f>
        <v>5.6285999999999996</v>
      </c>
      <c r="C103" s="8">
        <f>CHOOSE( CONTROL!$C$36, 5.6337, 5.6326) * CHOOSE(CONTROL!$C$19, $D$11, 100%, $F$11)</f>
        <v>5.6337000000000002</v>
      </c>
      <c r="D103" s="8">
        <f>CHOOSE( CONTROL!$C$36, 5.6342, 5.6331) * CHOOSE( CONTROL!$C$19, $D$11, 100%, $F$11)</f>
        <v>5.6341999999999999</v>
      </c>
      <c r="E103" s="12">
        <f>CHOOSE( CONTROL!$C$36, 5.6335, 5.6324) * CHOOSE( CONTROL!$C$19, $D$11, 100%, $F$11)</f>
        <v>5.6334999999999997</v>
      </c>
      <c r="F103" s="4">
        <f>CHOOSE( CONTROL!$C$36, 6.2878, 6.2867) * CHOOSE(CONTROL!$C$19, $D$11, 100%, $F$11)</f>
        <v>6.2877999999999998</v>
      </c>
      <c r="G103" s="8">
        <f>CHOOSE( CONTROL!$C$36, 5.5963, 5.5952) * CHOOSE( CONTROL!$C$19, $D$11, 100%, $F$11)</f>
        <v>5.5963000000000003</v>
      </c>
      <c r="H103" s="4">
        <f>CHOOSE( CONTROL!$C$36, 6.4739, 6.4729) * CHOOSE(CONTROL!$C$19, $D$11, 100%, $F$11)</f>
        <v>6.4739000000000004</v>
      </c>
      <c r="I103" s="8">
        <f>CHOOSE( CONTROL!$C$36, 5.631, 5.6299) * CHOOSE(CONTROL!$C$19, $D$11, 100%, $F$11)</f>
        <v>5.6310000000000002</v>
      </c>
      <c r="J103" s="4">
        <f>CHOOSE( CONTROL!$C$36, 5.4668, 5.4658) * CHOOSE(CONTROL!$C$19, $D$11, 100%, $F$11)</f>
        <v>5.4668000000000001</v>
      </c>
      <c r="K103" s="4"/>
      <c r="L103" s="9">
        <v>29.306000000000001</v>
      </c>
      <c r="M103" s="9">
        <v>12.063700000000001</v>
      </c>
      <c r="N103" s="9">
        <v>4.9444999999999997</v>
      </c>
      <c r="O103" s="9">
        <v>0.37409999999999999</v>
      </c>
      <c r="P103" s="9">
        <v>1.2927</v>
      </c>
      <c r="Q103" s="9">
        <v>33.011299999999999</v>
      </c>
      <c r="R103" s="9"/>
      <c r="S103" s="11"/>
    </row>
    <row r="104" spans="1:19" ht="15.75">
      <c r="A104" s="13">
        <v>44287</v>
      </c>
      <c r="B104" s="8">
        <f>CHOOSE( CONTROL!$C$36, 5.7151, 5.714) * CHOOSE(CONTROL!$C$19, $D$11, 100%, $F$11)</f>
        <v>5.7150999999999996</v>
      </c>
      <c r="C104" s="8">
        <f>CHOOSE( CONTROL!$C$36, 5.7197, 5.7186) * CHOOSE(CONTROL!$C$19, $D$11, 100%, $F$11)</f>
        <v>5.7196999999999996</v>
      </c>
      <c r="D104" s="8">
        <f>CHOOSE( CONTROL!$C$36, 5.7401, 5.739) * CHOOSE( CONTROL!$C$19, $D$11, 100%, $F$11)</f>
        <v>5.7401</v>
      </c>
      <c r="E104" s="12">
        <f>CHOOSE( CONTROL!$C$36, 5.7328, 5.7317) * CHOOSE( CONTROL!$C$19, $D$11, 100%, $F$11)</f>
        <v>5.7328000000000001</v>
      </c>
      <c r="F104" s="4">
        <f>CHOOSE( CONTROL!$C$36, 6.4495, 6.4484) * CHOOSE(CONTROL!$C$19, $D$11, 100%, $F$11)</f>
        <v>6.4494999999999996</v>
      </c>
      <c r="G104" s="8">
        <f>CHOOSE( CONTROL!$C$36, 5.689, 5.6879) * CHOOSE( CONTROL!$C$19, $D$11, 100%, $F$11)</f>
        <v>5.6890000000000001</v>
      </c>
      <c r="H104" s="4">
        <f>CHOOSE( CONTROL!$C$36, 6.6334, 6.6323) * CHOOSE(CONTROL!$C$19, $D$11, 100%, $F$11)</f>
        <v>6.6334</v>
      </c>
      <c r="I104" s="8">
        <f>CHOOSE( CONTROL!$C$36, 5.6836, 5.6825) * CHOOSE(CONTROL!$C$19, $D$11, 100%, $F$11)</f>
        <v>5.6836000000000002</v>
      </c>
      <c r="J104" s="4">
        <f>CHOOSE( CONTROL!$C$36, 5.5499, 5.5488) * CHOOSE(CONTROL!$C$19, $D$11, 100%, $F$11)</f>
        <v>5.5499000000000001</v>
      </c>
      <c r="K104" s="4"/>
      <c r="L104" s="9">
        <v>30.092199999999998</v>
      </c>
      <c r="M104" s="9">
        <v>11.6745</v>
      </c>
      <c r="N104" s="9">
        <v>4.7850000000000001</v>
      </c>
      <c r="O104" s="9">
        <v>0.36199999999999999</v>
      </c>
      <c r="P104" s="9">
        <v>1.2509999999999999</v>
      </c>
      <c r="Q104" s="9">
        <v>31.946400000000001</v>
      </c>
      <c r="R104" s="9"/>
      <c r="S104" s="11"/>
    </row>
    <row r="105" spans="1:19" ht="15.75">
      <c r="A105" s="13">
        <v>44317</v>
      </c>
      <c r="B105" s="8">
        <f>CHOOSE( CONTROL!$C$36, 5.8698, 5.8681) * CHOOSE(CONTROL!$C$19, $D$11, 100%, $F$11)</f>
        <v>5.8697999999999997</v>
      </c>
      <c r="C105" s="8">
        <f>CHOOSE( CONTROL!$C$36, 5.8778, 5.8761) * CHOOSE(CONTROL!$C$19, $D$11, 100%, $F$11)</f>
        <v>5.8777999999999997</v>
      </c>
      <c r="D105" s="8">
        <f>CHOOSE( CONTROL!$C$36, 5.892, 5.8903) * CHOOSE( CONTROL!$C$19, $D$11, 100%, $F$11)</f>
        <v>5.8920000000000003</v>
      </c>
      <c r="E105" s="12">
        <f>CHOOSE( CONTROL!$C$36, 5.8856, 5.8839) * CHOOSE( CONTROL!$C$19, $D$11, 100%, $F$11)</f>
        <v>5.8856000000000002</v>
      </c>
      <c r="F105" s="4">
        <f>CHOOSE( CONTROL!$C$36, 6.6028, 6.6011) * CHOOSE(CONTROL!$C$19, $D$11, 100%, $F$11)</f>
        <v>6.6028000000000002</v>
      </c>
      <c r="G105" s="8">
        <f>CHOOSE( CONTROL!$C$36, 5.8401, 5.8384) * CHOOSE( CONTROL!$C$19, $D$11, 100%, $F$11)</f>
        <v>5.8400999999999996</v>
      </c>
      <c r="H105" s="4">
        <f>CHOOSE( CONTROL!$C$36, 6.7845, 6.7829) * CHOOSE(CONTROL!$C$19, $D$11, 100%, $F$11)</f>
        <v>6.7845000000000004</v>
      </c>
      <c r="I105" s="8">
        <f>CHOOSE( CONTROL!$C$36, 5.8317, 5.83) * CHOOSE(CONTROL!$C$19, $D$11, 100%, $F$11)</f>
        <v>5.8316999999999997</v>
      </c>
      <c r="J105" s="4">
        <f>CHOOSE( CONTROL!$C$36, 5.6983, 5.6967) * CHOOSE(CONTROL!$C$19, $D$11, 100%, $F$11)</f>
        <v>5.6982999999999997</v>
      </c>
      <c r="K105" s="4"/>
      <c r="L105" s="9">
        <v>30.7165</v>
      </c>
      <c r="M105" s="9">
        <v>12.063700000000001</v>
      </c>
      <c r="N105" s="9">
        <v>4.9444999999999997</v>
      </c>
      <c r="O105" s="9">
        <v>0.37409999999999999</v>
      </c>
      <c r="P105" s="9">
        <v>1.2927</v>
      </c>
      <c r="Q105" s="9">
        <v>33.011299999999999</v>
      </c>
      <c r="R105" s="9"/>
      <c r="S105" s="11"/>
    </row>
    <row r="106" spans="1:19" ht="15.75">
      <c r="A106" s="13">
        <v>44348</v>
      </c>
      <c r="B106" s="8">
        <f>CHOOSE( CONTROL!$C$36, 5.7752, 5.7735) * CHOOSE(CONTROL!$C$19, $D$11, 100%, $F$11)</f>
        <v>5.7751999999999999</v>
      </c>
      <c r="C106" s="8">
        <f>CHOOSE( CONTROL!$C$36, 5.7832, 5.7815) * CHOOSE(CONTROL!$C$19, $D$11, 100%, $F$11)</f>
        <v>5.7831999999999999</v>
      </c>
      <c r="D106" s="8">
        <f>CHOOSE( CONTROL!$C$36, 5.7976, 5.7959) * CHOOSE( CONTROL!$C$19, $D$11, 100%, $F$11)</f>
        <v>5.7976000000000001</v>
      </c>
      <c r="E106" s="12">
        <f>CHOOSE( CONTROL!$C$36, 5.7912, 5.7895) * CHOOSE( CONTROL!$C$19, $D$11, 100%, $F$11)</f>
        <v>5.7911999999999999</v>
      </c>
      <c r="F106" s="4">
        <f>CHOOSE( CONTROL!$C$36, 6.5082, 6.5065) * CHOOSE(CONTROL!$C$19, $D$11, 100%, $F$11)</f>
        <v>6.5082000000000004</v>
      </c>
      <c r="G106" s="8">
        <f>CHOOSE( CONTROL!$C$36, 5.7469, 5.7453) * CHOOSE( CONTROL!$C$19, $D$11, 100%, $F$11)</f>
        <v>5.7469000000000001</v>
      </c>
      <c r="H106" s="4">
        <f>CHOOSE( CONTROL!$C$36, 6.6913, 6.6896) * CHOOSE(CONTROL!$C$19, $D$11, 100%, $F$11)</f>
        <v>6.6913</v>
      </c>
      <c r="I106" s="8">
        <f>CHOOSE( CONTROL!$C$36, 5.7407, 5.7391) * CHOOSE(CONTROL!$C$19, $D$11, 100%, $F$11)</f>
        <v>5.7407000000000004</v>
      </c>
      <c r="J106" s="4">
        <f>CHOOSE( CONTROL!$C$36, 5.6067, 5.6051) * CHOOSE(CONTROL!$C$19, $D$11, 100%, $F$11)</f>
        <v>5.6067</v>
      </c>
      <c r="K106" s="4"/>
      <c r="L106" s="9">
        <v>29.7257</v>
      </c>
      <c r="M106" s="9">
        <v>11.6745</v>
      </c>
      <c r="N106" s="9">
        <v>4.7850000000000001</v>
      </c>
      <c r="O106" s="9">
        <v>0.36199999999999999</v>
      </c>
      <c r="P106" s="9">
        <v>1.2509999999999999</v>
      </c>
      <c r="Q106" s="9">
        <v>31.946400000000001</v>
      </c>
      <c r="R106" s="9"/>
      <c r="S106" s="11"/>
    </row>
    <row r="107" spans="1:19" ht="15.75">
      <c r="A107" s="13">
        <v>44378</v>
      </c>
      <c r="B107" s="8">
        <f>CHOOSE( CONTROL!$C$36, 6.0243, 6.0226) * CHOOSE(CONTROL!$C$19, $D$11, 100%, $F$11)</f>
        <v>6.0243000000000002</v>
      </c>
      <c r="C107" s="8">
        <f>CHOOSE( CONTROL!$C$36, 6.0323, 6.0306) * CHOOSE(CONTROL!$C$19, $D$11, 100%, $F$11)</f>
        <v>6.0323000000000002</v>
      </c>
      <c r="D107" s="8">
        <f>CHOOSE( CONTROL!$C$36, 6.0469, 6.0452) * CHOOSE( CONTROL!$C$19, $D$11, 100%, $F$11)</f>
        <v>6.0468999999999999</v>
      </c>
      <c r="E107" s="12">
        <f>CHOOSE( CONTROL!$C$36, 6.0404, 6.0387) * CHOOSE( CONTROL!$C$19, $D$11, 100%, $F$11)</f>
        <v>6.0404</v>
      </c>
      <c r="F107" s="4">
        <f>CHOOSE( CONTROL!$C$36, 6.7573, 6.7556) * CHOOSE(CONTROL!$C$19, $D$11, 100%, $F$11)</f>
        <v>6.7572999999999999</v>
      </c>
      <c r="G107" s="8">
        <f>CHOOSE( CONTROL!$C$36, 5.9927, 5.9911) * CHOOSE( CONTROL!$C$19, $D$11, 100%, $F$11)</f>
        <v>5.9927000000000001</v>
      </c>
      <c r="H107" s="4">
        <f>CHOOSE( CONTROL!$C$36, 6.9369, 6.9352) * CHOOSE(CONTROL!$C$19, $D$11, 100%, $F$11)</f>
        <v>6.9368999999999996</v>
      </c>
      <c r="I107" s="8">
        <f>CHOOSE( CONTROL!$C$36, 5.9828, 5.9812) * CHOOSE(CONTROL!$C$19, $D$11, 100%, $F$11)</f>
        <v>5.9828000000000001</v>
      </c>
      <c r="J107" s="4">
        <f>CHOOSE( CONTROL!$C$36, 5.8479, 5.8463) * CHOOSE(CONTROL!$C$19, $D$11, 100%, $F$11)</f>
        <v>5.8479000000000001</v>
      </c>
      <c r="K107" s="4"/>
      <c r="L107" s="9">
        <v>30.7165</v>
      </c>
      <c r="M107" s="9">
        <v>12.063700000000001</v>
      </c>
      <c r="N107" s="9">
        <v>4.9444999999999997</v>
      </c>
      <c r="O107" s="9">
        <v>0.37409999999999999</v>
      </c>
      <c r="P107" s="9">
        <v>1.2927</v>
      </c>
      <c r="Q107" s="9">
        <v>33.011299999999999</v>
      </c>
      <c r="R107" s="9"/>
      <c r="S107" s="11"/>
    </row>
    <row r="108" spans="1:19" ht="15.75">
      <c r="A108" s="13">
        <v>44409</v>
      </c>
      <c r="B108" s="8">
        <f>CHOOSE( CONTROL!$C$36, 5.5582, 5.5565) * CHOOSE(CONTROL!$C$19, $D$11, 100%, $F$11)</f>
        <v>5.5582000000000003</v>
      </c>
      <c r="C108" s="8">
        <f>CHOOSE( CONTROL!$C$36, 5.5662, 5.5645) * CHOOSE(CONTROL!$C$19, $D$11, 100%, $F$11)</f>
        <v>5.5662000000000003</v>
      </c>
      <c r="D108" s="8">
        <f>CHOOSE( CONTROL!$C$36, 5.5809, 5.5792) * CHOOSE( CONTROL!$C$19, $D$11, 100%, $F$11)</f>
        <v>5.5808999999999997</v>
      </c>
      <c r="E108" s="12">
        <f>CHOOSE( CONTROL!$C$36, 5.5744, 5.5727) * CHOOSE( CONTROL!$C$19, $D$11, 100%, $F$11)</f>
        <v>5.5743999999999998</v>
      </c>
      <c r="F108" s="4">
        <f>CHOOSE( CONTROL!$C$36, 6.2912, 6.2896) * CHOOSE(CONTROL!$C$19, $D$11, 100%, $F$11)</f>
        <v>6.2911999999999999</v>
      </c>
      <c r="G108" s="8">
        <f>CHOOSE( CONTROL!$C$36, 5.5332, 5.5316) * CHOOSE( CONTROL!$C$19, $D$11, 100%, $F$11)</f>
        <v>5.5331999999999999</v>
      </c>
      <c r="H108" s="4">
        <f>CHOOSE( CONTROL!$C$36, 6.4773, 6.4757) * CHOOSE(CONTROL!$C$19, $D$11, 100%, $F$11)</f>
        <v>6.4772999999999996</v>
      </c>
      <c r="I108" s="8">
        <f>CHOOSE( CONTROL!$C$36, 5.5315, 5.5299) * CHOOSE(CONTROL!$C$19, $D$11, 100%, $F$11)</f>
        <v>5.5315000000000003</v>
      </c>
      <c r="J108" s="4">
        <f>CHOOSE( CONTROL!$C$36, 5.3966, 5.395) * CHOOSE(CONTROL!$C$19, $D$11, 100%, $F$11)</f>
        <v>5.3966000000000003</v>
      </c>
      <c r="K108" s="4"/>
      <c r="L108" s="9">
        <v>30.7165</v>
      </c>
      <c r="M108" s="9">
        <v>12.063700000000001</v>
      </c>
      <c r="N108" s="9">
        <v>4.9444999999999997</v>
      </c>
      <c r="O108" s="9">
        <v>0.37409999999999999</v>
      </c>
      <c r="P108" s="9">
        <v>1.2927</v>
      </c>
      <c r="Q108" s="9">
        <v>33.011299999999999</v>
      </c>
      <c r="R108" s="9"/>
      <c r="S108" s="11"/>
    </row>
    <row r="109" spans="1:19" ht="15.75">
      <c r="A109" s="13">
        <v>44440</v>
      </c>
      <c r="B109" s="8">
        <f>CHOOSE( CONTROL!$C$36, 5.4415, 5.4398) * CHOOSE(CONTROL!$C$19, $D$11, 100%, $F$11)</f>
        <v>5.4414999999999996</v>
      </c>
      <c r="C109" s="8">
        <f>CHOOSE( CONTROL!$C$36, 5.4495, 5.4478) * CHOOSE(CONTROL!$C$19, $D$11, 100%, $F$11)</f>
        <v>5.4494999999999996</v>
      </c>
      <c r="D109" s="8">
        <f>CHOOSE( CONTROL!$C$36, 5.4641, 5.4624) * CHOOSE( CONTROL!$C$19, $D$11, 100%, $F$11)</f>
        <v>5.4641000000000002</v>
      </c>
      <c r="E109" s="12">
        <f>CHOOSE( CONTROL!$C$36, 5.4576, 5.4559) * CHOOSE( CONTROL!$C$19, $D$11, 100%, $F$11)</f>
        <v>5.4576000000000002</v>
      </c>
      <c r="F109" s="4">
        <f>CHOOSE( CONTROL!$C$36, 6.1745, 6.1729) * CHOOSE(CONTROL!$C$19, $D$11, 100%, $F$11)</f>
        <v>6.1745000000000001</v>
      </c>
      <c r="G109" s="8">
        <f>CHOOSE( CONTROL!$C$36, 5.4181, 5.4164) * CHOOSE( CONTROL!$C$19, $D$11, 100%, $F$11)</f>
        <v>5.4180999999999999</v>
      </c>
      <c r="H109" s="4">
        <f>CHOOSE( CONTROL!$C$36, 6.3622, 6.3606) * CHOOSE(CONTROL!$C$19, $D$11, 100%, $F$11)</f>
        <v>6.3621999999999996</v>
      </c>
      <c r="I109" s="8">
        <f>CHOOSE( CONTROL!$C$36, 5.4181, 5.4165) * CHOOSE(CONTROL!$C$19, $D$11, 100%, $F$11)</f>
        <v>5.4180999999999999</v>
      </c>
      <c r="J109" s="4">
        <f>CHOOSE( CONTROL!$C$36, 5.2836, 5.282) * CHOOSE(CONTROL!$C$19, $D$11, 100%, $F$11)</f>
        <v>5.2835999999999999</v>
      </c>
      <c r="K109" s="4"/>
      <c r="L109" s="9">
        <v>29.7257</v>
      </c>
      <c r="M109" s="9">
        <v>11.6745</v>
      </c>
      <c r="N109" s="9">
        <v>4.7850000000000001</v>
      </c>
      <c r="O109" s="9">
        <v>0.36199999999999999</v>
      </c>
      <c r="P109" s="9">
        <v>1.2509999999999999</v>
      </c>
      <c r="Q109" s="9">
        <v>31.946400000000001</v>
      </c>
      <c r="R109" s="9"/>
      <c r="S109" s="11"/>
    </row>
    <row r="110" spans="1:19" ht="15.75">
      <c r="A110" s="13">
        <v>44470</v>
      </c>
      <c r="B110" s="8">
        <f>CHOOSE( CONTROL!$C$36, 5.6815, 5.6804) * CHOOSE(CONTROL!$C$19, $D$11, 100%, $F$11)</f>
        <v>5.6814999999999998</v>
      </c>
      <c r="C110" s="8">
        <f>CHOOSE( CONTROL!$C$36, 5.6869, 5.6858) * CHOOSE(CONTROL!$C$19, $D$11, 100%, $F$11)</f>
        <v>5.6868999999999996</v>
      </c>
      <c r="D110" s="8">
        <f>CHOOSE( CONTROL!$C$36, 5.7074, 5.7063) * CHOOSE( CONTROL!$C$19, $D$11, 100%, $F$11)</f>
        <v>5.7073999999999998</v>
      </c>
      <c r="E110" s="12">
        <f>CHOOSE( CONTROL!$C$36, 5.7001, 5.699) * CHOOSE( CONTROL!$C$19, $D$11, 100%, $F$11)</f>
        <v>5.7000999999999999</v>
      </c>
      <c r="F110" s="4">
        <f>CHOOSE( CONTROL!$C$36, 6.4163, 6.4152) * CHOOSE(CONTROL!$C$19, $D$11, 100%, $F$11)</f>
        <v>6.4162999999999997</v>
      </c>
      <c r="G110" s="8">
        <f>CHOOSE( CONTROL!$C$36, 5.6566, 5.6556) * CHOOSE( CONTROL!$C$19, $D$11, 100%, $F$11)</f>
        <v>5.6566000000000001</v>
      </c>
      <c r="H110" s="4">
        <f>CHOOSE( CONTROL!$C$36, 6.6006, 6.5995) * CHOOSE(CONTROL!$C$19, $D$11, 100%, $F$11)</f>
        <v>6.6006</v>
      </c>
      <c r="I110" s="8">
        <f>CHOOSE( CONTROL!$C$36, 5.6533, 5.6523) * CHOOSE(CONTROL!$C$19, $D$11, 100%, $F$11)</f>
        <v>5.6532999999999998</v>
      </c>
      <c r="J110" s="4">
        <f>CHOOSE( CONTROL!$C$36, 5.5177, 5.5166) * CHOOSE(CONTROL!$C$19, $D$11, 100%, $F$11)</f>
        <v>5.5176999999999996</v>
      </c>
      <c r="K110" s="4"/>
      <c r="L110" s="9">
        <v>31.095300000000002</v>
      </c>
      <c r="M110" s="9">
        <v>12.063700000000001</v>
      </c>
      <c r="N110" s="9">
        <v>4.9444999999999997</v>
      </c>
      <c r="O110" s="9">
        <v>0.37409999999999999</v>
      </c>
      <c r="P110" s="9">
        <v>1.2927</v>
      </c>
      <c r="Q110" s="9">
        <v>33.011299999999999</v>
      </c>
      <c r="R110" s="9"/>
      <c r="S110" s="11"/>
    </row>
    <row r="111" spans="1:19" ht="15.75">
      <c r="A111" s="13">
        <v>44501</v>
      </c>
      <c r="B111" s="8">
        <f>CHOOSE( CONTROL!$C$36, 6.1284, 6.1273) * CHOOSE(CONTROL!$C$19, $D$11, 100%, $F$11)</f>
        <v>6.1284000000000001</v>
      </c>
      <c r="C111" s="8">
        <f>CHOOSE( CONTROL!$C$36, 6.1335, 6.1324) * CHOOSE(CONTROL!$C$19, $D$11, 100%, $F$11)</f>
        <v>6.1334999999999997</v>
      </c>
      <c r="D111" s="8">
        <f>CHOOSE( CONTROL!$C$36, 6.1127, 6.1116) * CHOOSE( CONTROL!$C$19, $D$11, 100%, $F$11)</f>
        <v>6.1127000000000002</v>
      </c>
      <c r="E111" s="12">
        <f>CHOOSE( CONTROL!$C$36, 6.1198, 6.1187) * CHOOSE( CONTROL!$C$19, $D$11, 100%, $F$11)</f>
        <v>6.1197999999999997</v>
      </c>
      <c r="F111" s="4">
        <f>CHOOSE( CONTROL!$C$36, 6.7876, 6.7866) * CHOOSE(CONTROL!$C$19, $D$11, 100%, $F$11)</f>
        <v>6.7876000000000003</v>
      </c>
      <c r="G111" s="8">
        <f>CHOOSE( CONTROL!$C$36, 6.0776, 6.0766) * CHOOSE( CONTROL!$C$19, $D$11, 100%, $F$11)</f>
        <v>6.0776000000000003</v>
      </c>
      <c r="H111" s="4">
        <f>CHOOSE( CONTROL!$C$36, 6.9668, 6.9657) * CHOOSE(CONTROL!$C$19, $D$11, 100%, $F$11)</f>
        <v>6.9668000000000001</v>
      </c>
      <c r="I111" s="8">
        <f>CHOOSE( CONTROL!$C$36, 6.1358, 6.1347) * CHOOSE(CONTROL!$C$19, $D$11, 100%, $F$11)</f>
        <v>6.1357999999999997</v>
      </c>
      <c r="J111" s="4">
        <f>CHOOSE( CONTROL!$C$36, 5.9508, 5.9497) * CHOOSE(CONTROL!$C$19, $D$11, 100%, $F$11)</f>
        <v>5.9508000000000001</v>
      </c>
      <c r="K111" s="4"/>
      <c r="L111" s="9">
        <v>28.360600000000002</v>
      </c>
      <c r="M111" s="9">
        <v>11.6745</v>
      </c>
      <c r="N111" s="9">
        <v>4.7850000000000001</v>
      </c>
      <c r="O111" s="9">
        <v>0.36199999999999999</v>
      </c>
      <c r="P111" s="9">
        <v>1.2509999999999999</v>
      </c>
      <c r="Q111" s="9">
        <v>31.946400000000001</v>
      </c>
      <c r="R111" s="9"/>
      <c r="S111" s="11"/>
    </row>
    <row r="112" spans="1:19" ht="15.75">
      <c r="A112" s="13">
        <v>44531</v>
      </c>
      <c r="B112" s="8">
        <f>CHOOSE( CONTROL!$C$36, 6.1172, 6.1161) * CHOOSE(CONTROL!$C$19, $D$11, 100%, $F$11)</f>
        <v>6.1172000000000004</v>
      </c>
      <c r="C112" s="8">
        <f>CHOOSE( CONTROL!$C$36, 6.1223, 6.1212) * CHOOSE(CONTROL!$C$19, $D$11, 100%, $F$11)</f>
        <v>6.1223000000000001</v>
      </c>
      <c r="D112" s="8">
        <f>CHOOSE( CONTROL!$C$36, 6.1029, 6.1018) * CHOOSE( CONTROL!$C$19, $D$11, 100%, $F$11)</f>
        <v>6.1029</v>
      </c>
      <c r="E112" s="12">
        <f>CHOOSE( CONTROL!$C$36, 6.1095, 6.1084) * CHOOSE( CONTROL!$C$19, $D$11, 100%, $F$11)</f>
        <v>6.1094999999999997</v>
      </c>
      <c r="F112" s="4">
        <f>CHOOSE( CONTROL!$C$36, 6.7765, 6.7754) * CHOOSE(CONTROL!$C$19, $D$11, 100%, $F$11)</f>
        <v>6.7765000000000004</v>
      </c>
      <c r="G112" s="8">
        <f>CHOOSE( CONTROL!$C$36, 6.0676, 6.0665) * CHOOSE( CONTROL!$C$19, $D$11, 100%, $F$11)</f>
        <v>6.0675999999999997</v>
      </c>
      <c r="H112" s="4">
        <f>CHOOSE( CONTROL!$C$36, 6.9558, 6.9547) * CHOOSE(CONTROL!$C$19, $D$11, 100%, $F$11)</f>
        <v>6.9558</v>
      </c>
      <c r="I112" s="8">
        <f>CHOOSE( CONTROL!$C$36, 6.1293, 6.1282) * CHOOSE(CONTROL!$C$19, $D$11, 100%, $F$11)</f>
        <v>6.1292999999999997</v>
      </c>
      <c r="J112" s="4">
        <f>CHOOSE( CONTROL!$C$36, 5.94, 5.9389) * CHOOSE(CONTROL!$C$19, $D$11, 100%, $F$11)</f>
        <v>5.94</v>
      </c>
      <c r="K112" s="4"/>
      <c r="L112" s="9">
        <v>29.306000000000001</v>
      </c>
      <c r="M112" s="9">
        <v>12.063700000000001</v>
      </c>
      <c r="N112" s="9">
        <v>4.9444999999999997</v>
      </c>
      <c r="O112" s="9">
        <v>0.37409999999999999</v>
      </c>
      <c r="P112" s="9">
        <v>1.2927</v>
      </c>
      <c r="Q112" s="9">
        <v>33.011299999999999</v>
      </c>
      <c r="R112" s="9"/>
      <c r="S112" s="11"/>
    </row>
    <row r="113" spans="1:19" ht="15.75">
      <c r="A113" s="13">
        <v>44562</v>
      </c>
      <c r="B113" s="8">
        <f>CHOOSE( CONTROL!$C$36, 6.3682, 6.3672) * CHOOSE(CONTROL!$C$19, $D$11, 100%, $F$11)</f>
        <v>6.3681999999999999</v>
      </c>
      <c r="C113" s="8">
        <f>CHOOSE( CONTROL!$C$36, 6.3733, 6.3723) * CHOOSE(CONTROL!$C$19, $D$11, 100%, $F$11)</f>
        <v>6.3733000000000004</v>
      </c>
      <c r="D113" s="8">
        <f>CHOOSE( CONTROL!$C$36, 6.3746, 6.3735) * CHOOSE( CONTROL!$C$19, $D$11, 100%, $F$11)</f>
        <v>6.3746</v>
      </c>
      <c r="E113" s="12">
        <f>CHOOSE( CONTROL!$C$36, 6.3736, 6.3725) * CHOOSE( CONTROL!$C$19, $D$11, 100%, $F$11)</f>
        <v>6.3735999999999997</v>
      </c>
      <c r="F113" s="4">
        <f>CHOOSE( CONTROL!$C$36, 7.0275, 7.0264) * CHOOSE(CONTROL!$C$19, $D$11, 100%, $F$11)</f>
        <v>7.0274999999999999</v>
      </c>
      <c r="G113" s="8">
        <f>CHOOSE( CONTROL!$C$36, 6.3262, 6.3251) * CHOOSE( CONTROL!$C$19, $D$11, 100%, $F$11)</f>
        <v>6.3262</v>
      </c>
      <c r="H113" s="4">
        <f>CHOOSE( CONTROL!$C$36, 7.2033, 7.2022) * CHOOSE(CONTROL!$C$19, $D$11, 100%, $F$11)</f>
        <v>7.2032999999999996</v>
      </c>
      <c r="I113" s="8">
        <f>CHOOSE( CONTROL!$C$36, 6.3499, 6.3489) * CHOOSE(CONTROL!$C$19, $D$11, 100%, $F$11)</f>
        <v>6.3498999999999999</v>
      </c>
      <c r="J113" s="4">
        <f>CHOOSE( CONTROL!$C$36, 6.183, 6.182) * CHOOSE(CONTROL!$C$19, $D$11, 100%, $F$11)</f>
        <v>6.1829999999999998</v>
      </c>
      <c r="K113" s="4"/>
      <c r="L113" s="9">
        <v>29.306000000000001</v>
      </c>
      <c r="M113" s="9">
        <v>12.063700000000001</v>
      </c>
      <c r="N113" s="9">
        <v>4.9444999999999997</v>
      </c>
      <c r="O113" s="9">
        <v>0.37409999999999999</v>
      </c>
      <c r="P113" s="9">
        <v>1.2927</v>
      </c>
      <c r="Q113" s="9">
        <v>32.8123</v>
      </c>
      <c r="R113" s="9"/>
      <c r="S113" s="11"/>
    </row>
    <row r="114" spans="1:19" ht="15.75">
      <c r="A114" s="13">
        <v>44593</v>
      </c>
      <c r="B114" s="8">
        <f>CHOOSE( CONTROL!$C$36, 5.9555, 5.9544) * CHOOSE(CONTROL!$C$19, $D$11, 100%, $F$11)</f>
        <v>5.9554999999999998</v>
      </c>
      <c r="C114" s="8">
        <f>CHOOSE( CONTROL!$C$36, 5.9606, 5.9595) * CHOOSE(CONTROL!$C$19, $D$11, 100%, $F$11)</f>
        <v>5.9606000000000003</v>
      </c>
      <c r="D114" s="8">
        <f>CHOOSE( CONTROL!$C$36, 5.9618, 5.9607) * CHOOSE( CONTROL!$C$19, $D$11, 100%, $F$11)</f>
        <v>5.9618000000000002</v>
      </c>
      <c r="E114" s="12">
        <f>CHOOSE( CONTROL!$C$36, 5.9608, 5.9597) * CHOOSE( CONTROL!$C$19, $D$11, 100%, $F$11)</f>
        <v>5.9607999999999999</v>
      </c>
      <c r="F114" s="4">
        <f>CHOOSE( CONTROL!$C$36, 6.6148, 6.6137) * CHOOSE(CONTROL!$C$19, $D$11, 100%, $F$11)</f>
        <v>6.6147999999999998</v>
      </c>
      <c r="G114" s="8">
        <f>CHOOSE( CONTROL!$C$36, 5.9191, 5.918) * CHOOSE( CONTROL!$C$19, $D$11, 100%, $F$11)</f>
        <v>5.9191000000000003</v>
      </c>
      <c r="H114" s="4">
        <f>CHOOSE( CONTROL!$C$36, 6.7963, 6.7952) * CHOOSE(CONTROL!$C$19, $D$11, 100%, $F$11)</f>
        <v>6.7962999999999996</v>
      </c>
      <c r="I114" s="8">
        <f>CHOOSE( CONTROL!$C$36, 5.9497, 5.9486) * CHOOSE(CONTROL!$C$19, $D$11, 100%, $F$11)</f>
        <v>5.9497</v>
      </c>
      <c r="J114" s="4">
        <f>CHOOSE( CONTROL!$C$36, 5.7834, 5.7823) * CHOOSE(CONTROL!$C$19, $D$11, 100%, $F$11)</f>
        <v>5.7834000000000003</v>
      </c>
      <c r="K114" s="4"/>
      <c r="L114" s="9">
        <v>26.469899999999999</v>
      </c>
      <c r="M114" s="9">
        <v>10.8962</v>
      </c>
      <c r="N114" s="9">
        <v>4.4660000000000002</v>
      </c>
      <c r="O114" s="9">
        <v>0.33789999999999998</v>
      </c>
      <c r="P114" s="9">
        <v>1.1676</v>
      </c>
      <c r="Q114" s="9">
        <v>29.636900000000001</v>
      </c>
      <c r="R114" s="9"/>
      <c r="S114" s="11"/>
    </row>
    <row r="115" spans="1:19" ht="15.75">
      <c r="A115" s="13">
        <v>44621</v>
      </c>
      <c r="B115" s="8">
        <f>CHOOSE( CONTROL!$C$36, 5.8284, 5.8273) * CHOOSE(CONTROL!$C$19, $D$11, 100%, $F$11)</f>
        <v>5.8284000000000002</v>
      </c>
      <c r="C115" s="8">
        <f>CHOOSE( CONTROL!$C$36, 5.8335, 5.8324) * CHOOSE(CONTROL!$C$19, $D$11, 100%, $F$11)</f>
        <v>5.8334999999999999</v>
      </c>
      <c r="D115" s="8">
        <f>CHOOSE( CONTROL!$C$36, 5.834, 5.8329) * CHOOSE( CONTROL!$C$19, $D$11, 100%, $F$11)</f>
        <v>5.8339999999999996</v>
      </c>
      <c r="E115" s="12">
        <f>CHOOSE( CONTROL!$C$36, 5.8333, 5.8322) * CHOOSE( CONTROL!$C$19, $D$11, 100%, $F$11)</f>
        <v>5.8333000000000004</v>
      </c>
      <c r="F115" s="4">
        <f>CHOOSE( CONTROL!$C$36, 6.4876, 6.4866) * CHOOSE(CONTROL!$C$19, $D$11, 100%, $F$11)</f>
        <v>6.4875999999999996</v>
      </c>
      <c r="G115" s="8">
        <f>CHOOSE( CONTROL!$C$36, 5.7933, 5.7922) * CHOOSE( CONTROL!$C$19, $D$11, 100%, $F$11)</f>
        <v>5.7933000000000003</v>
      </c>
      <c r="H115" s="4">
        <f>CHOOSE( CONTROL!$C$36, 6.671, 6.6699) * CHOOSE(CONTROL!$C$19, $D$11, 100%, $F$11)</f>
        <v>6.6710000000000003</v>
      </c>
      <c r="I115" s="8">
        <f>CHOOSE( CONTROL!$C$36, 5.8245, 5.8235) * CHOOSE(CONTROL!$C$19, $D$11, 100%, $F$11)</f>
        <v>5.8244999999999996</v>
      </c>
      <c r="J115" s="4">
        <f>CHOOSE( CONTROL!$C$36, 5.6603, 5.6592) * CHOOSE(CONTROL!$C$19, $D$11, 100%, $F$11)</f>
        <v>5.6603000000000003</v>
      </c>
      <c r="K115" s="4"/>
      <c r="L115" s="9">
        <v>29.306000000000001</v>
      </c>
      <c r="M115" s="9">
        <v>12.063700000000001</v>
      </c>
      <c r="N115" s="9">
        <v>4.9444999999999997</v>
      </c>
      <c r="O115" s="9">
        <v>0.37409999999999999</v>
      </c>
      <c r="P115" s="9">
        <v>1.2927</v>
      </c>
      <c r="Q115" s="9">
        <v>32.8123</v>
      </c>
      <c r="R115" s="9"/>
      <c r="S115" s="11"/>
    </row>
    <row r="116" spans="1:19" ht="15.75">
      <c r="A116" s="13">
        <v>44652</v>
      </c>
      <c r="B116" s="8">
        <f>CHOOSE( CONTROL!$C$36, 5.918, 5.9169) * CHOOSE(CONTROL!$C$19, $D$11, 100%, $F$11)</f>
        <v>5.9180000000000001</v>
      </c>
      <c r="C116" s="8">
        <f>CHOOSE( CONTROL!$C$36, 5.9225, 5.9214) * CHOOSE(CONTROL!$C$19, $D$11, 100%, $F$11)</f>
        <v>5.9225000000000003</v>
      </c>
      <c r="D116" s="8">
        <f>CHOOSE( CONTROL!$C$36, 5.9429, 5.9418) * CHOOSE( CONTROL!$C$19, $D$11, 100%, $F$11)</f>
        <v>5.9428999999999998</v>
      </c>
      <c r="E116" s="12">
        <f>CHOOSE( CONTROL!$C$36, 5.9356, 5.9345) * CHOOSE( CONTROL!$C$19, $D$11, 100%, $F$11)</f>
        <v>5.9356</v>
      </c>
      <c r="F116" s="4">
        <f>CHOOSE( CONTROL!$C$36, 6.6524, 6.6513) * CHOOSE(CONTROL!$C$19, $D$11, 100%, $F$11)</f>
        <v>6.6524000000000001</v>
      </c>
      <c r="G116" s="8">
        <f>CHOOSE( CONTROL!$C$36, 5.889, 5.8879) * CHOOSE( CONTROL!$C$19, $D$11, 100%, $F$11)</f>
        <v>5.8890000000000002</v>
      </c>
      <c r="H116" s="4">
        <f>CHOOSE( CONTROL!$C$36, 6.8334, 6.8323) * CHOOSE(CONTROL!$C$19, $D$11, 100%, $F$11)</f>
        <v>6.8334000000000001</v>
      </c>
      <c r="I116" s="8">
        <f>CHOOSE( CONTROL!$C$36, 5.8801, 5.879) * CHOOSE(CONTROL!$C$19, $D$11, 100%, $F$11)</f>
        <v>5.8800999999999997</v>
      </c>
      <c r="J116" s="4">
        <f>CHOOSE( CONTROL!$C$36, 5.7463, 5.7452) * CHOOSE(CONTROL!$C$19, $D$11, 100%, $F$11)</f>
        <v>5.7462999999999997</v>
      </c>
      <c r="K116" s="4"/>
      <c r="L116" s="9">
        <v>30.092199999999998</v>
      </c>
      <c r="M116" s="9">
        <v>11.6745</v>
      </c>
      <c r="N116" s="9">
        <v>4.7850000000000001</v>
      </c>
      <c r="O116" s="9">
        <v>0.36199999999999999</v>
      </c>
      <c r="P116" s="9">
        <v>1.2509999999999999</v>
      </c>
      <c r="Q116" s="9">
        <v>31.753799999999998</v>
      </c>
      <c r="R116" s="9"/>
      <c r="S116" s="11"/>
    </row>
    <row r="117" spans="1:19" ht="15.75">
      <c r="A117" s="13">
        <v>44682</v>
      </c>
      <c r="B117" s="8">
        <f>CHOOSE( CONTROL!$C$36, 6.078, 6.0764) * CHOOSE(CONTROL!$C$19, $D$11, 100%, $F$11)</f>
        <v>6.0780000000000003</v>
      </c>
      <c r="C117" s="8">
        <f>CHOOSE( CONTROL!$C$36, 6.086, 6.0844) * CHOOSE(CONTROL!$C$19, $D$11, 100%, $F$11)</f>
        <v>6.0860000000000003</v>
      </c>
      <c r="D117" s="8">
        <f>CHOOSE( CONTROL!$C$36, 6.1002, 6.0985) * CHOOSE( CONTROL!$C$19, $D$11, 100%, $F$11)</f>
        <v>6.1002000000000001</v>
      </c>
      <c r="E117" s="12">
        <f>CHOOSE( CONTROL!$C$36, 6.0938, 6.0922) * CHOOSE( CONTROL!$C$19, $D$11, 100%, $F$11)</f>
        <v>6.0937999999999999</v>
      </c>
      <c r="F117" s="4">
        <f>CHOOSE( CONTROL!$C$36, 6.811, 6.8094) * CHOOSE(CONTROL!$C$19, $D$11, 100%, $F$11)</f>
        <v>6.8109999999999999</v>
      </c>
      <c r="G117" s="8">
        <f>CHOOSE( CONTROL!$C$36, 6.0454, 6.0438) * CHOOSE( CONTROL!$C$19, $D$11, 100%, $F$11)</f>
        <v>6.0453999999999999</v>
      </c>
      <c r="H117" s="4">
        <f>CHOOSE( CONTROL!$C$36, 6.9899, 6.9882) * CHOOSE(CONTROL!$C$19, $D$11, 100%, $F$11)</f>
        <v>6.9898999999999996</v>
      </c>
      <c r="I117" s="8">
        <f>CHOOSE( CONTROL!$C$36, 6.0334, 6.0318) * CHOOSE(CONTROL!$C$19, $D$11, 100%, $F$11)</f>
        <v>6.0334000000000003</v>
      </c>
      <c r="J117" s="4">
        <f>CHOOSE( CONTROL!$C$36, 5.8999, 5.8983) * CHOOSE(CONTROL!$C$19, $D$11, 100%, $F$11)</f>
        <v>5.8998999999999997</v>
      </c>
      <c r="K117" s="4"/>
      <c r="L117" s="9">
        <v>30.7165</v>
      </c>
      <c r="M117" s="9">
        <v>12.063700000000001</v>
      </c>
      <c r="N117" s="9">
        <v>4.9444999999999997</v>
      </c>
      <c r="O117" s="9">
        <v>0.37409999999999999</v>
      </c>
      <c r="P117" s="9">
        <v>1.2927</v>
      </c>
      <c r="Q117" s="9">
        <v>32.8123</v>
      </c>
      <c r="R117" s="9"/>
      <c r="S117" s="11"/>
    </row>
    <row r="118" spans="1:19" ht="15.75">
      <c r="A118" s="13">
        <v>44713</v>
      </c>
      <c r="B118" s="8">
        <f>CHOOSE( CONTROL!$C$36, 5.9801, 5.9784) * CHOOSE(CONTROL!$C$19, $D$11, 100%, $F$11)</f>
        <v>5.9801000000000002</v>
      </c>
      <c r="C118" s="8">
        <f>CHOOSE( CONTROL!$C$36, 5.9881, 5.9864) * CHOOSE(CONTROL!$C$19, $D$11, 100%, $F$11)</f>
        <v>5.9881000000000002</v>
      </c>
      <c r="D118" s="8">
        <f>CHOOSE( CONTROL!$C$36, 6.0025, 6.0008) * CHOOSE( CONTROL!$C$19, $D$11, 100%, $F$11)</f>
        <v>6.0025000000000004</v>
      </c>
      <c r="E118" s="12">
        <f>CHOOSE( CONTROL!$C$36, 5.9961, 5.9944) * CHOOSE( CONTROL!$C$19, $D$11, 100%, $F$11)</f>
        <v>5.9961000000000002</v>
      </c>
      <c r="F118" s="4">
        <f>CHOOSE( CONTROL!$C$36, 6.7131, 6.7114) * CHOOSE(CONTROL!$C$19, $D$11, 100%, $F$11)</f>
        <v>6.7130999999999998</v>
      </c>
      <c r="G118" s="8">
        <f>CHOOSE( CONTROL!$C$36, 5.949, 5.9473) * CHOOSE( CONTROL!$C$19, $D$11, 100%, $F$11)</f>
        <v>5.9489999999999998</v>
      </c>
      <c r="H118" s="4">
        <f>CHOOSE( CONTROL!$C$36, 6.8933, 6.8917) * CHOOSE(CONTROL!$C$19, $D$11, 100%, $F$11)</f>
        <v>6.8933</v>
      </c>
      <c r="I118" s="8">
        <f>CHOOSE( CONTROL!$C$36, 5.9392, 5.9376) * CHOOSE(CONTROL!$C$19, $D$11, 100%, $F$11)</f>
        <v>5.9391999999999996</v>
      </c>
      <c r="J118" s="4">
        <f>CHOOSE( CONTROL!$C$36, 5.8051, 5.8035) * CHOOSE(CONTROL!$C$19, $D$11, 100%, $F$11)</f>
        <v>5.8051000000000004</v>
      </c>
      <c r="K118" s="4"/>
      <c r="L118" s="9">
        <v>29.7257</v>
      </c>
      <c r="M118" s="9">
        <v>11.6745</v>
      </c>
      <c r="N118" s="9">
        <v>4.7850000000000001</v>
      </c>
      <c r="O118" s="9">
        <v>0.36199999999999999</v>
      </c>
      <c r="P118" s="9">
        <v>1.2509999999999999</v>
      </c>
      <c r="Q118" s="9">
        <v>31.753799999999998</v>
      </c>
      <c r="R118" s="9"/>
      <c r="S118" s="11"/>
    </row>
    <row r="119" spans="1:19" ht="15.75">
      <c r="A119" s="13">
        <v>44743</v>
      </c>
      <c r="B119" s="8">
        <f>CHOOSE( CONTROL!$C$36, 6.238, 6.2363) * CHOOSE(CONTROL!$C$19, $D$11, 100%, $F$11)</f>
        <v>6.2380000000000004</v>
      </c>
      <c r="C119" s="8">
        <f>CHOOSE( CONTROL!$C$36, 6.246, 6.2443) * CHOOSE(CONTROL!$C$19, $D$11, 100%, $F$11)</f>
        <v>6.2460000000000004</v>
      </c>
      <c r="D119" s="8">
        <f>CHOOSE( CONTROL!$C$36, 6.2606, 6.2589) * CHOOSE( CONTROL!$C$19, $D$11, 100%, $F$11)</f>
        <v>6.2606000000000002</v>
      </c>
      <c r="E119" s="12">
        <f>CHOOSE( CONTROL!$C$36, 6.2541, 6.2524) * CHOOSE( CONTROL!$C$19, $D$11, 100%, $F$11)</f>
        <v>6.2541000000000002</v>
      </c>
      <c r="F119" s="4">
        <f>CHOOSE( CONTROL!$C$36, 6.971, 6.9694) * CHOOSE(CONTROL!$C$19, $D$11, 100%, $F$11)</f>
        <v>6.9710000000000001</v>
      </c>
      <c r="G119" s="8">
        <f>CHOOSE( CONTROL!$C$36, 6.2035, 6.2018) * CHOOSE( CONTROL!$C$19, $D$11, 100%, $F$11)</f>
        <v>6.2035</v>
      </c>
      <c r="H119" s="4">
        <f>CHOOSE( CONTROL!$C$36, 7.1476, 7.146) * CHOOSE(CONTROL!$C$19, $D$11, 100%, $F$11)</f>
        <v>7.1475999999999997</v>
      </c>
      <c r="I119" s="8">
        <f>CHOOSE( CONTROL!$C$36, 6.1899, 6.1883) * CHOOSE(CONTROL!$C$19, $D$11, 100%, $F$11)</f>
        <v>6.1898999999999997</v>
      </c>
      <c r="J119" s="4">
        <f>CHOOSE( CONTROL!$C$36, 6.0548, 6.0532) * CHOOSE(CONTROL!$C$19, $D$11, 100%, $F$11)</f>
        <v>6.0548000000000002</v>
      </c>
      <c r="K119" s="4"/>
      <c r="L119" s="9">
        <v>30.7165</v>
      </c>
      <c r="M119" s="9">
        <v>12.063700000000001</v>
      </c>
      <c r="N119" s="9">
        <v>4.9444999999999997</v>
      </c>
      <c r="O119" s="9">
        <v>0.37409999999999999</v>
      </c>
      <c r="P119" s="9">
        <v>1.2927</v>
      </c>
      <c r="Q119" s="9">
        <v>32.8123</v>
      </c>
      <c r="R119" s="9"/>
      <c r="S119" s="11"/>
    </row>
    <row r="120" spans="1:19" ht="15.75">
      <c r="A120" s="13">
        <v>44774</v>
      </c>
      <c r="B120" s="8">
        <f>CHOOSE( CONTROL!$C$36, 5.7554, 5.7538) * CHOOSE(CONTROL!$C$19, $D$11, 100%, $F$11)</f>
        <v>5.7553999999999998</v>
      </c>
      <c r="C120" s="8">
        <f>CHOOSE( CONTROL!$C$36, 5.7634, 5.7618) * CHOOSE(CONTROL!$C$19, $D$11, 100%, $F$11)</f>
        <v>5.7633999999999999</v>
      </c>
      <c r="D120" s="8">
        <f>CHOOSE( CONTROL!$C$36, 5.7781, 5.7764) * CHOOSE( CONTROL!$C$19, $D$11, 100%, $F$11)</f>
        <v>5.7781000000000002</v>
      </c>
      <c r="E120" s="12">
        <f>CHOOSE( CONTROL!$C$36, 5.7716, 5.7699) * CHOOSE( CONTROL!$C$19, $D$11, 100%, $F$11)</f>
        <v>5.7716000000000003</v>
      </c>
      <c r="F120" s="4">
        <f>CHOOSE( CONTROL!$C$36, 6.4884, 6.4868) * CHOOSE(CONTROL!$C$19, $D$11, 100%, $F$11)</f>
        <v>6.4884000000000004</v>
      </c>
      <c r="G120" s="8">
        <f>CHOOSE( CONTROL!$C$36, 5.7277, 5.7261) * CHOOSE( CONTROL!$C$19, $D$11, 100%, $F$11)</f>
        <v>5.7276999999999996</v>
      </c>
      <c r="H120" s="4">
        <f>CHOOSE( CONTROL!$C$36, 6.6718, 6.6701) * CHOOSE(CONTROL!$C$19, $D$11, 100%, $F$11)</f>
        <v>6.6718000000000002</v>
      </c>
      <c r="I120" s="8">
        <f>CHOOSE( CONTROL!$C$36, 5.7226, 5.721) * CHOOSE(CONTROL!$C$19, $D$11, 100%, $F$11)</f>
        <v>5.7225999999999999</v>
      </c>
      <c r="J120" s="4">
        <f>CHOOSE( CONTROL!$C$36, 5.5876, 5.586) * CHOOSE(CONTROL!$C$19, $D$11, 100%, $F$11)</f>
        <v>5.5876000000000001</v>
      </c>
      <c r="K120" s="4"/>
      <c r="L120" s="9">
        <v>30.7165</v>
      </c>
      <c r="M120" s="9">
        <v>12.063700000000001</v>
      </c>
      <c r="N120" s="9">
        <v>4.9444999999999997</v>
      </c>
      <c r="O120" s="9">
        <v>0.37409999999999999</v>
      </c>
      <c r="P120" s="9">
        <v>1.2927</v>
      </c>
      <c r="Q120" s="9">
        <v>32.8123</v>
      </c>
      <c r="R120" s="9"/>
      <c r="S120" s="11"/>
    </row>
    <row r="121" spans="1:19" ht="15.75">
      <c r="A121" s="13">
        <v>44805</v>
      </c>
      <c r="B121" s="8">
        <f>CHOOSE( CONTROL!$C$36, 5.6346, 5.6329) * CHOOSE(CONTROL!$C$19, $D$11, 100%, $F$11)</f>
        <v>5.6345999999999998</v>
      </c>
      <c r="C121" s="8">
        <f>CHOOSE( CONTROL!$C$36, 5.6426, 5.6409) * CHOOSE(CONTROL!$C$19, $D$11, 100%, $F$11)</f>
        <v>5.6425999999999998</v>
      </c>
      <c r="D121" s="8">
        <f>CHOOSE( CONTROL!$C$36, 5.6572, 5.6555) * CHOOSE( CONTROL!$C$19, $D$11, 100%, $F$11)</f>
        <v>5.6571999999999996</v>
      </c>
      <c r="E121" s="12">
        <f>CHOOSE( CONTROL!$C$36, 5.6507, 5.649) * CHOOSE( CONTROL!$C$19, $D$11, 100%, $F$11)</f>
        <v>5.6506999999999996</v>
      </c>
      <c r="F121" s="4">
        <f>CHOOSE( CONTROL!$C$36, 6.3676, 6.3659) * CHOOSE(CONTROL!$C$19, $D$11, 100%, $F$11)</f>
        <v>6.3676000000000004</v>
      </c>
      <c r="G121" s="8">
        <f>CHOOSE( CONTROL!$C$36, 5.6085, 5.6068) * CHOOSE( CONTROL!$C$19, $D$11, 100%, $F$11)</f>
        <v>5.6085000000000003</v>
      </c>
      <c r="H121" s="4">
        <f>CHOOSE( CONTROL!$C$36, 6.5526, 6.551) * CHOOSE(CONTROL!$C$19, $D$11, 100%, $F$11)</f>
        <v>6.5526</v>
      </c>
      <c r="I121" s="8">
        <f>CHOOSE( CONTROL!$C$36, 5.6052, 5.6036) * CHOOSE(CONTROL!$C$19, $D$11, 100%, $F$11)</f>
        <v>5.6052</v>
      </c>
      <c r="J121" s="4">
        <f>CHOOSE( CONTROL!$C$36, 5.4706, 5.469) * CHOOSE(CONTROL!$C$19, $D$11, 100%, $F$11)</f>
        <v>5.4706000000000001</v>
      </c>
      <c r="K121" s="4"/>
      <c r="L121" s="9">
        <v>29.7257</v>
      </c>
      <c r="M121" s="9">
        <v>11.6745</v>
      </c>
      <c r="N121" s="9">
        <v>4.7850000000000001</v>
      </c>
      <c r="O121" s="9">
        <v>0.36199999999999999</v>
      </c>
      <c r="P121" s="9">
        <v>1.2509999999999999</v>
      </c>
      <c r="Q121" s="9">
        <v>31.753799999999998</v>
      </c>
      <c r="R121" s="9"/>
      <c r="S121" s="11"/>
    </row>
    <row r="122" spans="1:19" ht="15.75">
      <c r="A122" s="13">
        <v>44835</v>
      </c>
      <c r="B122" s="8">
        <f>CHOOSE( CONTROL!$C$36, 5.8832, 5.8821) * CHOOSE(CONTROL!$C$19, $D$11, 100%, $F$11)</f>
        <v>5.8832000000000004</v>
      </c>
      <c r="C122" s="8">
        <f>CHOOSE( CONTROL!$C$36, 5.8885, 5.8875) * CHOOSE(CONTROL!$C$19, $D$11, 100%, $F$11)</f>
        <v>5.8884999999999996</v>
      </c>
      <c r="D122" s="8">
        <f>CHOOSE( CONTROL!$C$36, 5.909, 5.9079) * CHOOSE( CONTROL!$C$19, $D$11, 100%, $F$11)</f>
        <v>5.9089999999999998</v>
      </c>
      <c r="E122" s="12">
        <f>CHOOSE( CONTROL!$C$36, 5.9017, 5.9006) * CHOOSE( CONTROL!$C$19, $D$11, 100%, $F$11)</f>
        <v>5.9016999999999999</v>
      </c>
      <c r="F122" s="4">
        <f>CHOOSE( CONTROL!$C$36, 6.6179, 6.6169) * CHOOSE(CONTROL!$C$19, $D$11, 100%, $F$11)</f>
        <v>6.6178999999999997</v>
      </c>
      <c r="G122" s="8">
        <f>CHOOSE( CONTROL!$C$36, 5.8555, 5.8544) * CHOOSE( CONTROL!$C$19, $D$11, 100%, $F$11)</f>
        <v>5.8555000000000001</v>
      </c>
      <c r="H122" s="4">
        <f>CHOOSE( CONTROL!$C$36, 6.7995, 6.7984) * CHOOSE(CONTROL!$C$19, $D$11, 100%, $F$11)</f>
        <v>6.7995000000000001</v>
      </c>
      <c r="I122" s="8">
        <f>CHOOSE( CONTROL!$C$36, 5.8487, 5.8477) * CHOOSE(CONTROL!$C$19, $D$11, 100%, $F$11)</f>
        <v>5.8487</v>
      </c>
      <c r="J122" s="4">
        <f>CHOOSE( CONTROL!$C$36, 5.713, 5.7119) * CHOOSE(CONTROL!$C$19, $D$11, 100%, $F$11)</f>
        <v>5.7130000000000001</v>
      </c>
      <c r="K122" s="4"/>
      <c r="L122" s="9">
        <v>31.095300000000002</v>
      </c>
      <c r="M122" s="9">
        <v>12.063700000000001</v>
      </c>
      <c r="N122" s="9">
        <v>4.9444999999999997</v>
      </c>
      <c r="O122" s="9">
        <v>0.37409999999999999</v>
      </c>
      <c r="P122" s="9">
        <v>1.2927</v>
      </c>
      <c r="Q122" s="9">
        <v>32.8123</v>
      </c>
      <c r="R122" s="9"/>
      <c r="S122" s="11"/>
    </row>
    <row r="123" spans="1:19" ht="15.75">
      <c r="A123" s="13">
        <v>44866</v>
      </c>
      <c r="B123" s="8">
        <f>CHOOSE( CONTROL!$C$36, 6.3459, 6.3448) * CHOOSE(CONTROL!$C$19, $D$11, 100%, $F$11)</f>
        <v>6.3459000000000003</v>
      </c>
      <c r="C123" s="8">
        <f>CHOOSE( CONTROL!$C$36, 6.351, 6.3499) * CHOOSE(CONTROL!$C$19, $D$11, 100%, $F$11)</f>
        <v>6.351</v>
      </c>
      <c r="D123" s="8">
        <f>CHOOSE( CONTROL!$C$36, 6.3302, 6.3291) * CHOOSE( CONTROL!$C$19, $D$11, 100%, $F$11)</f>
        <v>6.3301999999999996</v>
      </c>
      <c r="E123" s="12">
        <f>CHOOSE( CONTROL!$C$36, 6.3373, 6.3362) * CHOOSE( CONTROL!$C$19, $D$11, 100%, $F$11)</f>
        <v>6.3372999999999999</v>
      </c>
      <c r="F123" s="4">
        <f>CHOOSE( CONTROL!$C$36, 7.0052, 7.0041) * CHOOSE(CONTROL!$C$19, $D$11, 100%, $F$11)</f>
        <v>7.0052000000000003</v>
      </c>
      <c r="G123" s="8">
        <f>CHOOSE( CONTROL!$C$36, 6.2921, 6.291) * CHOOSE( CONTROL!$C$19, $D$11, 100%, $F$11)</f>
        <v>6.2920999999999996</v>
      </c>
      <c r="H123" s="4">
        <f>CHOOSE( CONTROL!$C$36, 7.1813, 7.1802) * CHOOSE(CONTROL!$C$19, $D$11, 100%, $F$11)</f>
        <v>7.1813000000000002</v>
      </c>
      <c r="I123" s="8">
        <f>CHOOSE( CONTROL!$C$36, 6.3465, 6.3454) * CHOOSE(CONTROL!$C$19, $D$11, 100%, $F$11)</f>
        <v>6.3464999999999998</v>
      </c>
      <c r="J123" s="4">
        <f>CHOOSE( CONTROL!$C$36, 6.1614, 6.1603) * CHOOSE(CONTROL!$C$19, $D$11, 100%, $F$11)</f>
        <v>6.1614000000000004</v>
      </c>
      <c r="K123" s="4"/>
      <c r="L123" s="9">
        <v>28.360600000000002</v>
      </c>
      <c r="M123" s="9">
        <v>11.6745</v>
      </c>
      <c r="N123" s="9">
        <v>4.7850000000000001</v>
      </c>
      <c r="O123" s="9">
        <v>0.36199999999999999</v>
      </c>
      <c r="P123" s="9">
        <v>1.2509999999999999</v>
      </c>
      <c r="Q123" s="9">
        <v>31.753799999999998</v>
      </c>
      <c r="R123" s="9"/>
      <c r="S123" s="11"/>
    </row>
    <row r="124" spans="1:19" ht="15.75">
      <c r="A124" s="13">
        <v>44896</v>
      </c>
      <c r="B124" s="8">
        <f>CHOOSE( CONTROL!$C$36, 6.3343, 6.3332) * CHOOSE(CONTROL!$C$19, $D$11, 100%, $F$11)</f>
        <v>6.3342999999999998</v>
      </c>
      <c r="C124" s="8">
        <f>CHOOSE( CONTROL!$C$36, 6.3394, 6.3383) * CHOOSE(CONTROL!$C$19, $D$11, 100%, $F$11)</f>
        <v>6.3394000000000004</v>
      </c>
      <c r="D124" s="8">
        <f>CHOOSE( CONTROL!$C$36, 6.32, 6.3189) * CHOOSE( CONTROL!$C$19, $D$11, 100%, $F$11)</f>
        <v>6.32</v>
      </c>
      <c r="E124" s="12">
        <f>CHOOSE( CONTROL!$C$36, 6.3266, 6.3255) * CHOOSE( CONTROL!$C$19, $D$11, 100%, $F$11)</f>
        <v>6.3266</v>
      </c>
      <c r="F124" s="4">
        <f>CHOOSE( CONTROL!$C$36, 6.9936, 6.9925) * CHOOSE(CONTROL!$C$19, $D$11, 100%, $F$11)</f>
        <v>6.9935999999999998</v>
      </c>
      <c r="G124" s="8">
        <f>CHOOSE( CONTROL!$C$36, 6.2817, 6.2806) * CHOOSE( CONTROL!$C$19, $D$11, 100%, $F$11)</f>
        <v>6.2816999999999998</v>
      </c>
      <c r="H124" s="4">
        <f>CHOOSE( CONTROL!$C$36, 7.1699, 7.1688) * CHOOSE(CONTROL!$C$19, $D$11, 100%, $F$11)</f>
        <v>7.1699000000000002</v>
      </c>
      <c r="I124" s="8">
        <f>CHOOSE( CONTROL!$C$36, 6.3396, 6.3385) * CHOOSE(CONTROL!$C$19, $D$11, 100%, $F$11)</f>
        <v>6.3395999999999999</v>
      </c>
      <c r="J124" s="4">
        <f>CHOOSE( CONTROL!$C$36, 6.1502, 6.1491) * CHOOSE(CONTROL!$C$19, $D$11, 100%, $F$11)</f>
        <v>6.1501999999999999</v>
      </c>
      <c r="K124" s="4"/>
      <c r="L124" s="9">
        <v>29.306000000000001</v>
      </c>
      <c r="M124" s="9">
        <v>12.063700000000001</v>
      </c>
      <c r="N124" s="9">
        <v>4.9444999999999997</v>
      </c>
      <c r="O124" s="9">
        <v>0.37409999999999999</v>
      </c>
      <c r="P124" s="9">
        <v>1.2927</v>
      </c>
      <c r="Q124" s="9">
        <v>32.8123</v>
      </c>
      <c r="R124" s="9"/>
      <c r="S124" s="11"/>
    </row>
    <row r="125" spans="1:19" ht="15.75">
      <c r="A125" s="13">
        <v>44927</v>
      </c>
      <c r="B125" s="8">
        <f>CHOOSE( CONTROL!$C$36, 6.5865, 6.5854) * CHOOSE(CONTROL!$C$19, $D$11, 100%, $F$11)</f>
        <v>6.5865</v>
      </c>
      <c r="C125" s="8">
        <f>CHOOSE( CONTROL!$C$36, 6.5916, 6.5905) * CHOOSE(CONTROL!$C$19, $D$11, 100%, $F$11)</f>
        <v>6.5915999999999997</v>
      </c>
      <c r="D125" s="8">
        <f>CHOOSE( CONTROL!$C$36, 6.5929, 6.5918) * CHOOSE( CONTROL!$C$19, $D$11, 100%, $F$11)</f>
        <v>6.5929000000000002</v>
      </c>
      <c r="E125" s="12">
        <f>CHOOSE( CONTROL!$C$36, 6.5919, 6.5908) * CHOOSE( CONTROL!$C$19, $D$11, 100%, $F$11)</f>
        <v>6.5918999999999999</v>
      </c>
      <c r="F125" s="4">
        <f>CHOOSE( CONTROL!$C$36, 7.2458, 7.2447) * CHOOSE(CONTROL!$C$19, $D$11, 100%, $F$11)</f>
        <v>7.2458</v>
      </c>
      <c r="G125" s="8">
        <f>CHOOSE( CONTROL!$C$36, 6.5414, 6.5403) * CHOOSE( CONTROL!$C$19, $D$11, 100%, $F$11)</f>
        <v>6.5414000000000003</v>
      </c>
      <c r="H125" s="4">
        <f>CHOOSE( CONTROL!$C$36, 7.4185, 7.4175) * CHOOSE(CONTROL!$C$19, $D$11, 100%, $F$11)</f>
        <v>7.4184999999999999</v>
      </c>
      <c r="I125" s="8">
        <f>CHOOSE( CONTROL!$C$36, 6.5614, 6.5603) * CHOOSE(CONTROL!$C$19, $D$11, 100%, $F$11)</f>
        <v>6.5613999999999999</v>
      </c>
      <c r="J125" s="4">
        <f>CHOOSE( CONTROL!$C$36, 6.3944, 6.3933) * CHOOSE(CONTROL!$C$19, $D$11, 100%, $F$11)</f>
        <v>6.3944000000000001</v>
      </c>
      <c r="K125" s="4"/>
      <c r="L125" s="9">
        <v>29.306000000000001</v>
      </c>
      <c r="M125" s="9">
        <v>12.063700000000001</v>
      </c>
      <c r="N125" s="9">
        <v>4.9444999999999997</v>
      </c>
      <c r="O125" s="9">
        <v>0.37409999999999999</v>
      </c>
      <c r="P125" s="9">
        <v>1.2927</v>
      </c>
      <c r="Q125" s="9">
        <v>32.624400000000001</v>
      </c>
      <c r="R125" s="9"/>
      <c r="S125" s="11"/>
    </row>
    <row r="126" spans="1:19" ht="15.75">
      <c r="A126" s="13">
        <v>44958</v>
      </c>
      <c r="B126" s="8">
        <f>CHOOSE( CONTROL!$C$36, 6.1597, 6.1586) * CHOOSE(CONTROL!$C$19, $D$11, 100%, $F$11)</f>
        <v>6.1597</v>
      </c>
      <c r="C126" s="8">
        <f>CHOOSE( CONTROL!$C$36, 6.1648, 6.1637) * CHOOSE(CONTROL!$C$19, $D$11, 100%, $F$11)</f>
        <v>6.1647999999999996</v>
      </c>
      <c r="D126" s="8">
        <f>CHOOSE( CONTROL!$C$36, 6.1659, 6.1648) * CHOOSE( CONTROL!$C$19, $D$11, 100%, $F$11)</f>
        <v>6.1658999999999997</v>
      </c>
      <c r="E126" s="12">
        <f>CHOOSE( CONTROL!$C$36, 6.165, 6.1639) * CHOOSE( CONTROL!$C$19, $D$11, 100%, $F$11)</f>
        <v>6.165</v>
      </c>
      <c r="F126" s="4">
        <f>CHOOSE( CONTROL!$C$36, 6.8189, 6.8178) * CHOOSE(CONTROL!$C$19, $D$11, 100%, $F$11)</f>
        <v>6.8189000000000002</v>
      </c>
      <c r="G126" s="8">
        <f>CHOOSE( CONTROL!$C$36, 6.1204, 6.1194) * CHOOSE( CONTROL!$C$19, $D$11, 100%, $F$11)</f>
        <v>6.1204000000000001</v>
      </c>
      <c r="H126" s="4">
        <f>CHOOSE( CONTROL!$C$36, 6.9976, 6.9966) * CHOOSE(CONTROL!$C$19, $D$11, 100%, $F$11)</f>
        <v>6.9976000000000003</v>
      </c>
      <c r="I126" s="8">
        <f>CHOOSE( CONTROL!$C$36, 6.1475, 6.1464) * CHOOSE(CONTROL!$C$19, $D$11, 100%, $F$11)</f>
        <v>6.1475</v>
      </c>
      <c r="J126" s="4">
        <f>CHOOSE( CONTROL!$C$36, 5.9811, 5.98) * CHOOSE(CONTROL!$C$19, $D$11, 100%, $F$11)</f>
        <v>5.9810999999999996</v>
      </c>
      <c r="K126" s="4"/>
      <c r="L126" s="9">
        <v>26.469899999999999</v>
      </c>
      <c r="M126" s="9">
        <v>10.8962</v>
      </c>
      <c r="N126" s="9">
        <v>4.4660000000000002</v>
      </c>
      <c r="O126" s="9">
        <v>0.33789999999999998</v>
      </c>
      <c r="P126" s="9">
        <v>1.1676</v>
      </c>
      <c r="Q126" s="9">
        <v>29.467199999999998</v>
      </c>
      <c r="R126" s="9"/>
      <c r="S126" s="11"/>
    </row>
    <row r="127" spans="1:19" ht="15.75">
      <c r="A127" s="13">
        <v>44986</v>
      </c>
      <c r="B127" s="8">
        <f>CHOOSE( CONTROL!$C$36, 6.0282, 6.0271) * CHOOSE(CONTROL!$C$19, $D$11, 100%, $F$11)</f>
        <v>6.0282</v>
      </c>
      <c r="C127" s="8">
        <f>CHOOSE( CONTROL!$C$36, 6.0333, 6.0322) * CHOOSE(CONTROL!$C$19, $D$11, 100%, $F$11)</f>
        <v>6.0332999999999997</v>
      </c>
      <c r="D127" s="8">
        <f>CHOOSE( CONTROL!$C$36, 6.0338, 6.0327) * CHOOSE( CONTROL!$C$19, $D$11, 100%, $F$11)</f>
        <v>6.0338000000000003</v>
      </c>
      <c r="E127" s="12">
        <f>CHOOSE( CONTROL!$C$36, 6.0331, 6.032) * CHOOSE( CONTROL!$C$19, $D$11, 100%, $F$11)</f>
        <v>6.0331000000000001</v>
      </c>
      <c r="F127" s="4">
        <f>CHOOSE( CONTROL!$C$36, 6.6874, 6.6864) * CHOOSE(CONTROL!$C$19, $D$11, 100%, $F$11)</f>
        <v>6.6874000000000002</v>
      </c>
      <c r="G127" s="8">
        <f>CHOOSE( CONTROL!$C$36, 5.9903, 5.9893) * CHOOSE( CONTROL!$C$19, $D$11, 100%, $F$11)</f>
        <v>5.9903000000000004</v>
      </c>
      <c r="H127" s="4">
        <f>CHOOSE( CONTROL!$C$36, 6.868, 6.8669) * CHOOSE(CONTROL!$C$19, $D$11, 100%, $F$11)</f>
        <v>6.8680000000000003</v>
      </c>
      <c r="I127" s="8">
        <f>CHOOSE( CONTROL!$C$36, 6.0181, 6.0171) * CHOOSE(CONTROL!$C$19, $D$11, 100%, $F$11)</f>
        <v>6.0180999999999996</v>
      </c>
      <c r="J127" s="4">
        <f>CHOOSE( CONTROL!$C$36, 5.8538, 5.8527) * CHOOSE(CONTROL!$C$19, $D$11, 100%, $F$11)</f>
        <v>5.8537999999999997</v>
      </c>
      <c r="K127" s="4"/>
      <c r="L127" s="9">
        <v>29.306000000000001</v>
      </c>
      <c r="M127" s="9">
        <v>12.063700000000001</v>
      </c>
      <c r="N127" s="9">
        <v>4.9444999999999997</v>
      </c>
      <c r="O127" s="9">
        <v>0.37409999999999999</v>
      </c>
      <c r="P127" s="9">
        <v>1.2927</v>
      </c>
      <c r="Q127" s="9">
        <v>32.624400000000001</v>
      </c>
      <c r="R127" s="9"/>
      <c r="S127" s="11"/>
    </row>
    <row r="128" spans="1:19" ht="15.75">
      <c r="A128" s="13">
        <v>45017</v>
      </c>
      <c r="B128" s="8">
        <f>CHOOSE( CONTROL!$C$36, 6.1208, 6.1197) * CHOOSE(CONTROL!$C$19, $D$11, 100%, $F$11)</f>
        <v>6.1208</v>
      </c>
      <c r="C128" s="8">
        <f>CHOOSE( CONTROL!$C$36, 6.1254, 6.1243) * CHOOSE(CONTROL!$C$19, $D$11, 100%, $F$11)</f>
        <v>6.1254</v>
      </c>
      <c r="D128" s="8">
        <f>CHOOSE( CONTROL!$C$36, 6.1457, 6.1447) * CHOOSE( CONTROL!$C$19, $D$11, 100%, $F$11)</f>
        <v>6.1456999999999997</v>
      </c>
      <c r="E128" s="12">
        <f>CHOOSE( CONTROL!$C$36, 6.1385, 6.1374) * CHOOSE( CONTROL!$C$19, $D$11, 100%, $F$11)</f>
        <v>6.1384999999999996</v>
      </c>
      <c r="F128" s="4">
        <f>CHOOSE( CONTROL!$C$36, 6.8552, 6.8541) * CHOOSE(CONTROL!$C$19, $D$11, 100%, $F$11)</f>
        <v>6.8552</v>
      </c>
      <c r="G128" s="8">
        <f>CHOOSE( CONTROL!$C$36, 6.089, 6.0879) * CHOOSE( CONTROL!$C$19, $D$11, 100%, $F$11)</f>
        <v>6.0890000000000004</v>
      </c>
      <c r="H128" s="4">
        <f>CHOOSE( CONTROL!$C$36, 7.0334, 7.0324) * CHOOSE(CONTROL!$C$19, $D$11, 100%, $F$11)</f>
        <v>7.0334000000000003</v>
      </c>
      <c r="I128" s="8">
        <f>CHOOSE( CONTROL!$C$36, 6.0766, 6.0756) * CHOOSE(CONTROL!$C$19, $D$11, 100%, $F$11)</f>
        <v>6.0766</v>
      </c>
      <c r="J128" s="4">
        <f>CHOOSE( CONTROL!$C$36, 5.9427, 5.9417) * CHOOSE(CONTROL!$C$19, $D$11, 100%, $F$11)</f>
        <v>5.9427000000000003</v>
      </c>
      <c r="K128" s="4"/>
      <c r="L128" s="9">
        <v>30.092199999999998</v>
      </c>
      <c r="M128" s="9">
        <v>11.6745</v>
      </c>
      <c r="N128" s="9">
        <v>4.7850000000000001</v>
      </c>
      <c r="O128" s="9">
        <v>0.36199999999999999</v>
      </c>
      <c r="P128" s="9">
        <v>1.2509999999999999</v>
      </c>
      <c r="Q128" s="9">
        <v>31.571999999999999</v>
      </c>
      <c r="R128" s="9"/>
      <c r="S128" s="11"/>
    </row>
    <row r="129" spans="1:19" ht="15.75">
      <c r="A129" s="13">
        <v>45047</v>
      </c>
      <c r="B129" s="8">
        <f>CHOOSE( CONTROL!$C$36, 6.2863, 6.2846) * CHOOSE(CONTROL!$C$19, $D$11, 100%, $F$11)</f>
        <v>6.2862999999999998</v>
      </c>
      <c r="C129" s="8">
        <f>CHOOSE( CONTROL!$C$36, 6.2943, 6.2926) * CHOOSE(CONTROL!$C$19, $D$11, 100%, $F$11)</f>
        <v>6.2942999999999998</v>
      </c>
      <c r="D129" s="8">
        <f>CHOOSE( CONTROL!$C$36, 6.3085, 6.3068) * CHOOSE( CONTROL!$C$19, $D$11, 100%, $F$11)</f>
        <v>6.3085000000000004</v>
      </c>
      <c r="E129" s="12">
        <f>CHOOSE( CONTROL!$C$36, 6.3021, 6.3004) * CHOOSE( CONTROL!$C$19, $D$11, 100%, $F$11)</f>
        <v>6.3021000000000003</v>
      </c>
      <c r="F129" s="4">
        <f>CHOOSE( CONTROL!$C$36, 7.0193, 7.0176) * CHOOSE(CONTROL!$C$19, $D$11, 100%, $F$11)</f>
        <v>7.0193000000000003</v>
      </c>
      <c r="G129" s="8">
        <f>CHOOSE( CONTROL!$C$36, 6.2507, 6.2491) * CHOOSE( CONTROL!$C$19, $D$11, 100%, $F$11)</f>
        <v>6.2507000000000001</v>
      </c>
      <c r="H129" s="4">
        <f>CHOOSE( CONTROL!$C$36, 7.1952, 7.1936) * CHOOSE(CONTROL!$C$19, $D$11, 100%, $F$11)</f>
        <v>7.1951999999999998</v>
      </c>
      <c r="I129" s="8">
        <f>CHOOSE( CONTROL!$C$36, 6.2352, 6.2336) * CHOOSE(CONTROL!$C$19, $D$11, 100%, $F$11)</f>
        <v>6.2351999999999999</v>
      </c>
      <c r="J129" s="4">
        <f>CHOOSE( CONTROL!$C$36, 6.1016, 6.1) * CHOOSE(CONTROL!$C$19, $D$11, 100%, $F$11)</f>
        <v>6.1016000000000004</v>
      </c>
      <c r="K129" s="4"/>
      <c r="L129" s="9">
        <v>30.7165</v>
      </c>
      <c r="M129" s="9">
        <v>12.063700000000001</v>
      </c>
      <c r="N129" s="9">
        <v>4.9444999999999997</v>
      </c>
      <c r="O129" s="9">
        <v>0.37409999999999999</v>
      </c>
      <c r="P129" s="9">
        <v>1.2927</v>
      </c>
      <c r="Q129" s="9">
        <v>32.624400000000001</v>
      </c>
      <c r="R129" s="9"/>
      <c r="S129" s="11"/>
    </row>
    <row r="130" spans="1:19" ht="15.75">
      <c r="A130" s="13">
        <v>45078</v>
      </c>
      <c r="B130" s="8">
        <f>CHOOSE( CONTROL!$C$36, 6.185, 6.1833) * CHOOSE(CONTROL!$C$19, $D$11, 100%, $F$11)</f>
        <v>6.1849999999999996</v>
      </c>
      <c r="C130" s="8">
        <f>CHOOSE( CONTROL!$C$36, 6.193, 6.1913) * CHOOSE(CONTROL!$C$19, $D$11, 100%, $F$11)</f>
        <v>6.1929999999999996</v>
      </c>
      <c r="D130" s="8">
        <f>CHOOSE( CONTROL!$C$36, 6.2074, 6.2057) * CHOOSE( CONTROL!$C$19, $D$11, 100%, $F$11)</f>
        <v>6.2073999999999998</v>
      </c>
      <c r="E130" s="12">
        <f>CHOOSE( CONTROL!$C$36, 6.201, 6.1993) * CHOOSE( CONTROL!$C$19, $D$11, 100%, $F$11)</f>
        <v>6.2009999999999996</v>
      </c>
      <c r="F130" s="4">
        <f>CHOOSE( CONTROL!$C$36, 6.918, 6.9164) * CHOOSE(CONTROL!$C$19, $D$11, 100%, $F$11)</f>
        <v>6.9180000000000001</v>
      </c>
      <c r="G130" s="8">
        <f>CHOOSE( CONTROL!$C$36, 6.151, 6.1494) * CHOOSE( CONTROL!$C$19, $D$11, 100%, $F$11)</f>
        <v>6.1509999999999998</v>
      </c>
      <c r="H130" s="4">
        <f>CHOOSE( CONTROL!$C$36, 7.0953, 7.0937) * CHOOSE(CONTROL!$C$19, $D$11, 100%, $F$11)</f>
        <v>7.0952999999999999</v>
      </c>
      <c r="I130" s="8">
        <f>CHOOSE( CONTROL!$C$36, 6.1377, 6.1361) * CHOOSE(CONTROL!$C$19, $D$11, 100%, $F$11)</f>
        <v>6.1376999999999997</v>
      </c>
      <c r="J130" s="4">
        <f>CHOOSE( CONTROL!$C$36, 6.0035, 6.0019) * CHOOSE(CONTROL!$C$19, $D$11, 100%, $F$11)</f>
        <v>6.0034999999999998</v>
      </c>
      <c r="K130" s="4"/>
      <c r="L130" s="9">
        <v>29.7257</v>
      </c>
      <c r="M130" s="9">
        <v>11.6745</v>
      </c>
      <c r="N130" s="9">
        <v>4.7850000000000001</v>
      </c>
      <c r="O130" s="9">
        <v>0.36199999999999999</v>
      </c>
      <c r="P130" s="9">
        <v>1.2509999999999999</v>
      </c>
      <c r="Q130" s="9">
        <v>31.571999999999999</v>
      </c>
      <c r="R130" s="9"/>
      <c r="S130" s="11"/>
    </row>
    <row r="131" spans="1:19" ht="15.75">
      <c r="A131" s="13">
        <v>45108</v>
      </c>
      <c r="B131" s="8">
        <f>CHOOSE( CONTROL!$C$36, 6.4517, 6.45) * CHOOSE(CONTROL!$C$19, $D$11, 100%, $F$11)</f>
        <v>6.4516999999999998</v>
      </c>
      <c r="C131" s="8">
        <f>CHOOSE( CONTROL!$C$36, 6.4597, 6.458) * CHOOSE(CONTROL!$C$19, $D$11, 100%, $F$11)</f>
        <v>6.4596999999999998</v>
      </c>
      <c r="D131" s="8">
        <f>CHOOSE( CONTROL!$C$36, 6.4743, 6.4727) * CHOOSE( CONTROL!$C$19, $D$11, 100%, $F$11)</f>
        <v>6.4743000000000004</v>
      </c>
      <c r="E131" s="12">
        <f>CHOOSE( CONTROL!$C$36, 6.4678, 6.4662) * CHOOSE( CONTROL!$C$19, $D$11, 100%, $F$11)</f>
        <v>6.4678000000000004</v>
      </c>
      <c r="F131" s="4">
        <f>CHOOSE( CONTROL!$C$36, 7.1847, 7.1831) * CHOOSE(CONTROL!$C$19, $D$11, 100%, $F$11)</f>
        <v>7.1847000000000003</v>
      </c>
      <c r="G131" s="8">
        <f>CHOOSE( CONTROL!$C$36, 6.4142, 6.4126) * CHOOSE( CONTROL!$C$19, $D$11, 100%, $F$11)</f>
        <v>6.4142000000000001</v>
      </c>
      <c r="H131" s="4">
        <f>CHOOSE( CONTROL!$C$36, 7.3583, 7.3567) * CHOOSE(CONTROL!$C$19, $D$11, 100%, $F$11)</f>
        <v>7.3582999999999998</v>
      </c>
      <c r="I131" s="8">
        <f>CHOOSE( CONTROL!$C$36, 6.3969, 6.3953) * CHOOSE(CONTROL!$C$19, $D$11, 100%, $F$11)</f>
        <v>6.3968999999999996</v>
      </c>
      <c r="J131" s="4">
        <f>CHOOSE( CONTROL!$C$36, 6.2618, 6.2602) * CHOOSE(CONTROL!$C$19, $D$11, 100%, $F$11)</f>
        <v>6.2618</v>
      </c>
      <c r="K131" s="4"/>
      <c r="L131" s="9">
        <v>30.7165</v>
      </c>
      <c r="M131" s="9">
        <v>12.063700000000001</v>
      </c>
      <c r="N131" s="9">
        <v>4.9444999999999997</v>
      </c>
      <c r="O131" s="9">
        <v>0.37409999999999999</v>
      </c>
      <c r="P131" s="9">
        <v>1.2927</v>
      </c>
      <c r="Q131" s="9">
        <v>32.624400000000001</v>
      </c>
      <c r="R131" s="9"/>
      <c r="S131" s="11"/>
    </row>
    <row r="132" spans="1:19" ht="15.75">
      <c r="A132" s="13">
        <v>45139</v>
      </c>
      <c r="B132" s="8">
        <f>CHOOSE( CONTROL!$C$36, 5.9526, 5.951) * CHOOSE(CONTROL!$C$19, $D$11, 100%, $F$11)</f>
        <v>5.9526000000000003</v>
      </c>
      <c r="C132" s="8">
        <f>CHOOSE( CONTROL!$C$36, 5.9606, 5.959) * CHOOSE(CONTROL!$C$19, $D$11, 100%, $F$11)</f>
        <v>5.9606000000000003</v>
      </c>
      <c r="D132" s="8">
        <f>CHOOSE( CONTROL!$C$36, 5.9753, 5.9737) * CHOOSE( CONTROL!$C$19, $D$11, 100%, $F$11)</f>
        <v>5.9752999999999998</v>
      </c>
      <c r="E132" s="12">
        <f>CHOOSE( CONTROL!$C$36, 5.9688, 5.9672) * CHOOSE( CONTROL!$C$19, $D$11, 100%, $F$11)</f>
        <v>5.9687999999999999</v>
      </c>
      <c r="F132" s="4">
        <f>CHOOSE( CONTROL!$C$36, 6.6857, 6.684) * CHOOSE(CONTROL!$C$19, $D$11, 100%, $F$11)</f>
        <v>6.6856999999999998</v>
      </c>
      <c r="G132" s="8">
        <f>CHOOSE( CONTROL!$C$36, 5.9222, 5.9205) * CHOOSE( CONTROL!$C$19, $D$11, 100%, $F$11)</f>
        <v>5.9222000000000001</v>
      </c>
      <c r="H132" s="4">
        <f>CHOOSE( CONTROL!$C$36, 6.8662, 6.8646) * CHOOSE(CONTROL!$C$19, $D$11, 100%, $F$11)</f>
        <v>6.8662000000000001</v>
      </c>
      <c r="I132" s="8">
        <f>CHOOSE( CONTROL!$C$36, 5.9137, 5.912) * CHOOSE(CONTROL!$C$19, $D$11, 100%, $F$11)</f>
        <v>5.9137000000000004</v>
      </c>
      <c r="J132" s="4">
        <f>CHOOSE( CONTROL!$C$36, 5.7785, 5.7769) * CHOOSE(CONTROL!$C$19, $D$11, 100%, $F$11)</f>
        <v>5.7785000000000002</v>
      </c>
      <c r="K132" s="4"/>
      <c r="L132" s="9">
        <v>30.7165</v>
      </c>
      <c r="M132" s="9">
        <v>12.063700000000001</v>
      </c>
      <c r="N132" s="9">
        <v>4.9444999999999997</v>
      </c>
      <c r="O132" s="9">
        <v>0.37409999999999999</v>
      </c>
      <c r="P132" s="9">
        <v>1.2927</v>
      </c>
      <c r="Q132" s="9">
        <v>32.624400000000001</v>
      </c>
      <c r="R132" s="9"/>
      <c r="S132" s="11"/>
    </row>
    <row r="133" spans="1:19" ht="15.75">
      <c r="A133" s="13">
        <v>45170</v>
      </c>
      <c r="B133" s="8">
        <f>CHOOSE( CONTROL!$C$36, 5.8277, 5.826) * CHOOSE(CONTROL!$C$19, $D$11, 100%, $F$11)</f>
        <v>5.8277000000000001</v>
      </c>
      <c r="C133" s="8">
        <f>CHOOSE( CONTROL!$C$36, 5.8357, 5.834) * CHOOSE(CONTROL!$C$19, $D$11, 100%, $F$11)</f>
        <v>5.8357000000000001</v>
      </c>
      <c r="D133" s="8">
        <f>CHOOSE( CONTROL!$C$36, 5.8503, 5.8486) * CHOOSE( CONTROL!$C$19, $D$11, 100%, $F$11)</f>
        <v>5.8502999999999998</v>
      </c>
      <c r="E133" s="12">
        <f>CHOOSE( CONTROL!$C$36, 5.8438, 5.8421) * CHOOSE( CONTROL!$C$19, $D$11, 100%, $F$11)</f>
        <v>5.8437999999999999</v>
      </c>
      <c r="F133" s="4">
        <f>CHOOSE( CONTROL!$C$36, 6.5607, 6.559) * CHOOSE(CONTROL!$C$19, $D$11, 100%, $F$11)</f>
        <v>6.5606999999999998</v>
      </c>
      <c r="G133" s="8">
        <f>CHOOSE( CONTROL!$C$36, 5.7989, 5.7972) * CHOOSE( CONTROL!$C$19, $D$11, 100%, $F$11)</f>
        <v>5.7988999999999997</v>
      </c>
      <c r="H133" s="4">
        <f>CHOOSE( CONTROL!$C$36, 6.743, 6.7414) * CHOOSE(CONTROL!$C$19, $D$11, 100%, $F$11)</f>
        <v>6.7430000000000003</v>
      </c>
      <c r="I133" s="8">
        <f>CHOOSE( CONTROL!$C$36, 5.7922, 5.7906) * CHOOSE(CONTROL!$C$19, $D$11, 100%, $F$11)</f>
        <v>5.7922000000000002</v>
      </c>
      <c r="J133" s="4">
        <f>CHOOSE( CONTROL!$C$36, 5.6575, 5.6559) * CHOOSE(CONTROL!$C$19, $D$11, 100%, $F$11)</f>
        <v>5.6574999999999998</v>
      </c>
      <c r="K133" s="4"/>
      <c r="L133" s="9">
        <v>29.7257</v>
      </c>
      <c r="M133" s="9">
        <v>11.6745</v>
      </c>
      <c r="N133" s="9">
        <v>4.7850000000000001</v>
      </c>
      <c r="O133" s="9">
        <v>0.36199999999999999</v>
      </c>
      <c r="P133" s="9">
        <v>1.2509999999999999</v>
      </c>
      <c r="Q133" s="9">
        <v>31.571999999999999</v>
      </c>
      <c r="R133" s="9"/>
      <c r="S133" s="11"/>
    </row>
    <row r="134" spans="1:19" ht="15.75">
      <c r="A134" s="13">
        <v>45200</v>
      </c>
      <c r="B134" s="8">
        <f>CHOOSE( CONTROL!$C$36, 6.0849, 6.0838) * CHOOSE(CONTROL!$C$19, $D$11, 100%, $F$11)</f>
        <v>6.0849000000000002</v>
      </c>
      <c r="C134" s="8">
        <f>CHOOSE( CONTROL!$C$36, 6.0902, 6.0891) * CHOOSE(CONTROL!$C$19, $D$11, 100%, $F$11)</f>
        <v>6.0902000000000003</v>
      </c>
      <c r="D134" s="8">
        <f>CHOOSE( CONTROL!$C$36, 6.1107, 6.1096) * CHOOSE( CONTROL!$C$19, $D$11, 100%, $F$11)</f>
        <v>6.1106999999999996</v>
      </c>
      <c r="E134" s="12">
        <f>CHOOSE( CONTROL!$C$36, 6.1034, 6.1023) * CHOOSE( CONTROL!$C$19, $D$11, 100%, $F$11)</f>
        <v>6.1033999999999997</v>
      </c>
      <c r="F134" s="4">
        <f>CHOOSE( CONTROL!$C$36, 6.8196, 6.8185) * CHOOSE(CONTROL!$C$19, $D$11, 100%, $F$11)</f>
        <v>6.8196000000000003</v>
      </c>
      <c r="G134" s="8">
        <f>CHOOSE( CONTROL!$C$36, 6.0544, 6.0533) * CHOOSE( CONTROL!$C$19, $D$11, 100%, $F$11)</f>
        <v>6.0544000000000002</v>
      </c>
      <c r="H134" s="4">
        <f>CHOOSE( CONTROL!$C$36, 6.9983, 6.9972) * CHOOSE(CONTROL!$C$19, $D$11, 100%, $F$11)</f>
        <v>6.9983000000000004</v>
      </c>
      <c r="I134" s="8">
        <f>CHOOSE( CONTROL!$C$36, 6.0441, 6.043) * CHOOSE(CONTROL!$C$19, $D$11, 100%, $F$11)</f>
        <v>6.0441000000000003</v>
      </c>
      <c r="J134" s="4">
        <f>CHOOSE( CONTROL!$C$36, 5.9082, 5.9072) * CHOOSE(CONTROL!$C$19, $D$11, 100%, $F$11)</f>
        <v>5.9081999999999999</v>
      </c>
      <c r="K134" s="4"/>
      <c r="L134" s="9">
        <v>31.095300000000002</v>
      </c>
      <c r="M134" s="9">
        <v>12.063700000000001</v>
      </c>
      <c r="N134" s="9">
        <v>4.9444999999999997</v>
      </c>
      <c r="O134" s="9">
        <v>0.37409999999999999</v>
      </c>
      <c r="P134" s="9">
        <v>1.2927</v>
      </c>
      <c r="Q134" s="9">
        <v>32.624400000000001</v>
      </c>
      <c r="R134" s="9"/>
      <c r="S134" s="11"/>
    </row>
    <row r="135" spans="1:19" ht="15.75">
      <c r="A135" s="13">
        <v>45231</v>
      </c>
      <c r="B135" s="8">
        <f>CHOOSE( CONTROL!$C$36, 6.5634, 6.5623) * CHOOSE(CONTROL!$C$19, $D$11, 100%, $F$11)</f>
        <v>6.5633999999999997</v>
      </c>
      <c r="C135" s="8">
        <f>CHOOSE( CONTROL!$C$36, 6.5685, 6.5674) * CHOOSE(CONTROL!$C$19, $D$11, 100%, $F$11)</f>
        <v>6.5685000000000002</v>
      </c>
      <c r="D135" s="8">
        <f>CHOOSE( CONTROL!$C$36, 6.5477, 6.5466) * CHOOSE( CONTROL!$C$19, $D$11, 100%, $F$11)</f>
        <v>6.5476999999999999</v>
      </c>
      <c r="E135" s="12">
        <f>CHOOSE( CONTROL!$C$36, 6.5548, 6.5537) * CHOOSE( CONTROL!$C$19, $D$11, 100%, $F$11)</f>
        <v>6.5548000000000002</v>
      </c>
      <c r="F135" s="4">
        <f>CHOOSE( CONTROL!$C$36, 7.2227, 7.2216) * CHOOSE(CONTROL!$C$19, $D$11, 100%, $F$11)</f>
        <v>7.2226999999999997</v>
      </c>
      <c r="G135" s="8">
        <f>CHOOSE( CONTROL!$C$36, 6.5066, 6.5055) * CHOOSE( CONTROL!$C$19, $D$11, 100%, $F$11)</f>
        <v>6.5065999999999997</v>
      </c>
      <c r="H135" s="4">
        <f>CHOOSE( CONTROL!$C$36, 7.3957, 7.3947) * CHOOSE(CONTROL!$C$19, $D$11, 100%, $F$11)</f>
        <v>7.3956999999999997</v>
      </c>
      <c r="I135" s="8">
        <f>CHOOSE( CONTROL!$C$36, 6.5572, 6.5562) * CHOOSE(CONTROL!$C$19, $D$11, 100%, $F$11)</f>
        <v>6.5571999999999999</v>
      </c>
      <c r="J135" s="4">
        <f>CHOOSE( CONTROL!$C$36, 6.372, 6.3709) * CHOOSE(CONTROL!$C$19, $D$11, 100%, $F$11)</f>
        <v>6.3719999999999999</v>
      </c>
      <c r="K135" s="4"/>
      <c r="L135" s="9">
        <v>28.360600000000002</v>
      </c>
      <c r="M135" s="9">
        <v>11.6745</v>
      </c>
      <c r="N135" s="9">
        <v>4.7850000000000001</v>
      </c>
      <c r="O135" s="9">
        <v>0.36199999999999999</v>
      </c>
      <c r="P135" s="9">
        <v>1.2509999999999999</v>
      </c>
      <c r="Q135" s="9">
        <v>31.571999999999999</v>
      </c>
      <c r="R135" s="9"/>
      <c r="S135" s="11"/>
    </row>
    <row r="136" spans="1:19" ht="15.75">
      <c r="A136" s="13">
        <v>45261</v>
      </c>
      <c r="B136" s="8">
        <f>CHOOSE( CONTROL!$C$36, 6.5514, 6.5503) * CHOOSE(CONTROL!$C$19, $D$11, 100%, $F$11)</f>
        <v>6.5514000000000001</v>
      </c>
      <c r="C136" s="8">
        <f>CHOOSE( CONTROL!$C$36, 6.5565, 6.5554) * CHOOSE(CONTROL!$C$19, $D$11, 100%, $F$11)</f>
        <v>6.5564999999999998</v>
      </c>
      <c r="D136" s="8">
        <f>CHOOSE( CONTROL!$C$36, 6.5371, 6.5361) * CHOOSE( CONTROL!$C$19, $D$11, 100%, $F$11)</f>
        <v>6.5370999999999997</v>
      </c>
      <c r="E136" s="12">
        <f>CHOOSE( CONTROL!$C$36, 6.5437, 6.5426) * CHOOSE( CONTROL!$C$19, $D$11, 100%, $F$11)</f>
        <v>6.5437000000000003</v>
      </c>
      <c r="F136" s="4">
        <f>CHOOSE( CONTROL!$C$36, 7.2107, 7.2096) * CHOOSE(CONTROL!$C$19, $D$11, 100%, $F$11)</f>
        <v>7.2107000000000001</v>
      </c>
      <c r="G136" s="8">
        <f>CHOOSE( CONTROL!$C$36, 6.4958, 6.4947) * CHOOSE( CONTROL!$C$19, $D$11, 100%, $F$11)</f>
        <v>6.4958</v>
      </c>
      <c r="H136" s="4">
        <f>CHOOSE( CONTROL!$C$36, 7.3839, 7.3829) * CHOOSE(CONTROL!$C$19, $D$11, 100%, $F$11)</f>
        <v>7.3838999999999997</v>
      </c>
      <c r="I136" s="8">
        <f>CHOOSE( CONTROL!$C$36, 6.5499, 6.5489) * CHOOSE(CONTROL!$C$19, $D$11, 100%, $F$11)</f>
        <v>6.5499000000000001</v>
      </c>
      <c r="J136" s="4">
        <f>CHOOSE( CONTROL!$C$36, 6.3604, 6.3594) * CHOOSE(CONTROL!$C$19, $D$11, 100%, $F$11)</f>
        <v>6.3604000000000003</v>
      </c>
      <c r="K136" s="4"/>
      <c r="L136" s="9">
        <v>29.306000000000001</v>
      </c>
      <c r="M136" s="9">
        <v>12.063700000000001</v>
      </c>
      <c r="N136" s="9">
        <v>4.9444999999999997</v>
      </c>
      <c r="O136" s="9">
        <v>0.37409999999999999</v>
      </c>
      <c r="P136" s="9">
        <v>1.2927</v>
      </c>
      <c r="Q136" s="9">
        <v>32.624400000000001</v>
      </c>
      <c r="R136" s="9"/>
      <c r="S136" s="11"/>
    </row>
    <row r="137" spans="1:19" ht="15.75">
      <c r="A137" s="13">
        <v>45292</v>
      </c>
      <c r="B137" s="8">
        <f>CHOOSE( CONTROL!$C$36, 6.8048, 6.8037) * CHOOSE(CONTROL!$C$19, $D$11, 100%, $F$11)</f>
        <v>6.8048000000000002</v>
      </c>
      <c r="C137" s="8">
        <f>CHOOSE( CONTROL!$C$36, 6.8099, 6.8088) * CHOOSE(CONTROL!$C$19, $D$11, 100%, $F$11)</f>
        <v>6.8098999999999998</v>
      </c>
      <c r="D137" s="8">
        <f>CHOOSE( CONTROL!$C$36, 6.8112, 6.8101) * CHOOSE( CONTROL!$C$19, $D$11, 100%, $F$11)</f>
        <v>6.8112000000000004</v>
      </c>
      <c r="E137" s="12">
        <f>CHOOSE( CONTROL!$C$36, 6.8102, 6.8091) * CHOOSE( CONTROL!$C$19, $D$11, 100%, $F$11)</f>
        <v>6.8102</v>
      </c>
      <c r="F137" s="4">
        <f>CHOOSE( CONTROL!$C$36, 7.464, 7.4629) * CHOOSE(CONTROL!$C$19, $D$11, 100%, $F$11)</f>
        <v>7.4640000000000004</v>
      </c>
      <c r="G137" s="8">
        <f>CHOOSE( CONTROL!$C$36, 6.7566, 6.7556) * CHOOSE( CONTROL!$C$19, $D$11, 100%, $F$11)</f>
        <v>6.7565999999999997</v>
      </c>
      <c r="H137" s="4">
        <f>CHOOSE( CONTROL!$C$36, 7.6337, 7.6327) * CHOOSE(CONTROL!$C$19, $D$11, 100%, $F$11)</f>
        <v>7.6337000000000002</v>
      </c>
      <c r="I137" s="8">
        <f>CHOOSE( CONTROL!$C$36, 6.7729, 6.7718) * CHOOSE(CONTROL!$C$19, $D$11, 100%, $F$11)</f>
        <v>6.7728999999999999</v>
      </c>
      <c r="J137" s="4">
        <f>CHOOSE( CONTROL!$C$36, 6.6057, 6.6047) * CHOOSE(CONTROL!$C$19, $D$11, 100%, $F$11)</f>
        <v>6.6056999999999997</v>
      </c>
      <c r="K137" s="4"/>
      <c r="L137" s="9">
        <v>29.306000000000001</v>
      </c>
      <c r="M137" s="9">
        <v>12.063700000000001</v>
      </c>
      <c r="N137" s="9">
        <v>4.9444999999999997</v>
      </c>
      <c r="O137" s="9">
        <v>0.37409999999999999</v>
      </c>
      <c r="P137" s="9">
        <v>1.2927</v>
      </c>
      <c r="Q137" s="9">
        <v>32.440300000000001</v>
      </c>
      <c r="R137" s="9"/>
      <c r="S137" s="11"/>
    </row>
    <row r="138" spans="1:19" ht="15.75">
      <c r="A138" s="13">
        <v>45323</v>
      </c>
      <c r="B138" s="8">
        <f>CHOOSE( CONTROL!$C$36, 6.3638, 6.3627) * CHOOSE(CONTROL!$C$19, $D$11, 100%, $F$11)</f>
        <v>6.3638000000000003</v>
      </c>
      <c r="C138" s="8">
        <f>CHOOSE( CONTROL!$C$36, 6.3689, 6.3678) * CHOOSE(CONTROL!$C$19, $D$11, 100%, $F$11)</f>
        <v>6.3689</v>
      </c>
      <c r="D138" s="8">
        <f>CHOOSE( CONTROL!$C$36, 6.3701, 6.369) * CHOOSE( CONTROL!$C$19, $D$11, 100%, $F$11)</f>
        <v>6.3700999999999999</v>
      </c>
      <c r="E138" s="12">
        <f>CHOOSE( CONTROL!$C$36, 6.3691, 6.368) * CHOOSE( CONTROL!$C$19, $D$11, 100%, $F$11)</f>
        <v>6.3691000000000004</v>
      </c>
      <c r="F138" s="4">
        <f>CHOOSE( CONTROL!$C$36, 7.0231, 7.022) * CHOOSE(CONTROL!$C$19, $D$11, 100%, $F$11)</f>
        <v>7.0231000000000003</v>
      </c>
      <c r="G138" s="8">
        <f>CHOOSE( CONTROL!$C$36, 6.3217, 6.3207) * CHOOSE( CONTROL!$C$19, $D$11, 100%, $F$11)</f>
        <v>6.3216999999999999</v>
      </c>
      <c r="H138" s="4">
        <f>CHOOSE( CONTROL!$C$36, 7.1989, 7.1979) * CHOOSE(CONTROL!$C$19, $D$11, 100%, $F$11)</f>
        <v>7.1989000000000001</v>
      </c>
      <c r="I138" s="8">
        <f>CHOOSE( CONTROL!$C$36, 6.3453, 6.3442) * CHOOSE(CONTROL!$C$19, $D$11, 100%, $F$11)</f>
        <v>6.3452999999999999</v>
      </c>
      <c r="J138" s="4">
        <f>CHOOSE( CONTROL!$C$36, 6.1787, 6.1777) * CHOOSE(CONTROL!$C$19, $D$11, 100%, $F$11)</f>
        <v>6.1787000000000001</v>
      </c>
      <c r="K138" s="4"/>
      <c r="L138" s="9">
        <v>27.415299999999998</v>
      </c>
      <c r="M138" s="9">
        <v>11.285299999999999</v>
      </c>
      <c r="N138" s="9">
        <v>4.6254999999999997</v>
      </c>
      <c r="O138" s="9">
        <v>0.34989999999999999</v>
      </c>
      <c r="P138" s="9">
        <v>1.2093</v>
      </c>
      <c r="Q138" s="9">
        <v>30.347300000000001</v>
      </c>
      <c r="R138" s="9"/>
      <c r="S138" s="11"/>
    </row>
    <row r="139" spans="1:19" ht="15.75">
      <c r="A139" s="13">
        <v>45352</v>
      </c>
      <c r="B139" s="8">
        <f>CHOOSE( CONTROL!$C$36, 6.228, 6.2269) * CHOOSE(CONTROL!$C$19, $D$11, 100%, $F$11)</f>
        <v>6.2279999999999998</v>
      </c>
      <c r="C139" s="8">
        <f>CHOOSE( CONTROL!$C$36, 6.2331, 6.232) * CHOOSE(CONTROL!$C$19, $D$11, 100%, $F$11)</f>
        <v>6.2331000000000003</v>
      </c>
      <c r="D139" s="8">
        <f>CHOOSE( CONTROL!$C$36, 6.2336, 6.2325) * CHOOSE( CONTROL!$C$19, $D$11, 100%, $F$11)</f>
        <v>6.2336</v>
      </c>
      <c r="E139" s="12">
        <f>CHOOSE( CONTROL!$C$36, 6.2329, 6.2318) * CHOOSE( CONTROL!$C$19, $D$11, 100%, $F$11)</f>
        <v>6.2328999999999999</v>
      </c>
      <c r="F139" s="4">
        <f>CHOOSE( CONTROL!$C$36, 6.8873, 6.8862) * CHOOSE(CONTROL!$C$19, $D$11, 100%, $F$11)</f>
        <v>6.8872999999999998</v>
      </c>
      <c r="G139" s="8">
        <f>CHOOSE( CONTROL!$C$36, 6.1874, 6.1863) * CHOOSE( CONTROL!$C$19, $D$11, 100%, $F$11)</f>
        <v>6.1874000000000002</v>
      </c>
      <c r="H139" s="4">
        <f>CHOOSE( CONTROL!$C$36, 7.065, 7.0639) * CHOOSE(CONTROL!$C$19, $D$11, 100%, $F$11)</f>
        <v>7.0650000000000004</v>
      </c>
      <c r="I139" s="8">
        <f>CHOOSE( CONTROL!$C$36, 6.2117, 6.2106) * CHOOSE(CONTROL!$C$19, $D$11, 100%, $F$11)</f>
        <v>6.2117000000000004</v>
      </c>
      <c r="J139" s="4">
        <f>CHOOSE( CONTROL!$C$36, 6.0472, 6.0462) * CHOOSE(CONTROL!$C$19, $D$11, 100%, $F$11)</f>
        <v>6.0472000000000001</v>
      </c>
      <c r="K139" s="4"/>
      <c r="L139" s="9">
        <v>29.306000000000001</v>
      </c>
      <c r="M139" s="9">
        <v>12.063700000000001</v>
      </c>
      <c r="N139" s="9">
        <v>4.9444999999999997</v>
      </c>
      <c r="O139" s="9">
        <v>0.37409999999999999</v>
      </c>
      <c r="P139" s="9">
        <v>1.2927</v>
      </c>
      <c r="Q139" s="9">
        <v>32.440300000000001</v>
      </c>
      <c r="R139" s="9"/>
      <c r="S139" s="11"/>
    </row>
    <row r="140" spans="1:19" ht="15.75">
      <c r="A140" s="13">
        <v>45383</v>
      </c>
      <c r="B140" s="8">
        <f>CHOOSE( CONTROL!$C$36, 6.3237, 6.3226) * CHOOSE(CONTROL!$C$19, $D$11, 100%, $F$11)</f>
        <v>6.3236999999999997</v>
      </c>
      <c r="C140" s="8">
        <f>CHOOSE( CONTROL!$C$36, 6.3282, 6.3271) * CHOOSE(CONTROL!$C$19, $D$11, 100%, $F$11)</f>
        <v>6.3281999999999998</v>
      </c>
      <c r="D140" s="8">
        <f>CHOOSE( CONTROL!$C$36, 6.3486, 6.3475) * CHOOSE( CONTROL!$C$19, $D$11, 100%, $F$11)</f>
        <v>6.3486000000000002</v>
      </c>
      <c r="E140" s="12">
        <f>CHOOSE( CONTROL!$C$36, 6.3413, 6.3402) * CHOOSE( CONTROL!$C$19, $D$11, 100%, $F$11)</f>
        <v>6.3413000000000004</v>
      </c>
      <c r="F140" s="4">
        <f>CHOOSE( CONTROL!$C$36, 7.0581, 7.057) * CHOOSE(CONTROL!$C$19, $D$11, 100%, $F$11)</f>
        <v>7.0580999999999996</v>
      </c>
      <c r="G140" s="8">
        <f>CHOOSE( CONTROL!$C$36, 6.289, 6.288) * CHOOSE( CONTROL!$C$19, $D$11, 100%, $F$11)</f>
        <v>6.2889999999999997</v>
      </c>
      <c r="H140" s="4">
        <f>CHOOSE( CONTROL!$C$36, 7.2334, 7.2324) * CHOOSE(CONTROL!$C$19, $D$11, 100%, $F$11)</f>
        <v>7.2333999999999996</v>
      </c>
      <c r="I140" s="8">
        <f>CHOOSE( CONTROL!$C$36, 6.2731, 6.2721) * CHOOSE(CONTROL!$C$19, $D$11, 100%, $F$11)</f>
        <v>6.2731000000000003</v>
      </c>
      <c r="J140" s="4">
        <f>CHOOSE( CONTROL!$C$36, 6.1391, 6.1381) * CHOOSE(CONTROL!$C$19, $D$11, 100%, $F$11)</f>
        <v>6.1391</v>
      </c>
      <c r="K140" s="4"/>
      <c r="L140" s="9">
        <v>30.092199999999998</v>
      </c>
      <c r="M140" s="9">
        <v>11.6745</v>
      </c>
      <c r="N140" s="9">
        <v>4.7850000000000001</v>
      </c>
      <c r="O140" s="9">
        <v>0.36199999999999999</v>
      </c>
      <c r="P140" s="9">
        <v>1.2509999999999999</v>
      </c>
      <c r="Q140" s="9">
        <v>31.393799999999999</v>
      </c>
      <c r="R140" s="9"/>
      <c r="S140" s="11"/>
    </row>
    <row r="141" spans="1:19" ht="15.75">
      <c r="A141" s="13">
        <v>45413</v>
      </c>
      <c r="B141" s="8">
        <f>CHOOSE( CONTROL!$C$36, 6.4945, 6.4929) * CHOOSE(CONTROL!$C$19, $D$11, 100%, $F$11)</f>
        <v>6.4945000000000004</v>
      </c>
      <c r="C141" s="8">
        <f>CHOOSE( CONTROL!$C$36, 6.5025, 6.5009) * CHOOSE(CONTROL!$C$19, $D$11, 100%, $F$11)</f>
        <v>6.5025000000000004</v>
      </c>
      <c r="D141" s="8">
        <f>CHOOSE( CONTROL!$C$36, 6.5167, 6.5151) * CHOOSE( CONTROL!$C$19, $D$11, 100%, $F$11)</f>
        <v>6.5167000000000002</v>
      </c>
      <c r="E141" s="12">
        <f>CHOOSE( CONTROL!$C$36, 6.5103, 6.5087) * CHOOSE( CONTROL!$C$19, $D$11, 100%, $F$11)</f>
        <v>6.5103</v>
      </c>
      <c r="F141" s="4">
        <f>CHOOSE( CONTROL!$C$36, 7.2276, 7.2259) * CHOOSE(CONTROL!$C$19, $D$11, 100%, $F$11)</f>
        <v>7.2275999999999998</v>
      </c>
      <c r="G141" s="8">
        <f>CHOOSE( CONTROL!$C$36, 6.4561, 6.4545) * CHOOSE( CONTROL!$C$19, $D$11, 100%, $F$11)</f>
        <v>6.4561000000000002</v>
      </c>
      <c r="H141" s="4">
        <f>CHOOSE( CONTROL!$C$36, 7.4006, 7.3989) * CHOOSE(CONTROL!$C$19, $D$11, 100%, $F$11)</f>
        <v>7.4005999999999998</v>
      </c>
      <c r="I141" s="8">
        <f>CHOOSE( CONTROL!$C$36, 6.4369, 6.4353) * CHOOSE(CONTROL!$C$19, $D$11, 100%, $F$11)</f>
        <v>6.4368999999999996</v>
      </c>
      <c r="J141" s="4">
        <f>CHOOSE( CONTROL!$C$36, 6.3032, 6.3016) * CHOOSE(CONTROL!$C$19, $D$11, 100%, $F$11)</f>
        <v>6.3032000000000004</v>
      </c>
      <c r="K141" s="4"/>
      <c r="L141" s="9">
        <v>30.7165</v>
      </c>
      <c r="M141" s="9">
        <v>12.063700000000001</v>
      </c>
      <c r="N141" s="9">
        <v>4.9444999999999997</v>
      </c>
      <c r="O141" s="9">
        <v>0.37409999999999999</v>
      </c>
      <c r="P141" s="9">
        <v>1.2927</v>
      </c>
      <c r="Q141" s="9">
        <v>32.440300000000001</v>
      </c>
      <c r="R141" s="9"/>
      <c r="S141" s="11"/>
    </row>
    <row r="142" spans="1:19" ht="15.75">
      <c r="A142" s="13">
        <v>45444</v>
      </c>
      <c r="B142" s="8">
        <f>CHOOSE( CONTROL!$C$36, 6.3899, 6.3882) * CHOOSE(CONTROL!$C$19, $D$11, 100%, $F$11)</f>
        <v>6.3898999999999999</v>
      </c>
      <c r="C142" s="8">
        <f>CHOOSE( CONTROL!$C$36, 6.3979, 6.3962) * CHOOSE(CONTROL!$C$19, $D$11, 100%, $F$11)</f>
        <v>6.3978999999999999</v>
      </c>
      <c r="D142" s="8">
        <f>CHOOSE( CONTROL!$C$36, 6.4123, 6.4106) * CHOOSE( CONTROL!$C$19, $D$11, 100%, $F$11)</f>
        <v>6.4123000000000001</v>
      </c>
      <c r="E142" s="12">
        <f>CHOOSE( CONTROL!$C$36, 6.4059, 6.4042) * CHOOSE( CONTROL!$C$19, $D$11, 100%, $F$11)</f>
        <v>6.4058999999999999</v>
      </c>
      <c r="F142" s="4">
        <f>CHOOSE( CONTROL!$C$36, 7.1229, 7.1213) * CHOOSE(CONTROL!$C$19, $D$11, 100%, $F$11)</f>
        <v>7.1228999999999996</v>
      </c>
      <c r="G142" s="8">
        <f>CHOOSE( CONTROL!$C$36, 6.3531, 6.3514) * CHOOSE( CONTROL!$C$19, $D$11, 100%, $F$11)</f>
        <v>6.3531000000000004</v>
      </c>
      <c r="H142" s="4">
        <f>CHOOSE( CONTROL!$C$36, 7.2974, 7.2958) * CHOOSE(CONTROL!$C$19, $D$11, 100%, $F$11)</f>
        <v>7.2973999999999997</v>
      </c>
      <c r="I142" s="8">
        <f>CHOOSE( CONTROL!$C$36, 6.3362, 6.3346) * CHOOSE(CONTROL!$C$19, $D$11, 100%, $F$11)</f>
        <v>6.3361999999999998</v>
      </c>
      <c r="J142" s="4">
        <f>CHOOSE( CONTROL!$C$36, 6.2019, 6.2003) * CHOOSE(CONTROL!$C$19, $D$11, 100%, $F$11)</f>
        <v>6.2019000000000002</v>
      </c>
      <c r="K142" s="4"/>
      <c r="L142" s="9">
        <v>29.7257</v>
      </c>
      <c r="M142" s="9">
        <v>11.6745</v>
      </c>
      <c r="N142" s="9">
        <v>4.7850000000000001</v>
      </c>
      <c r="O142" s="9">
        <v>0.36199999999999999</v>
      </c>
      <c r="P142" s="9">
        <v>1.2509999999999999</v>
      </c>
      <c r="Q142" s="9">
        <v>31.393799999999999</v>
      </c>
      <c r="R142" s="9"/>
      <c r="S142" s="11"/>
    </row>
    <row r="143" spans="1:19" ht="15.75">
      <c r="A143" s="13">
        <v>45474</v>
      </c>
      <c r="B143" s="8">
        <f>CHOOSE( CONTROL!$C$36, 6.6654, 6.6638) * CHOOSE(CONTROL!$C$19, $D$11, 100%, $F$11)</f>
        <v>6.6654</v>
      </c>
      <c r="C143" s="8">
        <f>CHOOSE( CONTROL!$C$36, 6.6734, 6.6718) * CHOOSE(CONTROL!$C$19, $D$11, 100%, $F$11)</f>
        <v>6.6734</v>
      </c>
      <c r="D143" s="8">
        <f>CHOOSE( CONTROL!$C$36, 6.6881, 6.6864) * CHOOSE( CONTROL!$C$19, $D$11, 100%, $F$11)</f>
        <v>6.6881000000000004</v>
      </c>
      <c r="E143" s="12">
        <f>CHOOSE( CONTROL!$C$36, 6.6816, 6.6799) * CHOOSE( CONTROL!$C$19, $D$11, 100%, $F$11)</f>
        <v>6.6816000000000004</v>
      </c>
      <c r="F143" s="4">
        <f>CHOOSE( CONTROL!$C$36, 7.3985, 7.3968) * CHOOSE(CONTROL!$C$19, $D$11, 100%, $F$11)</f>
        <v>7.3985000000000003</v>
      </c>
      <c r="G143" s="8">
        <f>CHOOSE( CONTROL!$C$36, 6.625, 6.6233) * CHOOSE( CONTROL!$C$19, $D$11, 100%, $F$11)</f>
        <v>6.625</v>
      </c>
      <c r="H143" s="4">
        <f>CHOOSE( CONTROL!$C$36, 7.5691, 7.5674) * CHOOSE(CONTROL!$C$19, $D$11, 100%, $F$11)</f>
        <v>7.5690999999999997</v>
      </c>
      <c r="I143" s="8">
        <f>CHOOSE( CONTROL!$C$36, 6.604, 6.6024) * CHOOSE(CONTROL!$C$19, $D$11, 100%, $F$11)</f>
        <v>6.6040000000000001</v>
      </c>
      <c r="J143" s="4">
        <f>CHOOSE( CONTROL!$C$36, 6.4687, 6.4671) * CHOOSE(CONTROL!$C$19, $D$11, 100%, $F$11)</f>
        <v>6.4687000000000001</v>
      </c>
      <c r="K143" s="4"/>
      <c r="L143" s="9">
        <v>30.7165</v>
      </c>
      <c r="M143" s="9">
        <v>12.063700000000001</v>
      </c>
      <c r="N143" s="9">
        <v>4.9444999999999997</v>
      </c>
      <c r="O143" s="9">
        <v>0.37409999999999999</v>
      </c>
      <c r="P143" s="9">
        <v>1.2927</v>
      </c>
      <c r="Q143" s="9">
        <v>32.440300000000001</v>
      </c>
      <c r="R143" s="9"/>
      <c r="S143" s="11"/>
    </row>
    <row r="144" spans="1:19" ht="15.75">
      <c r="A144" s="13">
        <v>45505</v>
      </c>
      <c r="B144" s="8">
        <f>CHOOSE( CONTROL!$C$36, 6.1499, 6.1482) * CHOOSE(CONTROL!$C$19, $D$11, 100%, $F$11)</f>
        <v>6.1498999999999997</v>
      </c>
      <c r="C144" s="8">
        <f>CHOOSE( CONTROL!$C$36, 6.1579, 6.1562) * CHOOSE(CONTROL!$C$19, $D$11, 100%, $F$11)</f>
        <v>6.1578999999999997</v>
      </c>
      <c r="D144" s="8">
        <f>CHOOSE( CONTROL!$C$36, 6.1726, 6.1709) * CHOOSE( CONTROL!$C$19, $D$11, 100%, $F$11)</f>
        <v>6.1726000000000001</v>
      </c>
      <c r="E144" s="12">
        <f>CHOOSE( CONTROL!$C$36, 6.1661, 6.1644) * CHOOSE( CONTROL!$C$19, $D$11, 100%, $F$11)</f>
        <v>6.1661000000000001</v>
      </c>
      <c r="F144" s="4">
        <f>CHOOSE( CONTROL!$C$36, 6.8829, 6.8812) * CHOOSE(CONTROL!$C$19, $D$11, 100%, $F$11)</f>
        <v>6.8829000000000002</v>
      </c>
      <c r="G144" s="8">
        <f>CHOOSE( CONTROL!$C$36, 6.1166, 6.115) * CHOOSE( CONTROL!$C$19, $D$11, 100%, $F$11)</f>
        <v>6.1166</v>
      </c>
      <c r="H144" s="4">
        <f>CHOOSE( CONTROL!$C$36, 7.0607, 7.0591) * CHOOSE(CONTROL!$C$19, $D$11, 100%, $F$11)</f>
        <v>7.0606999999999998</v>
      </c>
      <c r="I144" s="8">
        <f>CHOOSE( CONTROL!$C$36, 6.1047, 6.1031) * CHOOSE(CONTROL!$C$19, $D$11, 100%, $F$11)</f>
        <v>6.1047000000000002</v>
      </c>
      <c r="J144" s="4">
        <f>CHOOSE( CONTROL!$C$36, 5.9695, 5.9679) * CHOOSE(CONTROL!$C$19, $D$11, 100%, $F$11)</f>
        <v>5.9695</v>
      </c>
      <c r="K144" s="4"/>
      <c r="L144" s="9">
        <v>30.7165</v>
      </c>
      <c r="M144" s="9">
        <v>12.063700000000001</v>
      </c>
      <c r="N144" s="9">
        <v>4.9444999999999997</v>
      </c>
      <c r="O144" s="9">
        <v>0.37409999999999999</v>
      </c>
      <c r="P144" s="9">
        <v>1.2927</v>
      </c>
      <c r="Q144" s="9">
        <v>32.440300000000001</v>
      </c>
      <c r="R144" s="9"/>
      <c r="S144" s="11"/>
    </row>
    <row r="145" spans="1:19" ht="15.75">
      <c r="A145" s="13">
        <v>45536</v>
      </c>
      <c r="B145" s="8">
        <f>CHOOSE( CONTROL!$C$36, 6.0208, 6.0191) * CHOOSE(CONTROL!$C$19, $D$11, 100%, $F$11)</f>
        <v>6.0208000000000004</v>
      </c>
      <c r="C145" s="8">
        <f>CHOOSE( CONTROL!$C$36, 6.0288, 6.0271) * CHOOSE(CONTROL!$C$19, $D$11, 100%, $F$11)</f>
        <v>6.0288000000000004</v>
      </c>
      <c r="D145" s="8">
        <f>CHOOSE( CONTROL!$C$36, 6.0434, 6.0417) * CHOOSE( CONTROL!$C$19, $D$11, 100%, $F$11)</f>
        <v>6.0434000000000001</v>
      </c>
      <c r="E145" s="12">
        <f>CHOOSE( CONTROL!$C$36, 6.0369, 6.0352) * CHOOSE( CONTROL!$C$19, $D$11, 100%, $F$11)</f>
        <v>6.0369000000000002</v>
      </c>
      <c r="F145" s="4">
        <f>CHOOSE( CONTROL!$C$36, 6.7538, 6.7521) * CHOOSE(CONTROL!$C$19, $D$11, 100%, $F$11)</f>
        <v>6.7538</v>
      </c>
      <c r="G145" s="8">
        <f>CHOOSE( CONTROL!$C$36, 5.9893, 5.9876) * CHOOSE( CONTROL!$C$19, $D$11, 100%, $F$11)</f>
        <v>5.9893000000000001</v>
      </c>
      <c r="H145" s="4">
        <f>CHOOSE( CONTROL!$C$36, 6.9334, 6.9318) * CHOOSE(CONTROL!$C$19, $D$11, 100%, $F$11)</f>
        <v>6.9333999999999998</v>
      </c>
      <c r="I145" s="8">
        <f>CHOOSE( CONTROL!$C$36, 5.9793, 5.9777) * CHOOSE(CONTROL!$C$19, $D$11, 100%, $F$11)</f>
        <v>5.9793000000000003</v>
      </c>
      <c r="J145" s="4">
        <f>CHOOSE( CONTROL!$C$36, 5.8445, 5.8429) * CHOOSE(CONTROL!$C$19, $D$11, 100%, $F$11)</f>
        <v>5.8445</v>
      </c>
      <c r="K145" s="4"/>
      <c r="L145" s="9">
        <v>29.7257</v>
      </c>
      <c r="M145" s="9">
        <v>11.6745</v>
      </c>
      <c r="N145" s="9">
        <v>4.7850000000000001</v>
      </c>
      <c r="O145" s="9">
        <v>0.36199999999999999</v>
      </c>
      <c r="P145" s="9">
        <v>1.2509999999999999</v>
      </c>
      <c r="Q145" s="9">
        <v>31.393799999999999</v>
      </c>
      <c r="R145" s="9"/>
      <c r="S145" s="11"/>
    </row>
    <row r="146" spans="1:19" ht="15.75">
      <c r="A146" s="13">
        <v>45566</v>
      </c>
      <c r="B146" s="8">
        <f>CHOOSE( CONTROL!$C$36, 6.2865, 6.2854) * CHOOSE(CONTROL!$C$19, $D$11, 100%, $F$11)</f>
        <v>6.2865000000000002</v>
      </c>
      <c r="C146" s="8">
        <f>CHOOSE( CONTROL!$C$36, 6.2919, 6.2908) * CHOOSE(CONTROL!$C$19, $D$11, 100%, $F$11)</f>
        <v>6.2919</v>
      </c>
      <c r="D146" s="8">
        <f>CHOOSE( CONTROL!$C$36, 6.3124, 6.3113) * CHOOSE( CONTROL!$C$19, $D$11, 100%, $F$11)</f>
        <v>6.3124000000000002</v>
      </c>
      <c r="E146" s="12">
        <f>CHOOSE( CONTROL!$C$36, 6.3051, 6.304) * CHOOSE( CONTROL!$C$19, $D$11, 100%, $F$11)</f>
        <v>6.3051000000000004</v>
      </c>
      <c r="F146" s="4">
        <f>CHOOSE( CONTROL!$C$36, 7.0213, 7.0202) * CHOOSE(CONTROL!$C$19, $D$11, 100%, $F$11)</f>
        <v>7.0213000000000001</v>
      </c>
      <c r="G146" s="8">
        <f>CHOOSE( CONTROL!$C$36, 6.2532, 6.2522) * CHOOSE( CONTROL!$C$19, $D$11, 100%, $F$11)</f>
        <v>6.2531999999999996</v>
      </c>
      <c r="H146" s="4">
        <f>CHOOSE( CONTROL!$C$36, 7.1972, 7.1961) * CHOOSE(CONTROL!$C$19, $D$11, 100%, $F$11)</f>
        <v>7.1971999999999996</v>
      </c>
      <c r="I146" s="8">
        <f>CHOOSE( CONTROL!$C$36, 6.2395, 6.2384) * CHOOSE(CONTROL!$C$19, $D$11, 100%, $F$11)</f>
        <v>6.2394999999999996</v>
      </c>
      <c r="J146" s="4">
        <f>CHOOSE( CONTROL!$C$36, 6.1035, 6.1025) * CHOOSE(CONTROL!$C$19, $D$11, 100%, $F$11)</f>
        <v>6.1035000000000004</v>
      </c>
      <c r="K146" s="4"/>
      <c r="L146" s="9">
        <v>31.095300000000002</v>
      </c>
      <c r="M146" s="9">
        <v>12.063700000000001</v>
      </c>
      <c r="N146" s="9">
        <v>4.9444999999999997</v>
      </c>
      <c r="O146" s="9">
        <v>0.37409999999999999</v>
      </c>
      <c r="P146" s="9">
        <v>1.2927</v>
      </c>
      <c r="Q146" s="9">
        <v>32.440300000000001</v>
      </c>
      <c r="R146" s="9"/>
      <c r="S146" s="11"/>
    </row>
    <row r="147" spans="1:19" ht="15.75">
      <c r="A147" s="13">
        <v>45597</v>
      </c>
      <c r="B147" s="8">
        <f>CHOOSE( CONTROL!$C$36, 6.7809, 6.7798) * CHOOSE(CONTROL!$C$19, $D$11, 100%, $F$11)</f>
        <v>6.7808999999999999</v>
      </c>
      <c r="C147" s="8">
        <f>CHOOSE( CONTROL!$C$36, 6.786, 6.7849) * CHOOSE(CONTROL!$C$19, $D$11, 100%, $F$11)</f>
        <v>6.7859999999999996</v>
      </c>
      <c r="D147" s="8">
        <f>CHOOSE( CONTROL!$C$36, 6.7652, 6.7641) * CHOOSE( CONTROL!$C$19, $D$11, 100%, $F$11)</f>
        <v>6.7652000000000001</v>
      </c>
      <c r="E147" s="12">
        <f>CHOOSE( CONTROL!$C$36, 6.7723, 6.7712) * CHOOSE( CONTROL!$C$19, $D$11, 100%, $F$11)</f>
        <v>6.7723000000000004</v>
      </c>
      <c r="F147" s="4">
        <f>CHOOSE( CONTROL!$C$36, 7.4402, 7.4391) * CHOOSE(CONTROL!$C$19, $D$11, 100%, $F$11)</f>
        <v>7.4401999999999999</v>
      </c>
      <c r="G147" s="8">
        <f>CHOOSE( CONTROL!$C$36, 6.721, 6.72) * CHOOSE( CONTROL!$C$19, $D$11, 100%, $F$11)</f>
        <v>6.7210000000000001</v>
      </c>
      <c r="H147" s="4">
        <f>CHOOSE( CONTROL!$C$36, 7.6102, 7.6091) * CHOOSE(CONTROL!$C$19, $D$11, 100%, $F$11)</f>
        <v>7.6101999999999999</v>
      </c>
      <c r="I147" s="8">
        <f>CHOOSE( CONTROL!$C$36, 6.7679, 6.7669) * CHOOSE(CONTROL!$C$19, $D$11, 100%, $F$11)</f>
        <v>6.7679</v>
      </c>
      <c r="J147" s="4">
        <f>CHOOSE( CONTROL!$C$36, 6.5826, 6.5816) * CHOOSE(CONTROL!$C$19, $D$11, 100%, $F$11)</f>
        <v>6.5826000000000002</v>
      </c>
      <c r="K147" s="4"/>
      <c r="L147" s="9">
        <v>28.360600000000002</v>
      </c>
      <c r="M147" s="9">
        <v>11.6745</v>
      </c>
      <c r="N147" s="9">
        <v>4.7850000000000001</v>
      </c>
      <c r="O147" s="9">
        <v>0.36199999999999999</v>
      </c>
      <c r="P147" s="9">
        <v>1.2509999999999999</v>
      </c>
      <c r="Q147" s="9">
        <v>31.393799999999999</v>
      </c>
      <c r="R147" s="9"/>
      <c r="S147" s="11"/>
    </row>
    <row r="148" spans="1:19" ht="15.75">
      <c r="A148" s="13">
        <v>45627</v>
      </c>
      <c r="B148" s="8">
        <f>CHOOSE( CONTROL!$C$36, 6.7685, 6.7675) * CHOOSE(CONTROL!$C$19, $D$11, 100%, $F$11)</f>
        <v>6.7685000000000004</v>
      </c>
      <c r="C148" s="8">
        <f>CHOOSE( CONTROL!$C$36, 6.7736, 6.7726) * CHOOSE(CONTROL!$C$19, $D$11, 100%, $F$11)</f>
        <v>6.7736000000000001</v>
      </c>
      <c r="D148" s="8">
        <f>CHOOSE( CONTROL!$C$36, 6.7542, 6.7532) * CHOOSE( CONTROL!$C$19, $D$11, 100%, $F$11)</f>
        <v>6.7542</v>
      </c>
      <c r="E148" s="12">
        <f>CHOOSE( CONTROL!$C$36, 6.7608, 6.7598) * CHOOSE( CONTROL!$C$19, $D$11, 100%, $F$11)</f>
        <v>6.7607999999999997</v>
      </c>
      <c r="F148" s="4">
        <f>CHOOSE( CONTROL!$C$36, 7.4278, 7.4267) * CHOOSE(CONTROL!$C$19, $D$11, 100%, $F$11)</f>
        <v>7.4278000000000004</v>
      </c>
      <c r="G148" s="8">
        <f>CHOOSE( CONTROL!$C$36, 6.7099, 6.7088) * CHOOSE( CONTROL!$C$19, $D$11, 100%, $F$11)</f>
        <v>6.7099000000000002</v>
      </c>
      <c r="H148" s="4">
        <f>CHOOSE( CONTROL!$C$36, 7.598, 7.5969) * CHOOSE(CONTROL!$C$19, $D$11, 100%, $F$11)</f>
        <v>7.5979999999999999</v>
      </c>
      <c r="I148" s="8">
        <f>CHOOSE( CONTROL!$C$36, 6.7603, 6.7592) * CHOOSE(CONTROL!$C$19, $D$11, 100%, $F$11)</f>
        <v>6.7603</v>
      </c>
      <c r="J148" s="4">
        <f>CHOOSE( CONTROL!$C$36, 6.5706, 6.5696) * CHOOSE(CONTROL!$C$19, $D$11, 100%, $F$11)</f>
        <v>6.5705999999999998</v>
      </c>
      <c r="K148" s="4"/>
      <c r="L148" s="9">
        <v>29.306000000000001</v>
      </c>
      <c r="M148" s="9">
        <v>12.063700000000001</v>
      </c>
      <c r="N148" s="9">
        <v>4.9444999999999997</v>
      </c>
      <c r="O148" s="9">
        <v>0.37409999999999999</v>
      </c>
      <c r="P148" s="9">
        <v>1.2927</v>
      </c>
      <c r="Q148" s="9">
        <v>32.440300000000001</v>
      </c>
      <c r="R148" s="9"/>
      <c r="S148" s="11"/>
    </row>
    <row r="149" spans="1:19" ht="15.75">
      <c r="A149" s="13">
        <v>45658</v>
      </c>
      <c r="B149" s="8">
        <f>CHOOSE( CONTROL!$C$36, 6.9685, 6.9674) * CHOOSE(CONTROL!$C$19, $D$11, 100%, $F$11)</f>
        <v>6.9684999999999997</v>
      </c>
      <c r="C149" s="8">
        <f>CHOOSE( CONTROL!$C$36, 6.9736, 6.9725) * CHOOSE(CONTROL!$C$19, $D$11, 100%, $F$11)</f>
        <v>6.9736000000000002</v>
      </c>
      <c r="D149" s="8">
        <f>CHOOSE( CONTROL!$C$36, 6.9749, 6.9738) * CHOOSE( CONTROL!$C$19, $D$11, 100%, $F$11)</f>
        <v>6.9748999999999999</v>
      </c>
      <c r="E149" s="12">
        <f>CHOOSE( CONTROL!$C$36, 6.9739, 6.9728) * CHOOSE( CONTROL!$C$19, $D$11, 100%, $F$11)</f>
        <v>6.9739000000000004</v>
      </c>
      <c r="F149" s="4">
        <f>CHOOSE( CONTROL!$C$36, 7.6277, 7.6267) * CHOOSE(CONTROL!$C$19, $D$11, 100%, $F$11)</f>
        <v>7.6276999999999999</v>
      </c>
      <c r="G149" s="8">
        <f>CHOOSE( CONTROL!$C$36, 6.918, 6.917) * CHOOSE( CONTROL!$C$19, $D$11, 100%, $F$11)</f>
        <v>6.9180000000000001</v>
      </c>
      <c r="H149" s="4">
        <f>CHOOSE( CONTROL!$C$36, 7.7952, 7.7941) * CHOOSE(CONTROL!$C$19, $D$11, 100%, $F$11)</f>
        <v>7.7952000000000004</v>
      </c>
      <c r="I149" s="8">
        <f>CHOOSE( CONTROL!$C$36, 6.9314, 6.9304) * CHOOSE(CONTROL!$C$19, $D$11, 100%, $F$11)</f>
        <v>6.9314</v>
      </c>
      <c r="J149" s="4">
        <f>CHOOSE( CONTROL!$C$36, 6.7642, 6.7632) * CHOOSE(CONTROL!$C$19, $D$11, 100%, $F$11)</f>
        <v>6.7641999999999998</v>
      </c>
      <c r="K149" s="4"/>
      <c r="L149" s="9">
        <v>29.306000000000001</v>
      </c>
      <c r="M149" s="9">
        <v>12.063700000000001</v>
      </c>
      <c r="N149" s="9">
        <v>4.9444999999999997</v>
      </c>
      <c r="O149" s="9">
        <v>0.37409999999999999</v>
      </c>
      <c r="P149" s="9">
        <v>1.2927</v>
      </c>
      <c r="Q149" s="9">
        <v>32.254300000000001</v>
      </c>
      <c r="R149" s="9"/>
      <c r="S149" s="11"/>
    </row>
    <row r="150" spans="1:19" ht="15.75">
      <c r="A150" s="13">
        <v>45689</v>
      </c>
      <c r="B150" s="8">
        <f>CHOOSE( CONTROL!$C$36, 6.5169, 6.5159) * CHOOSE(CONTROL!$C$19, $D$11, 100%, $F$11)</f>
        <v>6.5168999999999997</v>
      </c>
      <c r="C150" s="8">
        <f>CHOOSE( CONTROL!$C$36, 6.522, 6.521) * CHOOSE(CONTROL!$C$19, $D$11, 100%, $F$11)</f>
        <v>6.5220000000000002</v>
      </c>
      <c r="D150" s="8">
        <f>CHOOSE( CONTROL!$C$36, 6.5232, 6.5221) * CHOOSE( CONTROL!$C$19, $D$11, 100%, $F$11)</f>
        <v>6.5232000000000001</v>
      </c>
      <c r="E150" s="12">
        <f>CHOOSE( CONTROL!$C$36, 6.5222, 6.5212) * CHOOSE( CONTROL!$C$19, $D$11, 100%, $F$11)</f>
        <v>6.5221999999999998</v>
      </c>
      <c r="F150" s="4">
        <f>CHOOSE( CONTROL!$C$36, 7.1762, 7.1751) * CHOOSE(CONTROL!$C$19, $D$11, 100%, $F$11)</f>
        <v>7.1761999999999997</v>
      </c>
      <c r="G150" s="8">
        <f>CHOOSE( CONTROL!$C$36, 6.4727, 6.4716) * CHOOSE( CONTROL!$C$19, $D$11, 100%, $F$11)</f>
        <v>6.4726999999999997</v>
      </c>
      <c r="H150" s="4">
        <f>CHOOSE( CONTROL!$C$36, 7.3499, 7.3488) * CHOOSE(CONTROL!$C$19, $D$11, 100%, $F$11)</f>
        <v>7.3498999999999999</v>
      </c>
      <c r="I150" s="8">
        <f>CHOOSE( CONTROL!$C$36, 6.4936, 6.4925) * CHOOSE(CONTROL!$C$19, $D$11, 100%, $F$11)</f>
        <v>6.4935999999999998</v>
      </c>
      <c r="J150" s="4">
        <f>CHOOSE( CONTROL!$C$36, 6.327, 6.326) * CHOOSE(CONTROL!$C$19, $D$11, 100%, $F$11)</f>
        <v>6.327</v>
      </c>
      <c r="K150" s="4"/>
      <c r="L150" s="9">
        <v>26.469899999999999</v>
      </c>
      <c r="M150" s="9">
        <v>10.8962</v>
      </c>
      <c r="N150" s="9">
        <v>4.4660000000000002</v>
      </c>
      <c r="O150" s="9">
        <v>0.33789999999999998</v>
      </c>
      <c r="P150" s="9">
        <v>1.1676</v>
      </c>
      <c r="Q150" s="9">
        <v>29.132899999999999</v>
      </c>
      <c r="R150" s="9"/>
      <c r="S150" s="11"/>
    </row>
    <row r="151" spans="1:19" ht="15.75">
      <c r="A151" s="13">
        <v>45717</v>
      </c>
      <c r="B151" s="8">
        <f>CHOOSE( CONTROL!$C$36, 6.3779, 6.3768) * CHOOSE(CONTROL!$C$19, $D$11, 100%, $F$11)</f>
        <v>6.3779000000000003</v>
      </c>
      <c r="C151" s="8">
        <f>CHOOSE( CONTROL!$C$36, 6.383, 6.3819) * CHOOSE(CONTROL!$C$19, $D$11, 100%, $F$11)</f>
        <v>6.383</v>
      </c>
      <c r="D151" s="8">
        <f>CHOOSE( CONTROL!$C$36, 6.3835, 6.3824) * CHOOSE( CONTROL!$C$19, $D$11, 100%, $F$11)</f>
        <v>6.3834999999999997</v>
      </c>
      <c r="E151" s="12">
        <f>CHOOSE( CONTROL!$C$36, 6.3828, 6.3817) * CHOOSE( CONTROL!$C$19, $D$11, 100%, $F$11)</f>
        <v>6.3827999999999996</v>
      </c>
      <c r="F151" s="4">
        <f>CHOOSE( CONTROL!$C$36, 7.0371, 7.036) * CHOOSE(CONTROL!$C$19, $D$11, 100%, $F$11)</f>
        <v>7.0370999999999997</v>
      </c>
      <c r="G151" s="8">
        <f>CHOOSE( CONTROL!$C$36, 6.3351, 6.334) * CHOOSE( CONTROL!$C$19, $D$11, 100%, $F$11)</f>
        <v>6.3350999999999997</v>
      </c>
      <c r="H151" s="4">
        <f>CHOOSE( CONTROL!$C$36, 7.2128, 7.2117) * CHOOSE(CONTROL!$C$19, $D$11, 100%, $F$11)</f>
        <v>7.2127999999999997</v>
      </c>
      <c r="I151" s="8">
        <f>CHOOSE( CONTROL!$C$36, 6.3569, 6.3558) * CHOOSE(CONTROL!$C$19, $D$11, 100%, $F$11)</f>
        <v>6.3569000000000004</v>
      </c>
      <c r="J151" s="4">
        <f>CHOOSE( CONTROL!$C$36, 6.1923, 6.1913) * CHOOSE(CONTROL!$C$19, $D$11, 100%, $F$11)</f>
        <v>6.1923000000000004</v>
      </c>
      <c r="K151" s="4"/>
      <c r="L151" s="9">
        <v>29.306000000000001</v>
      </c>
      <c r="M151" s="9">
        <v>12.063700000000001</v>
      </c>
      <c r="N151" s="9">
        <v>4.9444999999999997</v>
      </c>
      <c r="O151" s="9">
        <v>0.37409999999999999</v>
      </c>
      <c r="P151" s="9">
        <v>1.2927</v>
      </c>
      <c r="Q151" s="9">
        <v>32.254300000000001</v>
      </c>
      <c r="R151" s="9"/>
      <c r="S151" s="11"/>
    </row>
    <row r="152" spans="1:19" ht="15.75">
      <c r="A152" s="13">
        <v>45748</v>
      </c>
      <c r="B152" s="8">
        <f>CHOOSE( CONTROL!$C$36, 6.4758, 6.4747) * CHOOSE(CONTROL!$C$19, $D$11, 100%, $F$11)</f>
        <v>6.4757999999999996</v>
      </c>
      <c r="C152" s="8">
        <f>CHOOSE( CONTROL!$C$36, 6.4803, 6.4793) * CHOOSE(CONTROL!$C$19, $D$11, 100%, $F$11)</f>
        <v>6.4802999999999997</v>
      </c>
      <c r="D152" s="8">
        <f>CHOOSE( CONTROL!$C$36, 6.5007, 6.4996) * CHOOSE( CONTROL!$C$19, $D$11, 100%, $F$11)</f>
        <v>6.5007000000000001</v>
      </c>
      <c r="E152" s="12">
        <f>CHOOSE( CONTROL!$C$36, 6.4934, 6.4924) * CHOOSE( CONTROL!$C$19, $D$11, 100%, $F$11)</f>
        <v>6.4934000000000003</v>
      </c>
      <c r="F152" s="4">
        <f>CHOOSE( CONTROL!$C$36, 7.2102, 7.2091) * CHOOSE(CONTROL!$C$19, $D$11, 100%, $F$11)</f>
        <v>7.2102000000000004</v>
      </c>
      <c r="G152" s="8">
        <f>CHOOSE( CONTROL!$C$36, 6.4391, 6.438) * CHOOSE( CONTROL!$C$19, $D$11, 100%, $F$11)</f>
        <v>6.4390999999999998</v>
      </c>
      <c r="H152" s="4">
        <f>CHOOSE( CONTROL!$C$36, 7.3835, 7.3824) * CHOOSE(CONTROL!$C$19, $D$11, 100%, $F$11)</f>
        <v>7.3834999999999997</v>
      </c>
      <c r="I152" s="8">
        <f>CHOOSE( CONTROL!$C$36, 6.4205, 6.4195) * CHOOSE(CONTROL!$C$19, $D$11, 100%, $F$11)</f>
        <v>6.4204999999999997</v>
      </c>
      <c r="J152" s="4">
        <f>CHOOSE( CONTROL!$C$36, 6.2864, 6.2854) * CHOOSE(CONTROL!$C$19, $D$11, 100%, $F$11)</f>
        <v>6.2864000000000004</v>
      </c>
      <c r="K152" s="4"/>
      <c r="L152" s="9">
        <v>30.092199999999998</v>
      </c>
      <c r="M152" s="9">
        <v>11.6745</v>
      </c>
      <c r="N152" s="9">
        <v>4.7850000000000001</v>
      </c>
      <c r="O152" s="9">
        <v>0.36199999999999999</v>
      </c>
      <c r="P152" s="9">
        <v>1.2509999999999999</v>
      </c>
      <c r="Q152" s="9">
        <v>31.213799999999999</v>
      </c>
      <c r="R152" s="9"/>
      <c r="S152" s="11"/>
    </row>
    <row r="153" spans="1:19" ht="15.75">
      <c r="A153" s="13">
        <v>45778</v>
      </c>
      <c r="B153" s="8">
        <f>CHOOSE( CONTROL!$C$36, 6.6507, 6.6491) * CHOOSE(CONTROL!$C$19, $D$11, 100%, $F$11)</f>
        <v>6.6506999999999996</v>
      </c>
      <c r="C153" s="8">
        <f>CHOOSE( CONTROL!$C$36, 6.6587, 6.6571) * CHOOSE(CONTROL!$C$19, $D$11, 100%, $F$11)</f>
        <v>6.6586999999999996</v>
      </c>
      <c r="D153" s="8">
        <f>CHOOSE( CONTROL!$C$36, 6.6729, 6.6712) * CHOOSE( CONTROL!$C$19, $D$11, 100%, $F$11)</f>
        <v>6.6729000000000003</v>
      </c>
      <c r="E153" s="12">
        <f>CHOOSE( CONTROL!$C$36, 6.6665, 6.6649) * CHOOSE( CONTROL!$C$19, $D$11, 100%, $F$11)</f>
        <v>6.6665000000000001</v>
      </c>
      <c r="F153" s="4">
        <f>CHOOSE( CONTROL!$C$36, 7.3837, 7.3821) * CHOOSE(CONTROL!$C$19, $D$11, 100%, $F$11)</f>
        <v>7.3837000000000002</v>
      </c>
      <c r="G153" s="8">
        <f>CHOOSE( CONTROL!$C$36, 6.6101, 6.6085) * CHOOSE( CONTROL!$C$19, $D$11, 100%, $F$11)</f>
        <v>6.6101000000000001</v>
      </c>
      <c r="H153" s="4">
        <f>CHOOSE( CONTROL!$C$36, 7.5546, 7.5529) * CHOOSE(CONTROL!$C$19, $D$11, 100%, $F$11)</f>
        <v>7.5545999999999998</v>
      </c>
      <c r="I153" s="8">
        <f>CHOOSE( CONTROL!$C$36, 6.5882, 6.5866) * CHOOSE(CONTROL!$C$19, $D$11, 100%, $F$11)</f>
        <v>6.5881999999999996</v>
      </c>
      <c r="J153" s="4">
        <f>CHOOSE( CONTROL!$C$36, 6.4545, 6.4529) * CHOOSE(CONTROL!$C$19, $D$11, 100%, $F$11)</f>
        <v>6.4545000000000003</v>
      </c>
      <c r="K153" s="4"/>
      <c r="L153" s="9">
        <v>30.7165</v>
      </c>
      <c r="M153" s="9">
        <v>12.063700000000001</v>
      </c>
      <c r="N153" s="9">
        <v>4.9444999999999997</v>
      </c>
      <c r="O153" s="9">
        <v>0.37409999999999999</v>
      </c>
      <c r="P153" s="9">
        <v>1.2927</v>
      </c>
      <c r="Q153" s="9">
        <v>32.254300000000001</v>
      </c>
      <c r="R153" s="9"/>
      <c r="S153" s="11"/>
    </row>
    <row r="154" spans="1:19" ht="15.75">
      <c r="A154" s="13">
        <v>45809</v>
      </c>
      <c r="B154" s="8">
        <f>CHOOSE( CONTROL!$C$36, 6.5436, 6.5419) * CHOOSE(CONTROL!$C$19, $D$11, 100%, $F$11)</f>
        <v>6.5435999999999996</v>
      </c>
      <c r="C154" s="8">
        <f>CHOOSE( CONTROL!$C$36, 6.5516, 6.5499) * CHOOSE(CONTROL!$C$19, $D$11, 100%, $F$11)</f>
        <v>6.5515999999999996</v>
      </c>
      <c r="D154" s="8">
        <f>CHOOSE( CONTROL!$C$36, 6.566, 6.5643) * CHOOSE( CONTROL!$C$19, $D$11, 100%, $F$11)</f>
        <v>6.5659999999999998</v>
      </c>
      <c r="E154" s="12">
        <f>CHOOSE( CONTROL!$C$36, 6.5596, 6.5579) * CHOOSE( CONTROL!$C$19, $D$11, 100%, $F$11)</f>
        <v>6.5595999999999997</v>
      </c>
      <c r="F154" s="4">
        <f>CHOOSE( CONTROL!$C$36, 7.2766, 7.2749) * CHOOSE(CONTROL!$C$19, $D$11, 100%, $F$11)</f>
        <v>7.2766000000000002</v>
      </c>
      <c r="G154" s="8">
        <f>CHOOSE( CONTROL!$C$36, 6.5046, 6.503) * CHOOSE( CONTROL!$C$19, $D$11, 100%, $F$11)</f>
        <v>6.5045999999999999</v>
      </c>
      <c r="H154" s="4">
        <f>CHOOSE( CONTROL!$C$36, 7.4489, 7.4473) * CHOOSE(CONTROL!$C$19, $D$11, 100%, $F$11)</f>
        <v>7.4489000000000001</v>
      </c>
      <c r="I154" s="8">
        <f>CHOOSE( CONTROL!$C$36, 6.4851, 6.4835) * CHOOSE(CONTROL!$C$19, $D$11, 100%, $F$11)</f>
        <v>6.4851000000000001</v>
      </c>
      <c r="J154" s="4">
        <f>CHOOSE( CONTROL!$C$36, 6.3507, 6.3491) * CHOOSE(CONTROL!$C$19, $D$11, 100%, $F$11)</f>
        <v>6.3506999999999998</v>
      </c>
      <c r="K154" s="4"/>
      <c r="L154" s="9">
        <v>29.7257</v>
      </c>
      <c r="M154" s="9">
        <v>11.6745</v>
      </c>
      <c r="N154" s="9">
        <v>4.7850000000000001</v>
      </c>
      <c r="O154" s="9">
        <v>0.36199999999999999</v>
      </c>
      <c r="P154" s="9">
        <v>1.2509999999999999</v>
      </c>
      <c r="Q154" s="9">
        <v>31.213799999999999</v>
      </c>
      <c r="R154" s="9"/>
      <c r="S154" s="11"/>
    </row>
    <row r="155" spans="1:19" ht="15.75">
      <c r="A155" s="13">
        <v>45839</v>
      </c>
      <c r="B155" s="8">
        <f>CHOOSE( CONTROL!$C$36, 6.8257, 6.8241) * CHOOSE(CONTROL!$C$19, $D$11, 100%, $F$11)</f>
        <v>6.8257000000000003</v>
      </c>
      <c r="C155" s="8">
        <f>CHOOSE( CONTROL!$C$36, 6.8337, 6.8321) * CHOOSE(CONTROL!$C$19, $D$11, 100%, $F$11)</f>
        <v>6.8337000000000003</v>
      </c>
      <c r="D155" s="8">
        <f>CHOOSE( CONTROL!$C$36, 6.8483, 6.8467) * CHOOSE( CONTROL!$C$19, $D$11, 100%, $F$11)</f>
        <v>6.8483000000000001</v>
      </c>
      <c r="E155" s="12">
        <f>CHOOSE( CONTROL!$C$36, 6.8418, 6.8402) * CHOOSE( CONTROL!$C$19, $D$11, 100%, $F$11)</f>
        <v>6.8418000000000001</v>
      </c>
      <c r="F155" s="4">
        <f>CHOOSE( CONTROL!$C$36, 7.5587, 7.5571) * CHOOSE(CONTROL!$C$19, $D$11, 100%, $F$11)</f>
        <v>7.5587</v>
      </c>
      <c r="G155" s="8">
        <f>CHOOSE( CONTROL!$C$36, 6.783, 6.7814) * CHOOSE( CONTROL!$C$19, $D$11, 100%, $F$11)</f>
        <v>6.7830000000000004</v>
      </c>
      <c r="H155" s="4">
        <f>CHOOSE( CONTROL!$C$36, 7.7271, 7.7255) * CHOOSE(CONTROL!$C$19, $D$11, 100%, $F$11)</f>
        <v>7.7271000000000001</v>
      </c>
      <c r="I155" s="8">
        <f>CHOOSE( CONTROL!$C$36, 6.7593, 6.7577) * CHOOSE(CONTROL!$C$19, $D$11, 100%, $F$11)</f>
        <v>6.7592999999999996</v>
      </c>
      <c r="J155" s="4">
        <f>CHOOSE( CONTROL!$C$36, 6.6239, 6.6223) * CHOOSE(CONTROL!$C$19, $D$11, 100%, $F$11)</f>
        <v>6.6238999999999999</v>
      </c>
      <c r="K155" s="4"/>
      <c r="L155" s="9">
        <v>30.7165</v>
      </c>
      <c r="M155" s="9">
        <v>12.063700000000001</v>
      </c>
      <c r="N155" s="9">
        <v>4.9444999999999997</v>
      </c>
      <c r="O155" s="9">
        <v>0.37409999999999999</v>
      </c>
      <c r="P155" s="9">
        <v>1.2927</v>
      </c>
      <c r="Q155" s="9">
        <v>32.254300000000001</v>
      </c>
      <c r="R155" s="9"/>
      <c r="S155" s="11"/>
    </row>
    <row r="156" spans="1:19" ht="15.75">
      <c r="A156" s="13">
        <v>45870</v>
      </c>
      <c r="B156" s="8">
        <f>CHOOSE( CONTROL!$C$36, 6.2978, 6.2961) * CHOOSE(CONTROL!$C$19, $D$11, 100%, $F$11)</f>
        <v>6.2977999999999996</v>
      </c>
      <c r="C156" s="8">
        <f>CHOOSE( CONTROL!$C$36, 6.3058, 6.3041) * CHOOSE(CONTROL!$C$19, $D$11, 100%, $F$11)</f>
        <v>6.3057999999999996</v>
      </c>
      <c r="D156" s="8">
        <f>CHOOSE( CONTROL!$C$36, 6.3205, 6.3188) * CHOOSE( CONTROL!$C$19, $D$11, 100%, $F$11)</f>
        <v>6.3205</v>
      </c>
      <c r="E156" s="12">
        <f>CHOOSE( CONTROL!$C$36, 6.314, 6.3123) * CHOOSE( CONTROL!$C$19, $D$11, 100%, $F$11)</f>
        <v>6.3140000000000001</v>
      </c>
      <c r="F156" s="4">
        <f>CHOOSE( CONTROL!$C$36, 7.0308, 7.0292) * CHOOSE(CONTROL!$C$19, $D$11, 100%, $F$11)</f>
        <v>7.0308000000000002</v>
      </c>
      <c r="G156" s="8">
        <f>CHOOSE( CONTROL!$C$36, 6.2625, 6.2609) * CHOOSE( CONTROL!$C$19, $D$11, 100%, $F$11)</f>
        <v>6.2625000000000002</v>
      </c>
      <c r="H156" s="4">
        <f>CHOOSE( CONTROL!$C$36, 7.2066, 7.2049) * CHOOSE(CONTROL!$C$19, $D$11, 100%, $F$11)</f>
        <v>7.2065999999999999</v>
      </c>
      <c r="I156" s="8">
        <f>CHOOSE( CONTROL!$C$36, 6.248, 6.2464) * CHOOSE(CONTROL!$C$19, $D$11, 100%, $F$11)</f>
        <v>6.2480000000000002</v>
      </c>
      <c r="J156" s="4">
        <f>CHOOSE( CONTROL!$C$36, 6.1127, 6.1111) * CHOOSE(CONTROL!$C$19, $D$11, 100%, $F$11)</f>
        <v>6.1127000000000002</v>
      </c>
      <c r="K156" s="4"/>
      <c r="L156" s="9">
        <v>30.7165</v>
      </c>
      <c r="M156" s="9">
        <v>12.063700000000001</v>
      </c>
      <c r="N156" s="9">
        <v>4.9444999999999997</v>
      </c>
      <c r="O156" s="9">
        <v>0.37409999999999999</v>
      </c>
      <c r="P156" s="9">
        <v>1.2927</v>
      </c>
      <c r="Q156" s="9">
        <v>32.254300000000001</v>
      </c>
      <c r="R156" s="9"/>
      <c r="S156" s="11"/>
    </row>
    <row r="157" spans="1:19" ht="15.75">
      <c r="A157" s="13">
        <v>45901</v>
      </c>
      <c r="B157" s="8">
        <f>CHOOSE( CONTROL!$C$36, 6.1656, 6.1639) * CHOOSE(CONTROL!$C$19, $D$11, 100%, $F$11)</f>
        <v>6.1656000000000004</v>
      </c>
      <c r="C157" s="8">
        <f>CHOOSE( CONTROL!$C$36, 6.1736, 6.1719) * CHOOSE(CONTROL!$C$19, $D$11, 100%, $F$11)</f>
        <v>6.1736000000000004</v>
      </c>
      <c r="D157" s="8">
        <f>CHOOSE( CONTROL!$C$36, 6.1882, 6.1865) * CHOOSE( CONTROL!$C$19, $D$11, 100%, $F$11)</f>
        <v>6.1882000000000001</v>
      </c>
      <c r="E157" s="12">
        <f>CHOOSE( CONTROL!$C$36, 6.1817, 6.18) * CHOOSE( CONTROL!$C$19, $D$11, 100%, $F$11)</f>
        <v>6.1817000000000002</v>
      </c>
      <c r="F157" s="4">
        <f>CHOOSE( CONTROL!$C$36, 6.8986, 6.897) * CHOOSE(CONTROL!$C$19, $D$11, 100%, $F$11)</f>
        <v>6.8986000000000001</v>
      </c>
      <c r="G157" s="8">
        <f>CHOOSE( CONTROL!$C$36, 6.1321, 6.1304) * CHOOSE( CONTROL!$C$19, $D$11, 100%, $F$11)</f>
        <v>6.1321000000000003</v>
      </c>
      <c r="H157" s="4">
        <f>CHOOSE( CONTROL!$C$36, 7.0762, 7.0746) * CHOOSE(CONTROL!$C$19, $D$11, 100%, $F$11)</f>
        <v>7.0762</v>
      </c>
      <c r="I157" s="8">
        <f>CHOOSE( CONTROL!$C$36, 6.1196, 6.118) * CHOOSE(CONTROL!$C$19, $D$11, 100%, $F$11)</f>
        <v>6.1196000000000002</v>
      </c>
      <c r="J157" s="4">
        <f>CHOOSE( CONTROL!$C$36, 5.9847, 5.9831) * CHOOSE(CONTROL!$C$19, $D$11, 100%, $F$11)</f>
        <v>5.9847000000000001</v>
      </c>
      <c r="K157" s="4"/>
      <c r="L157" s="9">
        <v>29.7257</v>
      </c>
      <c r="M157" s="9">
        <v>11.6745</v>
      </c>
      <c r="N157" s="9">
        <v>4.7850000000000001</v>
      </c>
      <c r="O157" s="9">
        <v>0.36199999999999999</v>
      </c>
      <c r="P157" s="9">
        <v>1.2509999999999999</v>
      </c>
      <c r="Q157" s="9">
        <v>31.213799999999999</v>
      </c>
      <c r="R157" s="9"/>
      <c r="S157" s="11"/>
    </row>
    <row r="158" spans="1:19" ht="15.75">
      <c r="A158" s="13">
        <v>45931</v>
      </c>
      <c r="B158" s="8">
        <f>CHOOSE( CONTROL!$C$36, 6.4378, 6.4367) * CHOOSE(CONTROL!$C$19, $D$11, 100%, $F$11)</f>
        <v>6.4378000000000002</v>
      </c>
      <c r="C158" s="8">
        <f>CHOOSE( CONTROL!$C$36, 6.4431, 6.442) * CHOOSE(CONTROL!$C$19, $D$11, 100%, $F$11)</f>
        <v>6.4431000000000003</v>
      </c>
      <c r="D158" s="8">
        <f>CHOOSE( CONTROL!$C$36, 6.4636, 6.4625) * CHOOSE( CONTROL!$C$19, $D$11, 100%, $F$11)</f>
        <v>6.4635999999999996</v>
      </c>
      <c r="E158" s="12">
        <f>CHOOSE( CONTROL!$C$36, 6.4563, 6.4552) * CHOOSE( CONTROL!$C$19, $D$11, 100%, $F$11)</f>
        <v>6.4562999999999997</v>
      </c>
      <c r="F158" s="4">
        <f>CHOOSE( CONTROL!$C$36, 7.1725, 7.1714) * CHOOSE(CONTROL!$C$19, $D$11, 100%, $F$11)</f>
        <v>7.1725000000000003</v>
      </c>
      <c r="G158" s="8">
        <f>CHOOSE( CONTROL!$C$36, 6.4024, 6.4013) * CHOOSE( CONTROL!$C$19, $D$11, 100%, $F$11)</f>
        <v>6.4024000000000001</v>
      </c>
      <c r="H158" s="4">
        <f>CHOOSE( CONTROL!$C$36, 7.3463, 7.3452) * CHOOSE(CONTROL!$C$19, $D$11, 100%, $F$11)</f>
        <v>7.3463000000000003</v>
      </c>
      <c r="I158" s="8">
        <f>CHOOSE( CONTROL!$C$36, 6.386, 6.385) * CHOOSE(CONTROL!$C$19, $D$11, 100%, $F$11)</f>
        <v>6.3860000000000001</v>
      </c>
      <c r="J158" s="4">
        <f>CHOOSE( CONTROL!$C$36, 6.25, 6.2489) * CHOOSE(CONTROL!$C$19, $D$11, 100%, $F$11)</f>
        <v>6.25</v>
      </c>
      <c r="K158" s="4"/>
      <c r="L158" s="9">
        <v>31.095300000000002</v>
      </c>
      <c r="M158" s="9">
        <v>12.063700000000001</v>
      </c>
      <c r="N158" s="9">
        <v>4.9444999999999997</v>
      </c>
      <c r="O158" s="9">
        <v>0.37409999999999999</v>
      </c>
      <c r="P158" s="9">
        <v>1.2927</v>
      </c>
      <c r="Q158" s="9">
        <v>32.254300000000001</v>
      </c>
      <c r="R158" s="9"/>
      <c r="S158" s="11"/>
    </row>
    <row r="159" spans="1:19" ht="15.75">
      <c r="A159" s="13">
        <v>45962</v>
      </c>
      <c r="B159" s="8">
        <f>CHOOSE( CONTROL!$C$36, 6.944, 6.9429) * CHOOSE(CONTROL!$C$19, $D$11, 100%, $F$11)</f>
        <v>6.944</v>
      </c>
      <c r="C159" s="8">
        <f>CHOOSE( CONTROL!$C$36, 6.9491, 6.948) * CHOOSE(CONTROL!$C$19, $D$11, 100%, $F$11)</f>
        <v>6.9490999999999996</v>
      </c>
      <c r="D159" s="8">
        <f>CHOOSE( CONTROL!$C$36, 6.9284, 6.9273) * CHOOSE( CONTROL!$C$19, $D$11, 100%, $F$11)</f>
        <v>6.9283999999999999</v>
      </c>
      <c r="E159" s="12">
        <f>CHOOSE( CONTROL!$C$36, 6.9354, 6.9343) * CHOOSE( CONTROL!$C$19, $D$11, 100%, $F$11)</f>
        <v>6.9353999999999996</v>
      </c>
      <c r="F159" s="4">
        <f>CHOOSE( CONTROL!$C$36, 7.6033, 7.6022) * CHOOSE(CONTROL!$C$19, $D$11, 100%, $F$11)</f>
        <v>7.6032999999999999</v>
      </c>
      <c r="G159" s="8">
        <f>CHOOSE( CONTROL!$C$36, 6.8819, 6.8808) * CHOOSE( CONTROL!$C$19, $D$11, 100%, $F$11)</f>
        <v>6.8818999999999999</v>
      </c>
      <c r="H159" s="4">
        <f>CHOOSE( CONTROL!$C$36, 7.7711, 7.77) * CHOOSE(CONTROL!$C$19, $D$11, 100%, $F$11)</f>
        <v>7.7710999999999997</v>
      </c>
      <c r="I159" s="8">
        <f>CHOOSE( CONTROL!$C$36, 6.926, 6.9249) * CHOOSE(CONTROL!$C$19, $D$11, 100%, $F$11)</f>
        <v>6.9260000000000002</v>
      </c>
      <c r="J159" s="4">
        <f>CHOOSE( CONTROL!$C$36, 6.7406, 6.7395) * CHOOSE(CONTROL!$C$19, $D$11, 100%, $F$11)</f>
        <v>6.7405999999999997</v>
      </c>
      <c r="K159" s="4"/>
      <c r="L159" s="9">
        <v>28.360600000000002</v>
      </c>
      <c r="M159" s="9">
        <v>11.6745</v>
      </c>
      <c r="N159" s="9">
        <v>4.7850000000000001</v>
      </c>
      <c r="O159" s="9">
        <v>0.36199999999999999</v>
      </c>
      <c r="P159" s="9">
        <v>1.2509999999999999</v>
      </c>
      <c r="Q159" s="9">
        <v>31.213799999999999</v>
      </c>
      <c r="R159" s="9"/>
      <c r="S159" s="11"/>
    </row>
    <row r="160" spans="1:19" ht="15.75">
      <c r="A160" s="13">
        <v>45992</v>
      </c>
      <c r="B160" s="8">
        <f>CHOOSE( CONTROL!$C$36, 6.9314, 6.9303) * CHOOSE(CONTROL!$C$19, $D$11, 100%, $F$11)</f>
        <v>6.9314</v>
      </c>
      <c r="C160" s="8">
        <f>CHOOSE( CONTROL!$C$36, 6.9365, 6.9354) * CHOOSE(CONTROL!$C$19, $D$11, 100%, $F$11)</f>
        <v>6.9364999999999997</v>
      </c>
      <c r="D160" s="8">
        <f>CHOOSE( CONTROL!$C$36, 6.9171, 6.916) * CHOOSE( CONTROL!$C$19, $D$11, 100%, $F$11)</f>
        <v>6.9170999999999996</v>
      </c>
      <c r="E160" s="12">
        <f>CHOOSE( CONTROL!$C$36, 6.9237, 6.9226) * CHOOSE( CONTROL!$C$19, $D$11, 100%, $F$11)</f>
        <v>6.9237000000000002</v>
      </c>
      <c r="F160" s="4">
        <f>CHOOSE( CONTROL!$C$36, 7.5906, 7.5895) * CHOOSE(CONTROL!$C$19, $D$11, 100%, $F$11)</f>
        <v>7.5906000000000002</v>
      </c>
      <c r="G160" s="8">
        <f>CHOOSE( CONTROL!$C$36, 6.8704, 6.8693) * CHOOSE( CONTROL!$C$19, $D$11, 100%, $F$11)</f>
        <v>6.8704000000000001</v>
      </c>
      <c r="H160" s="4">
        <f>CHOOSE( CONTROL!$C$36, 7.7586, 7.7575) * CHOOSE(CONTROL!$C$19, $D$11, 100%, $F$11)</f>
        <v>7.7586000000000004</v>
      </c>
      <c r="I160" s="8">
        <f>CHOOSE( CONTROL!$C$36, 6.918, 6.9169) * CHOOSE(CONTROL!$C$19, $D$11, 100%, $F$11)</f>
        <v>6.9180000000000001</v>
      </c>
      <c r="J160" s="4">
        <f>CHOOSE( CONTROL!$C$36, 6.7283, 6.7273) * CHOOSE(CONTROL!$C$19, $D$11, 100%, $F$11)</f>
        <v>6.7282999999999999</v>
      </c>
      <c r="K160" s="4"/>
      <c r="L160" s="9">
        <v>29.306000000000001</v>
      </c>
      <c r="M160" s="9">
        <v>12.063700000000001</v>
      </c>
      <c r="N160" s="9">
        <v>4.9444999999999997</v>
      </c>
      <c r="O160" s="9">
        <v>0.37409999999999999</v>
      </c>
      <c r="P160" s="9">
        <v>1.2927</v>
      </c>
      <c r="Q160" s="9">
        <v>32.254300000000001</v>
      </c>
      <c r="R160" s="9"/>
      <c r="S160" s="11"/>
    </row>
    <row r="161" spans="1:19" ht="15.75">
      <c r="A161" s="13">
        <v>46023</v>
      </c>
      <c r="B161" s="8">
        <f>CHOOSE( CONTROL!$C$36, 7.1868, 7.1857) * CHOOSE(CONTROL!$C$19, $D$11, 100%, $F$11)</f>
        <v>7.1867999999999999</v>
      </c>
      <c r="C161" s="8">
        <f>CHOOSE( CONTROL!$C$36, 7.1918, 7.1908) * CHOOSE(CONTROL!$C$19, $D$11, 100%, $F$11)</f>
        <v>7.1917999999999997</v>
      </c>
      <c r="D161" s="8">
        <f>CHOOSE( CONTROL!$C$36, 7.1931, 7.1921) * CHOOSE( CONTROL!$C$19, $D$11, 100%, $F$11)</f>
        <v>7.1931000000000003</v>
      </c>
      <c r="E161" s="12">
        <f>CHOOSE( CONTROL!$C$36, 7.1921, 7.1911) * CHOOSE( CONTROL!$C$19, $D$11, 100%, $F$11)</f>
        <v>7.1920999999999999</v>
      </c>
      <c r="F161" s="4">
        <f>CHOOSE( CONTROL!$C$36, 7.846, 7.8449) * CHOOSE(CONTROL!$C$19, $D$11, 100%, $F$11)</f>
        <v>7.8460000000000001</v>
      </c>
      <c r="G161" s="8">
        <f>CHOOSE( CONTROL!$C$36, 7.1333, 7.1322) * CHOOSE( CONTROL!$C$19, $D$11, 100%, $F$11)</f>
        <v>7.1333000000000002</v>
      </c>
      <c r="H161" s="4">
        <f>CHOOSE( CONTROL!$C$36, 8.0104, 8.0093) * CHOOSE(CONTROL!$C$19, $D$11, 100%, $F$11)</f>
        <v>8.0104000000000006</v>
      </c>
      <c r="I161" s="8">
        <f>CHOOSE( CONTROL!$C$36, 7.1429, 7.1418) * CHOOSE(CONTROL!$C$19, $D$11, 100%, $F$11)</f>
        <v>7.1429</v>
      </c>
      <c r="J161" s="4">
        <f>CHOOSE( CONTROL!$C$36, 6.9756, 6.9745) * CHOOSE(CONTROL!$C$19, $D$11, 100%, $F$11)</f>
        <v>6.9756</v>
      </c>
      <c r="K161" s="4"/>
      <c r="L161" s="9">
        <v>29.306000000000001</v>
      </c>
      <c r="M161" s="9">
        <v>12.063700000000001</v>
      </c>
      <c r="N161" s="9">
        <v>4.9444999999999997</v>
      </c>
      <c r="O161" s="9">
        <v>0.37409999999999999</v>
      </c>
      <c r="P161" s="9">
        <v>1.2927</v>
      </c>
      <c r="Q161" s="9">
        <v>32.070099999999996</v>
      </c>
      <c r="R161" s="9"/>
      <c r="S161" s="11"/>
    </row>
    <row r="162" spans="1:19" ht="15.75">
      <c r="A162" s="13">
        <v>46054</v>
      </c>
      <c r="B162" s="8">
        <f>CHOOSE( CONTROL!$C$36, 6.7211, 6.72) * CHOOSE(CONTROL!$C$19, $D$11, 100%, $F$11)</f>
        <v>6.7210999999999999</v>
      </c>
      <c r="C162" s="8">
        <f>CHOOSE( CONTROL!$C$36, 6.7262, 6.7251) * CHOOSE(CONTROL!$C$19, $D$11, 100%, $F$11)</f>
        <v>6.7262000000000004</v>
      </c>
      <c r="D162" s="8">
        <f>CHOOSE( CONTROL!$C$36, 6.7274, 6.7263) * CHOOSE( CONTROL!$C$19, $D$11, 100%, $F$11)</f>
        <v>6.7274000000000003</v>
      </c>
      <c r="E162" s="12">
        <f>CHOOSE( CONTROL!$C$36, 6.7264, 6.7253) * CHOOSE( CONTROL!$C$19, $D$11, 100%, $F$11)</f>
        <v>6.7263999999999999</v>
      </c>
      <c r="F162" s="4">
        <f>CHOOSE( CONTROL!$C$36, 7.3804, 7.3793) * CHOOSE(CONTROL!$C$19, $D$11, 100%, $F$11)</f>
        <v>7.3803999999999998</v>
      </c>
      <c r="G162" s="8">
        <f>CHOOSE( CONTROL!$C$36, 6.674, 6.673) * CHOOSE( CONTROL!$C$19, $D$11, 100%, $F$11)</f>
        <v>6.6740000000000004</v>
      </c>
      <c r="H162" s="4">
        <f>CHOOSE( CONTROL!$C$36, 7.5512, 7.5502) * CHOOSE(CONTROL!$C$19, $D$11, 100%, $F$11)</f>
        <v>7.5511999999999997</v>
      </c>
      <c r="I162" s="8">
        <f>CHOOSE( CONTROL!$C$36, 6.6914, 6.6903) * CHOOSE(CONTROL!$C$19, $D$11, 100%, $F$11)</f>
        <v>6.6913999999999998</v>
      </c>
      <c r="J162" s="4">
        <f>CHOOSE( CONTROL!$C$36, 6.5247, 6.5236) * CHOOSE(CONTROL!$C$19, $D$11, 100%, $F$11)</f>
        <v>6.5247000000000002</v>
      </c>
      <c r="K162" s="4"/>
      <c r="L162" s="9">
        <v>26.469899999999999</v>
      </c>
      <c r="M162" s="9">
        <v>10.8962</v>
      </c>
      <c r="N162" s="9">
        <v>4.4660000000000002</v>
      </c>
      <c r="O162" s="9">
        <v>0.33789999999999998</v>
      </c>
      <c r="P162" s="9">
        <v>1.1676</v>
      </c>
      <c r="Q162" s="9">
        <v>28.9666</v>
      </c>
      <c r="R162" s="9"/>
      <c r="S162" s="11"/>
    </row>
    <row r="163" spans="1:19" ht="15.75">
      <c r="A163" s="13">
        <v>46082</v>
      </c>
      <c r="B163" s="8">
        <f>CHOOSE( CONTROL!$C$36, 6.5777, 6.5766) * CHOOSE(CONTROL!$C$19, $D$11, 100%, $F$11)</f>
        <v>6.5777000000000001</v>
      </c>
      <c r="C163" s="8">
        <f>CHOOSE( CONTROL!$C$36, 6.5828, 6.5817) * CHOOSE(CONTROL!$C$19, $D$11, 100%, $F$11)</f>
        <v>6.5827999999999998</v>
      </c>
      <c r="D163" s="8">
        <f>CHOOSE( CONTROL!$C$36, 6.5833, 6.5822) * CHOOSE( CONTROL!$C$19, $D$11, 100%, $F$11)</f>
        <v>6.5833000000000004</v>
      </c>
      <c r="E163" s="12">
        <f>CHOOSE( CONTROL!$C$36, 6.5826, 6.5815) * CHOOSE( CONTROL!$C$19, $D$11, 100%, $F$11)</f>
        <v>6.5826000000000002</v>
      </c>
      <c r="F163" s="4">
        <f>CHOOSE( CONTROL!$C$36, 7.2369, 7.2358) * CHOOSE(CONTROL!$C$19, $D$11, 100%, $F$11)</f>
        <v>7.2369000000000003</v>
      </c>
      <c r="G163" s="8">
        <f>CHOOSE( CONTROL!$C$36, 6.5321, 6.5311) * CHOOSE( CONTROL!$C$19, $D$11, 100%, $F$11)</f>
        <v>6.5320999999999998</v>
      </c>
      <c r="H163" s="4">
        <f>CHOOSE( CONTROL!$C$36, 7.4098, 7.4087) * CHOOSE(CONTROL!$C$19, $D$11, 100%, $F$11)</f>
        <v>7.4097999999999997</v>
      </c>
      <c r="I163" s="8">
        <f>CHOOSE( CONTROL!$C$36, 6.5504, 6.5494) * CHOOSE(CONTROL!$C$19, $D$11, 100%, $F$11)</f>
        <v>6.5503999999999998</v>
      </c>
      <c r="J163" s="4">
        <f>CHOOSE( CONTROL!$C$36, 6.3858, 6.3848) * CHOOSE(CONTROL!$C$19, $D$11, 100%, $F$11)</f>
        <v>6.3857999999999997</v>
      </c>
      <c r="K163" s="4"/>
      <c r="L163" s="9">
        <v>29.306000000000001</v>
      </c>
      <c r="M163" s="9">
        <v>12.063700000000001</v>
      </c>
      <c r="N163" s="9">
        <v>4.9444999999999997</v>
      </c>
      <c r="O163" s="9">
        <v>0.37409999999999999</v>
      </c>
      <c r="P163" s="9">
        <v>1.2927</v>
      </c>
      <c r="Q163" s="9">
        <v>32.070099999999996</v>
      </c>
      <c r="R163" s="9"/>
      <c r="S163" s="11"/>
    </row>
    <row r="164" spans="1:19" ht="15.75">
      <c r="A164" s="13">
        <v>46113</v>
      </c>
      <c r="B164" s="8">
        <f>CHOOSE( CONTROL!$C$36, 6.6787, 6.6776) * CHOOSE(CONTROL!$C$19, $D$11, 100%, $F$11)</f>
        <v>6.6787000000000001</v>
      </c>
      <c r="C164" s="8">
        <f>CHOOSE( CONTROL!$C$36, 6.6832, 6.6821) * CHOOSE(CONTROL!$C$19, $D$11, 100%, $F$11)</f>
        <v>6.6832000000000003</v>
      </c>
      <c r="D164" s="8">
        <f>CHOOSE( CONTROL!$C$36, 6.7036, 6.7025) * CHOOSE( CONTROL!$C$19, $D$11, 100%, $F$11)</f>
        <v>6.7035999999999998</v>
      </c>
      <c r="E164" s="12">
        <f>CHOOSE( CONTROL!$C$36, 6.6963, 6.6952) * CHOOSE( CONTROL!$C$19, $D$11, 100%, $F$11)</f>
        <v>6.6962999999999999</v>
      </c>
      <c r="F164" s="4">
        <f>CHOOSE( CONTROL!$C$36, 7.4131, 7.412) * CHOOSE(CONTROL!$C$19, $D$11, 100%, $F$11)</f>
        <v>7.4131</v>
      </c>
      <c r="G164" s="8">
        <f>CHOOSE( CONTROL!$C$36, 6.6391, 6.638) * CHOOSE( CONTROL!$C$19, $D$11, 100%, $F$11)</f>
        <v>6.6391</v>
      </c>
      <c r="H164" s="4">
        <f>CHOOSE( CONTROL!$C$36, 7.5835, 7.5824) * CHOOSE(CONTROL!$C$19, $D$11, 100%, $F$11)</f>
        <v>7.5834999999999999</v>
      </c>
      <c r="I164" s="8">
        <f>CHOOSE( CONTROL!$C$36, 6.617, 6.616) * CHOOSE(CONTROL!$C$19, $D$11, 100%, $F$11)</f>
        <v>6.617</v>
      </c>
      <c r="J164" s="4">
        <f>CHOOSE( CONTROL!$C$36, 6.4829, 6.4818) * CHOOSE(CONTROL!$C$19, $D$11, 100%, $F$11)</f>
        <v>6.4828999999999999</v>
      </c>
      <c r="K164" s="4"/>
      <c r="L164" s="9">
        <v>30.092199999999998</v>
      </c>
      <c r="M164" s="9">
        <v>11.6745</v>
      </c>
      <c r="N164" s="9">
        <v>4.7850000000000001</v>
      </c>
      <c r="O164" s="9">
        <v>0.36199999999999999</v>
      </c>
      <c r="P164" s="9">
        <v>1.2509999999999999</v>
      </c>
      <c r="Q164" s="9">
        <v>31.035599999999999</v>
      </c>
      <c r="R164" s="9"/>
      <c r="S164" s="11"/>
    </row>
    <row r="165" spans="1:19" ht="15.75">
      <c r="A165" s="13">
        <v>46143</v>
      </c>
      <c r="B165" s="8">
        <f>CHOOSE( CONTROL!$C$36, 6.859, 6.8573) * CHOOSE(CONTROL!$C$19, $D$11, 100%, $F$11)</f>
        <v>6.859</v>
      </c>
      <c r="C165" s="8">
        <f>CHOOSE( CONTROL!$C$36, 6.867, 6.8653) * CHOOSE(CONTROL!$C$19, $D$11, 100%, $F$11)</f>
        <v>6.867</v>
      </c>
      <c r="D165" s="8">
        <f>CHOOSE( CONTROL!$C$36, 6.8812, 6.8795) * CHOOSE( CONTROL!$C$19, $D$11, 100%, $F$11)</f>
        <v>6.8811999999999998</v>
      </c>
      <c r="E165" s="12">
        <f>CHOOSE( CONTROL!$C$36, 6.8748, 6.8731) * CHOOSE( CONTROL!$C$19, $D$11, 100%, $F$11)</f>
        <v>6.8747999999999996</v>
      </c>
      <c r="F165" s="4">
        <f>CHOOSE( CONTROL!$C$36, 7.592, 7.5903) * CHOOSE(CONTROL!$C$19, $D$11, 100%, $F$11)</f>
        <v>7.5919999999999996</v>
      </c>
      <c r="G165" s="8">
        <f>CHOOSE( CONTROL!$C$36, 6.8155, 6.8138) * CHOOSE( CONTROL!$C$19, $D$11, 100%, $F$11)</f>
        <v>6.8155000000000001</v>
      </c>
      <c r="H165" s="4">
        <f>CHOOSE( CONTROL!$C$36, 7.7599, 7.7583) * CHOOSE(CONTROL!$C$19, $D$11, 100%, $F$11)</f>
        <v>7.7599</v>
      </c>
      <c r="I165" s="8">
        <f>CHOOSE( CONTROL!$C$36, 6.79, 6.7884) * CHOOSE(CONTROL!$C$19, $D$11, 100%, $F$11)</f>
        <v>6.79</v>
      </c>
      <c r="J165" s="4">
        <f>CHOOSE( CONTROL!$C$36, 6.6561, 6.6545) * CHOOSE(CONTROL!$C$19, $D$11, 100%, $F$11)</f>
        <v>6.6561000000000003</v>
      </c>
      <c r="K165" s="4"/>
      <c r="L165" s="9">
        <v>30.7165</v>
      </c>
      <c r="M165" s="9">
        <v>12.063700000000001</v>
      </c>
      <c r="N165" s="9">
        <v>4.9444999999999997</v>
      </c>
      <c r="O165" s="9">
        <v>0.37409999999999999</v>
      </c>
      <c r="P165" s="9">
        <v>1.2927</v>
      </c>
      <c r="Q165" s="9">
        <v>32.070099999999996</v>
      </c>
      <c r="R165" s="9"/>
      <c r="S165" s="11"/>
    </row>
    <row r="166" spans="1:19" ht="15.75">
      <c r="A166" s="13">
        <v>46174</v>
      </c>
      <c r="B166" s="8">
        <f>CHOOSE( CONTROL!$C$36, 6.7485, 6.7468) * CHOOSE(CONTROL!$C$19, $D$11, 100%, $F$11)</f>
        <v>6.7484999999999999</v>
      </c>
      <c r="C166" s="8">
        <f>CHOOSE( CONTROL!$C$36, 6.7565, 6.7548) * CHOOSE(CONTROL!$C$19, $D$11, 100%, $F$11)</f>
        <v>6.7565</v>
      </c>
      <c r="D166" s="8">
        <f>CHOOSE( CONTROL!$C$36, 6.7709, 6.7692) * CHOOSE( CONTROL!$C$19, $D$11, 100%, $F$11)</f>
        <v>6.7709000000000001</v>
      </c>
      <c r="E166" s="12">
        <f>CHOOSE( CONTROL!$C$36, 6.7645, 6.7628) * CHOOSE( CONTROL!$C$19, $D$11, 100%, $F$11)</f>
        <v>6.7645</v>
      </c>
      <c r="F166" s="4">
        <f>CHOOSE( CONTROL!$C$36, 7.4815, 7.4798) * CHOOSE(CONTROL!$C$19, $D$11, 100%, $F$11)</f>
        <v>7.4814999999999996</v>
      </c>
      <c r="G166" s="8">
        <f>CHOOSE( CONTROL!$C$36, 6.7067, 6.705) * CHOOSE( CONTROL!$C$19, $D$11, 100%, $F$11)</f>
        <v>6.7066999999999997</v>
      </c>
      <c r="H166" s="4">
        <f>CHOOSE( CONTROL!$C$36, 7.651, 7.6493) * CHOOSE(CONTROL!$C$19, $D$11, 100%, $F$11)</f>
        <v>7.6509999999999998</v>
      </c>
      <c r="I166" s="8">
        <f>CHOOSE( CONTROL!$C$36, 6.6836, 6.682) * CHOOSE(CONTROL!$C$19, $D$11, 100%, $F$11)</f>
        <v>6.6836000000000002</v>
      </c>
      <c r="J166" s="4">
        <f>CHOOSE( CONTROL!$C$36, 6.5491, 6.5475) * CHOOSE(CONTROL!$C$19, $D$11, 100%, $F$11)</f>
        <v>6.5491000000000001</v>
      </c>
      <c r="K166" s="4"/>
      <c r="L166" s="9">
        <v>29.7257</v>
      </c>
      <c r="M166" s="9">
        <v>11.6745</v>
      </c>
      <c r="N166" s="9">
        <v>4.7850000000000001</v>
      </c>
      <c r="O166" s="9">
        <v>0.36199999999999999</v>
      </c>
      <c r="P166" s="9">
        <v>1.2509999999999999</v>
      </c>
      <c r="Q166" s="9">
        <v>31.035599999999999</v>
      </c>
      <c r="R166" s="9"/>
      <c r="S166" s="11"/>
    </row>
    <row r="167" spans="1:19" ht="15.75">
      <c r="A167" s="13">
        <v>46204</v>
      </c>
      <c r="B167" s="8">
        <f>CHOOSE( CONTROL!$C$36, 7.0394, 7.0378) * CHOOSE(CONTROL!$C$19, $D$11, 100%, $F$11)</f>
        <v>7.0393999999999997</v>
      </c>
      <c r="C167" s="8">
        <f>CHOOSE( CONTROL!$C$36, 7.0474, 7.0458) * CHOOSE(CONTROL!$C$19, $D$11, 100%, $F$11)</f>
        <v>7.0473999999999997</v>
      </c>
      <c r="D167" s="8">
        <f>CHOOSE( CONTROL!$C$36, 7.0621, 7.0604) * CHOOSE( CONTROL!$C$19, $D$11, 100%, $F$11)</f>
        <v>7.0621</v>
      </c>
      <c r="E167" s="12">
        <f>CHOOSE( CONTROL!$C$36, 7.0556, 7.0539) * CHOOSE( CONTROL!$C$19, $D$11, 100%, $F$11)</f>
        <v>7.0556000000000001</v>
      </c>
      <c r="F167" s="4">
        <f>CHOOSE( CONTROL!$C$36, 7.7725, 7.7708) * CHOOSE(CONTROL!$C$19, $D$11, 100%, $F$11)</f>
        <v>7.7725</v>
      </c>
      <c r="G167" s="8">
        <f>CHOOSE( CONTROL!$C$36, 6.9938, 6.9921) * CHOOSE( CONTROL!$C$19, $D$11, 100%, $F$11)</f>
        <v>6.9938000000000002</v>
      </c>
      <c r="H167" s="4">
        <f>CHOOSE( CONTROL!$C$36, 7.9379, 7.9362) * CHOOSE(CONTROL!$C$19, $D$11, 100%, $F$11)</f>
        <v>7.9379</v>
      </c>
      <c r="I167" s="8">
        <f>CHOOSE( CONTROL!$C$36, 6.9663, 6.9647) * CHOOSE(CONTROL!$C$19, $D$11, 100%, $F$11)</f>
        <v>6.9663000000000004</v>
      </c>
      <c r="J167" s="4">
        <f>CHOOSE( CONTROL!$C$36, 6.8309, 6.8293) * CHOOSE(CONTROL!$C$19, $D$11, 100%, $F$11)</f>
        <v>6.8308999999999997</v>
      </c>
      <c r="K167" s="4"/>
      <c r="L167" s="9">
        <v>30.7165</v>
      </c>
      <c r="M167" s="9">
        <v>12.063700000000001</v>
      </c>
      <c r="N167" s="9">
        <v>4.9444999999999997</v>
      </c>
      <c r="O167" s="9">
        <v>0.37409999999999999</v>
      </c>
      <c r="P167" s="9">
        <v>1.2927</v>
      </c>
      <c r="Q167" s="9">
        <v>32.070099999999996</v>
      </c>
      <c r="R167" s="9"/>
      <c r="S167" s="11"/>
    </row>
    <row r="168" spans="1:19" ht="15.75">
      <c r="A168" s="13">
        <v>46235</v>
      </c>
      <c r="B168" s="8">
        <f>CHOOSE( CONTROL!$C$36, 6.495, 6.4934) * CHOOSE(CONTROL!$C$19, $D$11, 100%, $F$11)</f>
        <v>6.4950000000000001</v>
      </c>
      <c r="C168" s="8">
        <f>CHOOSE( CONTROL!$C$36, 6.503, 6.5014) * CHOOSE(CONTROL!$C$19, $D$11, 100%, $F$11)</f>
        <v>6.5030000000000001</v>
      </c>
      <c r="D168" s="8">
        <f>CHOOSE( CONTROL!$C$36, 6.5177, 6.516) * CHOOSE( CONTROL!$C$19, $D$11, 100%, $F$11)</f>
        <v>6.5176999999999996</v>
      </c>
      <c r="E168" s="12">
        <f>CHOOSE( CONTROL!$C$36, 6.5112, 6.5095) * CHOOSE( CONTROL!$C$19, $D$11, 100%, $F$11)</f>
        <v>6.5111999999999997</v>
      </c>
      <c r="F168" s="4">
        <f>CHOOSE( CONTROL!$C$36, 7.228, 7.2264) * CHOOSE(CONTROL!$C$19, $D$11, 100%, $F$11)</f>
        <v>7.2279999999999998</v>
      </c>
      <c r="G168" s="8">
        <f>CHOOSE( CONTROL!$C$36, 6.457, 6.4553) * CHOOSE( CONTROL!$C$19, $D$11, 100%, $F$11)</f>
        <v>6.4569999999999999</v>
      </c>
      <c r="H168" s="4">
        <f>CHOOSE( CONTROL!$C$36, 7.401, 7.3994) * CHOOSE(CONTROL!$C$19, $D$11, 100%, $F$11)</f>
        <v>7.4009999999999998</v>
      </c>
      <c r="I168" s="8">
        <f>CHOOSE( CONTROL!$C$36, 6.4391, 6.4375) * CHOOSE(CONTROL!$C$19, $D$11, 100%, $F$11)</f>
        <v>6.4390999999999998</v>
      </c>
      <c r="J168" s="4">
        <f>CHOOSE( CONTROL!$C$36, 6.3037, 6.3021) * CHOOSE(CONTROL!$C$19, $D$11, 100%, $F$11)</f>
        <v>6.3037000000000001</v>
      </c>
      <c r="K168" s="4"/>
      <c r="L168" s="9">
        <v>30.7165</v>
      </c>
      <c r="M168" s="9">
        <v>12.063700000000001</v>
      </c>
      <c r="N168" s="9">
        <v>4.9444999999999997</v>
      </c>
      <c r="O168" s="9">
        <v>0.37409999999999999</v>
      </c>
      <c r="P168" s="9">
        <v>1.2927</v>
      </c>
      <c r="Q168" s="9">
        <v>32.070099999999996</v>
      </c>
      <c r="R168" s="9"/>
      <c r="S168" s="11"/>
    </row>
    <row r="169" spans="1:19" ht="15.75">
      <c r="A169" s="13">
        <v>46266</v>
      </c>
      <c r="B169" s="8">
        <f>CHOOSE( CONTROL!$C$36, 6.3587, 6.357) * CHOOSE(CONTROL!$C$19, $D$11, 100%, $F$11)</f>
        <v>6.3586999999999998</v>
      </c>
      <c r="C169" s="8">
        <f>CHOOSE( CONTROL!$C$36, 6.3667, 6.365) * CHOOSE(CONTROL!$C$19, $D$11, 100%, $F$11)</f>
        <v>6.3666999999999998</v>
      </c>
      <c r="D169" s="8">
        <f>CHOOSE( CONTROL!$C$36, 6.3813, 6.3796) * CHOOSE( CONTROL!$C$19, $D$11, 100%, $F$11)</f>
        <v>6.3813000000000004</v>
      </c>
      <c r="E169" s="12">
        <f>CHOOSE( CONTROL!$C$36, 6.3748, 6.3731) * CHOOSE( CONTROL!$C$19, $D$11, 100%, $F$11)</f>
        <v>6.3747999999999996</v>
      </c>
      <c r="F169" s="4">
        <f>CHOOSE( CONTROL!$C$36, 7.0917, 7.0901) * CHOOSE(CONTROL!$C$19, $D$11, 100%, $F$11)</f>
        <v>7.0917000000000003</v>
      </c>
      <c r="G169" s="8">
        <f>CHOOSE( CONTROL!$C$36, 6.3225, 6.3208) * CHOOSE( CONTROL!$C$19, $D$11, 100%, $F$11)</f>
        <v>6.3224999999999998</v>
      </c>
      <c r="H169" s="4">
        <f>CHOOSE( CONTROL!$C$36, 7.2666, 7.265) * CHOOSE(CONTROL!$C$19, $D$11, 100%, $F$11)</f>
        <v>7.2666000000000004</v>
      </c>
      <c r="I169" s="8">
        <f>CHOOSE( CONTROL!$C$36, 6.3067, 6.3051) * CHOOSE(CONTROL!$C$19, $D$11, 100%, $F$11)</f>
        <v>6.3067000000000002</v>
      </c>
      <c r="J169" s="4">
        <f>CHOOSE( CONTROL!$C$36, 6.1717, 6.1701) * CHOOSE(CONTROL!$C$19, $D$11, 100%, $F$11)</f>
        <v>6.1717000000000004</v>
      </c>
      <c r="K169" s="4"/>
      <c r="L169" s="9">
        <v>29.7257</v>
      </c>
      <c r="M169" s="9">
        <v>11.6745</v>
      </c>
      <c r="N169" s="9">
        <v>4.7850000000000001</v>
      </c>
      <c r="O169" s="9">
        <v>0.36199999999999999</v>
      </c>
      <c r="P169" s="9">
        <v>1.2509999999999999</v>
      </c>
      <c r="Q169" s="9">
        <v>31.035599999999999</v>
      </c>
      <c r="R169" s="9"/>
      <c r="S169" s="11"/>
    </row>
    <row r="170" spans="1:19" ht="15.75">
      <c r="A170" s="13">
        <v>46296</v>
      </c>
      <c r="B170" s="8">
        <f>CHOOSE( CONTROL!$C$36, 6.6395, 6.6384) * CHOOSE(CONTROL!$C$19, $D$11, 100%, $F$11)</f>
        <v>6.6395</v>
      </c>
      <c r="C170" s="8">
        <f>CHOOSE( CONTROL!$C$36, 6.6448, 6.6437) * CHOOSE(CONTROL!$C$19, $D$11, 100%, $F$11)</f>
        <v>6.6448</v>
      </c>
      <c r="D170" s="8">
        <f>CHOOSE( CONTROL!$C$36, 6.6653, 6.6642) * CHOOSE( CONTROL!$C$19, $D$11, 100%, $F$11)</f>
        <v>6.6653000000000002</v>
      </c>
      <c r="E170" s="12">
        <f>CHOOSE( CONTROL!$C$36, 6.658, 6.6569) * CHOOSE( CONTROL!$C$19, $D$11, 100%, $F$11)</f>
        <v>6.6580000000000004</v>
      </c>
      <c r="F170" s="4">
        <f>CHOOSE( CONTROL!$C$36, 7.3742, 7.3731) * CHOOSE(CONTROL!$C$19, $D$11, 100%, $F$11)</f>
        <v>7.3742000000000001</v>
      </c>
      <c r="G170" s="8">
        <f>CHOOSE( CONTROL!$C$36, 6.6012, 6.6002) * CHOOSE( CONTROL!$C$19, $D$11, 100%, $F$11)</f>
        <v>6.6012000000000004</v>
      </c>
      <c r="H170" s="4">
        <f>CHOOSE( CONTROL!$C$36, 7.5452, 7.5441) * CHOOSE(CONTROL!$C$19, $D$11, 100%, $F$11)</f>
        <v>7.5452000000000004</v>
      </c>
      <c r="I170" s="8">
        <f>CHOOSE( CONTROL!$C$36, 6.5814, 6.5803) * CHOOSE(CONTROL!$C$19, $D$11, 100%, $F$11)</f>
        <v>6.5814000000000004</v>
      </c>
      <c r="J170" s="4">
        <f>CHOOSE( CONTROL!$C$36, 6.4452, 6.4442) * CHOOSE(CONTROL!$C$19, $D$11, 100%, $F$11)</f>
        <v>6.4451999999999998</v>
      </c>
      <c r="K170" s="4"/>
      <c r="L170" s="9">
        <v>31.095300000000002</v>
      </c>
      <c r="M170" s="9">
        <v>12.063700000000001</v>
      </c>
      <c r="N170" s="9">
        <v>4.9444999999999997</v>
      </c>
      <c r="O170" s="9">
        <v>0.37409999999999999</v>
      </c>
      <c r="P170" s="9">
        <v>1.2927</v>
      </c>
      <c r="Q170" s="9">
        <v>32.070099999999996</v>
      </c>
      <c r="R170" s="9"/>
      <c r="S170" s="11"/>
    </row>
    <row r="171" spans="1:19" ht="15.75">
      <c r="A171" s="13">
        <v>46327</v>
      </c>
      <c r="B171" s="8">
        <f>CHOOSE( CONTROL!$C$36, 7.1615, 7.1605) * CHOOSE(CONTROL!$C$19, $D$11, 100%, $F$11)</f>
        <v>7.1615000000000002</v>
      </c>
      <c r="C171" s="8">
        <f>CHOOSE( CONTROL!$C$36, 7.1666, 7.1656) * CHOOSE(CONTROL!$C$19, $D$11, 100%, $F$11)</f>
        <v>7.1665999999999999</v>
      </c>
      <c r="D171" s="8">
        <f>CHOOSE( CONTROL!$C$36, 7.1459, 7.1448) * CHOOSE( CONTROL!$C$19, $D$11, 100%, $F$11)</f>
        <v>7.1459000000000001</v>
      </c>
      <c r="E171" s="12">
        <f>CHOOSE( CONTROL!$C$36, 7.1529, 7.1519) * CHOOSE( CONTROL!$C$19, $D$11, 100%, $F$11)</f>
        <v>7.1528999999999998</v>
      </c>
      <c r="F171" s="4">
        <f>CHOOSE( CONTROL!$C$36, 7.8208, 7.8197) * CHOOSE(CONTROL!$C$19, $D$11, 100%, $F$11)</f>
        <v>7.8208000000000002</v>
      </c>
      <c r="G171" s="8">
        <f>CHOOSE( CONTROL!$C$36, 7.0964, 7.0953) * CHOOSE( CONTROL!$C$19, $D$11, 100%, $F$11)</f>
        <v>7.0964</v>
      </c>
      <c r="H171" s="4">
        <f>CHOOSE( CONTROL!$C$36, 7.9855, 7.9845) * CHOOSE(CONTROL!$C$19, $D$11, 100%, $F$11)</f>
        <v>7.9855</v>
      </c>
      <c r="I171" s="8">
        <f>CHOOSE( CONTROL!$C$36, 7.1367, 7.1356) * CHOOSE(CONTROL!$C$19, $D$11, 100%, $F$11)</f>
        <v>7.1367000000000003</v>
      </c>
      <c r="J171" s="4">
        <f>CHOOSE( CONTROL!$C$36, 6.9512, 6.9501) * CHOOSE(CONTROL!$C$19, $D$11, 100%, $F$11)</f>
        <v>6.9512</v>
      </c>
      <c r="K171" s="4"/>
      <c r="L171" s="9">
        <v>28.360600000000002</v>
      </c>
      <c r="M171" s="9">
        <v>11.6745</v>
      </c>
      <c r="N171" s="9">
        <v>4.7850000000000001</v>
      </c>
      <c r="O171" s="9">
        <v>0.36199999999999999</v>
      </c>
      <c r="P171" s="9">
        <v>1.2509999999999999</v>
      </c>
      <c r="Q171" s="9">
        <v>31.035599999999999</v>
      </c>
      <c r="R171" s="9"/>
      <c r="S171" s="11"/>
    </row>
    <row r="172" spans="1:19" ht="15.75">
      <c r="A172" s="13">
        <v>46357</v>
      </c>
      <c r="B172" s="8">
        <f>CHOOSE( CONTROL!$C$36, 7.1485, 7.1474) * CHOOSE(CONTROL!$C$19, $D$11, 100%, $F$11)</f>
        <v>7.1485000000000003</v>
      </c>
      <c r="C172" s="8">
        <f>CHOOSE( CONTROL!$C$36, 7.1536, 7.1525) * CHOOSE(CONTROL!$C$19, $D$11, 100%, $F$11)</f>
        <v>7.1536</v>
      </c>
      <c r="D172" s="8">
        <f>CHOOSE( CONTROL!$C$36, 7.1342, 7.1331) * CHOOSE( CONTROL!$C$19, $D$11, 100%, $F$11)</f>
        <v>7.1341999999999999</v>
      </c>
      <c r="E172" s="12">
        <f>CHOOSE( CONTROL!$C$36, 7.1408, 7.1397) * CHOOSE( CONTROL!$C$19, $D$11, 100%, $F$11)</f>
        <v>7.1407999999999996</v>
      </c>
      <c r="F172" s="4">
        <f>CHOOSE( CONTROL!$C$36, 7.8077, 7.8067) * CHOOSE(CONTROL!$C$19, $D$11, 100%, $F$11)</f>
        <v>7.8076999999999996</v>
      </c>
      <c r="G172" s="8">
        <f>CHOOSE( CONTROL!$C$36, 7.0845, 7.0834) * CHOOSE( CONTROL!$C$19, $D$11, 100%, $F$11)</f>
        <v>7.0845000000000002</v>
      </c>
      <c r="H172" s="4">
        <f>CHOOSE( CONTROL!$C$36, 7.9727, 7.9716) * CHOOSE(CONTROL!$C$19, $D$11, 100%, $F$11)</f>
        <v>7.9726999999999997</v>
      </c>
      <c r="I172" s="8">
        <f>CHOOSE( CONTROL!$C$36, 7.1283, 7.1273) * CHOOSE(CONTROL!$C$19, $D$11, 100%, $F$11)</f>
        <v>7.1283000000000003</v>
      </c>
      <c r="J172" s="4">
        <f>CHOOSE( CONTROL!$C$36, 6.9385, 6.9375) * CHOOSE(CONTROL!$C$19, $D$11, 100%, $F$11)</f>
        <v>6.9385000000000003</v>
      </c>
      <c r="K172" s="4"/>
      <c r="L172" s="9">
        <v>29.306000000000001</v>
      </c>
      <c r="M172" s="9">
        <v>12.063700000000001</v>
      </c>
      <c r="N172" s="9">
        <v>4.9444999999999997</v>
      </c>
      <c r="O172" s="9">
        <v>0.37409999999999999</v>
      </c>
      <c r="P172" s="9">
        <v>1.2927</v>
      </c>
      <c r="Q172" s="9">
        <v>32.070099999999996</v>
      </c>
      <c r="R172" s="9"/>
      <c r="S172" s="11"/>
    </row>
    <row r="173" spans="1:19" ht="15.75">
      <c r="A173" s="13">
        <v>46388</v>
      </c>
      <c r="B173" s="8">
        <f>CHOOSE( CONTROL!$C$36, 7.4596, 7.4585) * CHOOSE(CONTROL!$C$19, $D$11, 100%, $F$11)</f>
        <v>7.4596</v>
      </c>
      <c r="C173" s="8">
        <f>CHOOSE( CONTROL!$C$36, 7.4647, 7.4636) * CHOOSE(CONTROL!$C$19, $D$11, 100%, $F$11)</f>
        <v>7.4646999999999997</v>
      </c>
      <c r="D173" s="8">
        <f>CHOOSE( CONTROL!$C$36, 7.466, 7.4649) * CHOOSE( CONTROL!$C$19, $D$11, 100%, $F$11)</f>
        <v>7.4660000000000002</v>
      </c>
      <c r="E173" s="12">
        <f>CHOOSE( CONTROL!$C$36, 7.465, 7.4639) * CHOOSE( CONTROL!$C$19, $D$11, 100%, $F$11)</f>
        <v>7.4649999999999999</v>
      </c>
      <c r="F173" s="4">
        <f>CHOOSE( CONTROL!$C$36, 8.1188, 8.1178) * CHOOSE(CONTROL!$C$19, $D$11, 100%, $F$11)</f>
        <v>8.1188000000000002</v>
      </c>
      <c r="G173" s="8">
        <f>CHOOSE( CONTROL!$C$36, 7.4023, 7.4012) * CHOOSE( CONTROL!$C$19, $D$11, 100%, $F$11)</f>
        <v>7.4023000000000003</v>
      </c>
      <c r="H173" s="4">
        <f>CHOOSE( CONTROL!$C$36, 8.2794, 8.2783) * CHOOSE(CONTROL!$C$19, $D$11, 100%, $F$11)</f>
        <v>8.2794000000000008</v>
      </c>
      <c r="I173" s="8">
        <f>CHOOSE( CONTROL!$C$36, 7.4072, 7.4062) * CHOOSE(CONTROL!$C$19, $D$11, 100%, $F$11)</f>
        <v>7.4071999999999996</v>
      </c>
      <c r="J173" s="4">
        <f>CHOOSE( CONTROL!$C$36, 7.2398, 7.2387) * CHOOSE(CONTROL!$C$19, $D$11, 100%, $F$11)</f>
        <v>7.2397999999999998</v>
      </c>
      <c r="K173" s="4"/>
      <c r="L173" s="9">
        <v>29.306000000000001</v>
      </c>
      <c r="M173" s="9">
        <v>12.063700000000001</v>
      </c>
      <c r="N173" s="9">
        <v>4.9444999999999997</v>
      </c>
      <c r="O173" s="9">
        <v>0.37409999999999999</v>
      </c>
      <c r="P173" s="9">
        <v>1.2927</v>
      </c>
      <c r="Q173" s="9">
        <v>31.885999999999999</v>
      </c>
      <c r="R173" s="9"/>
      <c r="S173" s="11"/>
    </row>
    <row r="174" spans="1:19" ht="15.75">
      <c r="A174" s="13">
        <v>46419</v>
      </c>
      <c r="B174" s="8">
        <f>CHOOSE( CONTROL!$C$36, 6.9763, 6.9752) * CHOOSE(CONTROL!$C$19, $D$11, 100%, $F$11)</f>
        <v>6.9763000000000002</v>
      </c>
      <c r="C174" s="8">
        <f>CHOOSE( CONTROL!$C$36, 6.9814, 6.9803) * CHOOSE(CONTROL!$C$19, $D$11, 100%, $F$11)</f>
        <v>6.9813999999999998</v>
      </c>
      <c r="D174" s="8">
        <f>CHOOSE( CONTROL!$C$36, 6.9826, 6.9815) * CHOOSE( CONTROL!$C$19, $D$11, 100%, $F$11)</f>
        <v>6.9825999999999997</v>
      </c>
      <c r="E174" s="12">
        <f>CHOOSE( CONTROL!$C$36, 6.9816, 6.9805) * CHOOSE( CONTROL!$C$19, $D$11, 100%, $F$11)</f>
        <v>6.9816000000000003</v>
      </c>
      <c r="F174" s="4">
        <f>CHOOSE( CONTROL!$C$36, 7.6355, 7.6345) * CHOOSE(CONTROL!$C$19, $D$11, 100%, $F$11)</f>
        <v>7.6355000000000004</v>
      </c>
      <c r="G174" s="8">
        <f>CHOOSE( CONTROL!$C$36, 6.9257, 6.9246) * CHOOSE( CONTROL!$C$19, $D$11, 100%, $F$11)</f>
        <v>6.9257</v>
      </c>
      <c r="H174" s="4">
        <f>CHOOSE( CONTROL!$C$36, 7.8029, 7.8018) * CHOOSE(CONTROL!$C$19, $D$11, 100%, $F$11)</f>
        <v>7.8029000000000002</v>
      </c>
      <c r="I174" s="8">
        <f>CHOOSE( CONTROL!$C$36, 6.9386, 6.9376) * CHOOSE(CONTROL!$C$19, $D$11, 100%, $F$11)</f>
        <v>6.9386000000000001</v>
      </c>
      <c r="J174" s="4">
        <f>CHOOSE( CONTROL!$C$36, 6.7718, 6.7708) * CHOOSE(CONTROL!$C$19, $D$11, 100%, $F$11)</f>
        <v>6.7717999999999998</v>
      </c>
      <c r="K174" s="4"/>
      <c r="L174" s="9">
        <v>26.469899999999999</v>
      </c>
      <c r="M174" s="9">
        <v>10.8962</v>
      </c>
      <c r="N174" s="9">
        <v>4.4660000000000002</v>
      </c>
      <c r="O174" s="9">
        <v>0.33789999999999998</v>
      </c>
      <c r="P174" s="9">
        <v>1.1676</v>
      </c>
      <c r="Q174" s="9">
        <v>28.8002</v>
      </c>
      <c r="R174" s="9"/>
      <c r="S174" s="11"/>
    </row>
    <row r="175" spans="1:19" ht="15.75">
      <c r="A175" s="13">
        <v>46447</v>
      </c>
      <c r="B175" s="8">
        <f>CHOOSE( CONTROL!$C$36, 6.8274, 6.8264) * CHOOSE(CONTROL!$C$19, $D$11, 100%, $F$11)</f>
        <v>6.8273999999999999</v>
      </c>
      <c r="C175" s="8">
        <f>CHOOSE( CONTROL!$C$36, 6.8325, 6.8315) * CHOOSE(CONTROL!$C$19, $D$11, 100%, $F$11)</f>
        <v>6.8324999999999996</v>
      </c>
      <c r="D175" s="8">
        <f>CHOOSE( CONTROL!$C$36, 6.8331, 6.832) * CHOOSE( CONTROL!$C$19, $D$11, 100%, $F$11)</f>
        <v>6.8331</v>
      </c>
      <c r="E175" s="12">
        <f>CHOOSE( CONTROL!$C$36, 6.8323, 6.8313) * CHOOSE( CONTROL!$C$19, $D$11, 100%, $F$11)</f>
        <v>6.8323</v>
      </c>
      <c r="F175" s="4">
        <f>CHOOSE( CONTROL!$C$36, 7.4867, 7.4856) * CHOOSE(CONTROL!$C$19, $D$11, 100%, $F$11)</f>
        <v>7.4866999999999999</v>
      </c>
      <c r="G175" s="8">
        <f>CHOOSE( CONTROL!$C$36, 6.7784, 6.7774) * CHOOSE( CONTROL!$C$19, $D$11, 100%, $F$11)</f>
        <v>6.7784000000000004</v>
      </c>
      <c r="H175" s="4">
        <f>CHOOSE( CONTROL!$C$36, 7.6561, 7.655) * CHOOSE(CONTROL!$C$19, $D$11, 100%, $F$11)</f>
        <v>7.6561000000000003</v>
      </c>
      <c r="I175" s="8">
        <f>CHOOSE( CONTROL!$C$36, 6.7924, 6.7914) * CHOOSE(CONTROL!$C$19, $D$11, 100%, $F$11)</f>
        <v>6.7923999999999998</v>
      </c>
      <c r="J175" s="4">
        <f>CHOOSE( CONTROL!$C$36, 6.6277, 6.6266) * CHOOSE(CONTROL!$C$19, $D$11, 100%, $F$11)</f>
        <v>6.6276999999999999</v>
      </c>
      <c r="K175" s="4"/>
      <c r="L175" s="9">
        <v>29.306000000000001</v>
      </c>
      <c r="M175" s="9">
        <v>12.063700000000001</v>
      </c>
      <c r="N175" s="9">
        <v>4.9444999999999997</v>
      </c>
      <c r="O175" s="9">
        <v>0.37409999999999999</v>
      </c>
      <c r="P175" s="9">
        <v>1.2927</v>
      </c>
      <c r="Q175" s="9">
        <v>31.885999999999999</v>
      </c>
      <c r="R175" s="9"/>
      <c r="S175" s="11"/>
    </row>
    <row r="176" spans="1:19" ht="15.75">
      <c r="A176" s="13">
        <v>46478</v>
      </c>
      <c r="B176" s="8">
        <f>CHOOSE( CONTROL!$C$36, 6.9322, 6.9311) * CHOOSE(CONTROL!$C$19, $D$11, 100%, $F$11)</f>
        <v>6.9321999999999999</v>
      </c>
      <c r="C176" s="8">
        <f>CHOOSE( CONTROL!$C$36, 6.9368, 6.9357) * CHOOSE(CONTROL!$C$19, $D$11, 100%, $F$11)</f>
        <v>6.9367999999999999</v>
      </c>
      <c r="D176" s="8">
        <f>CHOOSE( CONTROL!$C$36, 6.9571, 6.9561) * CHOOSE( CONTROL!$C$19, $D$11, 100%, $F$11)</f>
        <v>6.9570999999999996</v>
      </c>
      <c r="E176" s="12">
        <f>CHOOSE( CONTROL!$C$36, 6.9499, 6.9488) * CHOOSE( CONTROL!$C$19, $D$11, 100%, $F$11)</f>
        <v>6.9499000000000004</v>
      </c>
      <c r="F176" s="4">
        <f>CHOOSE( CONTROL!$C$36, 7.6666, 7.6655) * CHOOSE(CONTROL!$C$19, $D$11, 100%, $F$11)</f>
        <v>7.6665999999999999</v>
      </c>
      <c r="G176" s="8">
        <f>CHOOSE( CONTROL!$C$36, 6.8891, 6.888) * CHOOSE( CONTROL!$C$19, $D$11, 100%, $F$11)</f>
        <v>6.8891</v>
      </c>
      <c r="H176" s="4">
        <f>CHOOSE( CONTROL!$C$36, 7.8335, 7.8324) * CHOOSE(CONTROL!$C$19, $D$11, 100%, $F$11)</f>
        <v>7.8334999999999999</v>
      </c>
      <c r="I176" s="8">
        <f>CHOOSE( CONTROL!$C$36, 6.8627, 6.8616) * CHOOSE(CONTROL!$C$19, $D$11, 100%, $F$11)</f>
        <v>6.8627000000000002</v>
      </c>
      <c r="J176" s="4">
        <f>CHOOSE( CONTROL!$C$36, 6.7284, 6.7273) * CHOOSE(CONTROL!$C$19, $D$11, 100%, $F$11)</f>
        <v>6.7283999999999997</v>
      </c>
      <c r="K176" s="4"/>
      <c r="L176" s="9">
        <v>30.092199999999998</v>
      </c>
      <c r="M176" s="9">
        <v>11.6745</v>
      </c>
      <c r="N176" s="9">
        <v>4.7850000000000001</v>
      </c>
      <c r="O176" s="9">
        <v>0.36199999999999999</v>
      </c>
      <c r="P176" s="9">
        <v>1.2509999999999999</v>
      </c>
      <c r="Q176" s="9">
        <v>30.857399999999998</v>
      </c>
      <c r="R176" s="9"/>
      <c r="S176" s="11"/>
    </row>
    <row r="177" spans="1:19" ht="15.75">
      <c r="A177" s="13">
        <v>46508</v>
      </c>
      <c r="B177" s="8">
        <f>CHOOSE( CONTROL!$C$36, 7.1193, 7.1176) * CHOOSE(CONTROL!$C$19, $D$11, 100%, $F$11)</f>
        <v>7.1193</v>
      </c>
      <c r="C177" s="8">
        <f>CHOOSE( CONTROL!$C$36, 7.1273, 7.1256) * CHOOSE(CONTROL!$C$19, $D$11, 100%, $F$11)</f>
        <v>7.1273</v>
      </c>
      <c r="D177" s="8">
        <f>CHOOSE( CONTROL!$C$36, 7.1415, 7.1398) * CHOOSE( CONTROL!$C$19, $D$11, 100%, $F$11)</f>
        <v>7.1414999999999997</v>
      </c>
      <c r="E177" s="12">
        <f>CHOOSE( CONTROL!$C$36, 7.1351, 7.1334) * CHOOSE( CONTROL!$C$19, $D$11, 100%, $F$11)</f>
        <v>7.1351000000000004</v>
      </c>
      <c r="F177" s="4">
        <f>CHOOSE( CONTROL!$C$36, 7.8523, 7.8507) * CHOOSE(CONTROL!$C$19, $D$11, 100%, $F$11)</f>
        <v>7.8522999999999996</v>
      </c>
      <c r="G177" s="8">
        <f>CHOOSE( CONTROL!$C$36, 7.0721, 7.0705) * CHOOSE( CONTROL!$C$19, $D$11, 100%, $F$11)</f>
        <v>7.0720999999999998</v>
      </c>
      <c r="H177" s="4">
        <f>CHOOSE( CONTROL!$C$36, 8.0166, 8.015) * CHOOSE(CONTROL!$C$19, $D$11, 100%, $F$11)</f>
        <v>8.0166000000000004</v>
      </c>
      <c r="I177" s="8">
        <f>CHOOSE( CONTROL!$C$36, 7.0422, 7.0406) * CHOOSE(CONTROL!$C$19, $D$11, 100%, $F$11)</f>
        <v>7.0422000000000002</v>
      </c>
      <c r="J177" s="4">
        <f>CHOOSE( CONTROL!$C$36, 6.9082, 6.9066) * CHOOSE(CONTROL!$C$19, $D$11, 100%, $F$11)</f>
        <v>6.9081999999999999</v>
      </c>
      <c r="K177" s="4"/>
      <c r="L177" s="9">
        <v>30.7165</v>
      </c>
      <c r="M177" s="9">
        <v>12.063700000000001</v>
      </c>
      <c r="N177" s="9">
        <v>4.9444999999999997</v>
      </c>
      <c r="O177" s="9">
        <v>0.37409999999999999</v>
      </c>
      <c r="P177" s="9">
        <v>1.2927</v>
      </c>
      <c r="Q177" s="9">
        <v>31.885999999999999</v>
      </c>
      <c r="R177" s="9"/>
      <c r="S177" s="11"/>
    </row>
    <row r="178" spans="1:19" ht="15.75">
      <c r="A178" s="13">
        <v>46539</v>
      </c>
      <c r="B178" s="8">
        <f>CHOOSE( CONTROL!$C$36, 7.0046, 7.0029) * CHOOSE(CONTROL!$C$19, $D$11, 100%, $F$11)</f>
        <v>7.0045999999999999</v>
      </c>
      <c r="C178" s="8">
        <f>CHOOSE( CONTROL!$C$36, 7.0126, 7.0109) * CHOOSE(CONTROL!$C$19, $D$11, 100%, $F$11)</f>
        <v>7.0125999999999999</v>
      </c>
      <c r="D178" s="8">
        <f>CHOOSE( CONTROL!$C$36, 7.027, 7.0253) * CHOOSE( CONTROL!$C$19, $D$11, 100%, $F$11)</f>
        <v>7.0270000000000001</v>
      </c>
      <c r="E178" s="12">
        <f>CHOOSE( CONTROL!$C$36, 7.0206, 7.0189) * CHOOSE( CONTROL!$C$19, $D$11, 100%, $F$11)</f>
        <v>7.0206</v>
      </c>
      <c r="F178" s="4">
        <f>CHOOSE( CONTROL!$C$36, 7.7376, 7.736) * CHOOSE(CONTROL!$C$19, $D$11, 100%, $F$11)</f>
        <v>7.7375999999999996</v>
      </c>
      <c r="G178" s="8">
        <f>CHOOSE( CONTROL!$C$36, 6.9592, 6.9576) * CHOOSE( CONTROL!$C$19, $D$11, 100%, $F$11)</f>
        <v>6.9592000000000001</v>
      </c>
      <c r="H178" s="4">
        <f>CHOOSE( CONTROL!$C$36, 7.9035, 7.9019) * CHOOSE(CONTROL!$C$19, $D$11, 100%, $F$11)</f>
        <v>7.9035000000000002</v>
      </c>
      <c r="I178" s="8">
        <f>CHOOSE( CONTROL!$C$36, 6.9317, 6.9301) * CHOOSE(CONTROL!$C$19, $D$11, 100%, $F$11)</f>
        <v>6.9317000000000002</v>
      </c>
      <c r="J178" s="4">
        <f>CHOOSE( CONTROL!$C$36, 6.7972, 6.7955) * CHOOSE(CONTROL!$C$19, $D$11, 100%, $F$11)</f>
        <v>6.7972000000000001</v>
      </c>
      <c r="K178" s="4"/>
      <c r="L178" s="9">
        <v>29.7257</v>
      </c>
      <c r="M178" s="9">
        <v>11.6745</v>
      </c>
      <c r="N178" s="9">
        <v>4.7850000000000001</v>
      </c>
      <c r="O178" s="9">
        <v>0.36199999999999999</v>
      </c>
      <c r="P178" s="9">
        <v>1.2509999999999999</v>
      </c>
      <c r="Q178" s="9">
        <v>30.857399999999998</v>
      </c>
      <c r="R178" s="9"/>
      <c r="S178" s="11"/>
    </row>
    <row r="179" spans="1:19" ht="15.75">
      <c r="A179" s="13">
        <v>46569</v>
      </c>
      <c r="B179" s="8">
        <f>CHOOSE( CONTROL!$C$36, 7.3066, 7.3049) * CHOOSE(CONTROL!$C$19, $D$11, 100%, $F$11)</f>
        <v>7.3066000000000004</v>
      </c>
      <c r="C179" s="8">
        <f>CHOOSE( CONTROL!$C$36, 7.3146, 7.3129) * CHOOSE(CONTROL!$C$19, $D$11, 100%, $F$11)</f>
        <v>7.3146000000000004</v>
      </c>
      <c r="D179" s="8">
        <f>CHOOSE( CONTROL!$C$36, 7.3292, 7.3276) * CHOOSE( CONTROL!$C$19, $D$11, 100%, $F$11)</f>
        <v>7.3292000000000002</v>
      </c>
      <c r="E179" s="12">
        <f>CHOOSE( CONTROL!$C$36, 7.3227, 7.3211) * CHOOSE( CONTROL!$C$19, $D$11, 100%, $F$11)</f>
        <v>7.3227000000000002</v>
      </c>
      <c r="F179" s="4">
        <f>CHOOSE( CONTROL!$C$36, 8.0396, 8.038) * CHOOSE(CONTROL!$C$19, $D$11, 100%, $F$11)</f>
        <v>8.0396000000000001</v>
      </c>
      <c r="G179" s="8">
        <f>CHOOSE( CONTROL!$C$36, 7.2572, 7.2555) * CHOOSE( CONTROL!$C$19, $D$11, 100%, $F$11)</f>
        <v>7.2572000000000001</v>
      </c>
      <c r="H179" s="4">
        <f>CHOOSE( CONTROL!$C$36, 8.2013, 8.1997) * CHOOSE(CONTROL!$C$19, $D$11, 100%, $F$11)</f>
        <v>8.2012999999999998</v>
      </c>
      <c r="I179" s="8">
        <f>CHOOSE( CONTROL!$C$36, 7.2251, 7.2235) * CHOOSE(CONTROL!$C$19, $D$11, 100%, $F$11)</f>
        <v>7.2251000000000003</v>
      </c>
      <c r="J179" s="4">
        <f>CHOOSE( CONTROL!$C$36, 7.0896, 7.088) * CHOOSE(CONTROL!$C$19, $D$11, 100%, $F$11)</f>
        <v>7.0895999999999999</v>
      </c>
      <c r="K179" s="4"/>
      <c r="L179" s="9">
        <v>30.7165</v>
      </c>
      <c r="M179" s="9">
        <v>12.063700000000001</v>
      </c>
      <c r="N179" s="9">
        <v>4.9444999999999997</v>
      </c>
      <c r="O179" s="9">
        <v>0.37409999999999999</v>
      </c>
      <c r="P179" s="9">
        <v>1.2927</v>
      </c>
      <c r="Q179" s="9">
        <v>31.885999999999999</v>
      </c>
      <c r="R179" s="9"/>
      <c r="S179" s="11"/>
    </row>
    <row r="180" spans="1:19" ht="15.75">
      <c r="A180" s="13">
        <v>46600</v>
      </c>
      <c r="B180" s="8">
        <f>CHOOSE( CONTROL!$C$36, 6.7415, 6.7399) * CHOOSE(CONTROL!$C$19, $D$11, 100%, $F$11)</f>
        <v>6.7415000000000003</v>
      </c>
      <c r="C180" s="8">
        <f>CHOOSE( CONTROL!$C$36, 6.7495, 6.7479) * CHOOSE(CONTROL!$C$19, $D$11, 100%, $F$11)</f>
        <v>6.7495000000000003</v>
      </c>
      <c r="D180" s="8">
        <f>CHOOSE( CONTROL!$C$36, 6.7642, 6.7626) * CHOOSE( CONTROL!$C$19, $D$11, 100%, $F$11)</f>
        <v>6.7641999999999998</v>
      </c>
      <c r="E180" s="12">
        <f>CHOOSE( CONTROL!$C$36, 6.7577, 6.7561) * CHOOSE( CONTROL!$C$19, $D$11, 100%, $F$11)</f>
        <v>6.7576999999999998</v>
      </c>
      <c r="F180" s="4">
        <f>CHOOSE( CONTROL!$C$36, 7.4746, 7.4729) * CHOOSE(CONTROL!$C$19, $D$11, 100%, $F$11)</f>
        <v>7.4745999999999997</v>
      </c>
      <c r="G180" s="8">
        <f>CHOOSE( CONTROL!$C$36, 6.7001, 6.6984) * CHOOSE( CONTROL!$C$19, $D$11, 100%, $F$11)</f>
        <v>6.7000999999999999</v>
      </c>
      <c r="H180" s="4">
        <f>CHOOSE( CONTROL!$C$36, 7.6441, 7.6425) * CHOOSE(CONTROL!$C$19, $D$11, 100%, $F$11)</f>
        <v>7.6440999999999999</v>
      </c>
      <c r="I180" s="8">
        <f>CHOOSE( CONTROL!$C$36, 6.6779, 6.6763) * CHOOSE(CONTROL!$C$19, $D$11, 100%, $F$11)</f>
        <v>6.6779000000000002</v>
      </c>
      <c r="J180" s="4">
        <f>CHOOSE( CONTROL!$C$36, 6.5424, 6.5408) * CHOOSE(CONTROL!$C$19, $D$11, 100%, $F$11)</f>
        <v>6.5423999999999998</v>
      </c>
      <c r="K180" s="4"/>
      <c r="L180" s="9">
        <v>30.7165</v>
      </c>
      <c r="M180" s="9">
        <v>12.063700000000001</v>
      </c>
      <c r="N180" s="9">
        <v>4.9444999999999997</v>
      </c>
      <c r="O180" s="9">
        <v>0.37409999999999999</v>
      </c>
      <c r="P180" s="9">
        <v>1.2927</v>
      </c>
      <c r="Q180" s="9">
        <v>31.885999999999999</v>
      </c>
      <c r="R180" s="9"/>
      <c r="S180" s="11"/>
    </row>
    <row r="181" spans="1:19" ht="15.75">
      <c r="A181" s="13">
        <v>46631</v>
      </c>
      <c r="B181" s="8">
        <f>CHOOSE( CONTROL!$C$36, 6.6, 6.5984) * CHOOSE(CONTROL!$C$19, $D$11, 100%, $F$11)</f>
        <v>6.6</v>
      </c>
      <c r="C181" s="8">
        <f>CHOOSE( CONTROL!$C$36, 6.608, 6.6064) * CHOOSE(CONTROL!$C$19, $D$11, 100%, $F$11)</f>
        <v>6.6079999999999997</v>
      </c>
      <c r="D181" s="8">
        <f>CHOOSE( CONTROL!$C$36, 6.6226, 6.621) * CHOOSE( CONTROL!$C$19, $D$11, 100%, $F$11)</f>
        <v>6.6226000000000003</v>
      </c>
      <c r="E181" s="12">
        <f>CHOOSE( CONTROL!$C$36, 6.6161, 6.6145) * CHOOSE( CONTROL!$C$19, $D$11, 100%, $F$11)</f>
        <v>6.6161000000000003</v>
      </c>
      <c r="F181" s="4">
        <f>CHOOSE( CONTROL!$C$36, 7.3331, 7.3314) * CHOOSE(CONTROL!$C$19, $D$11, 100%, $F$11)</f>
        <v>7.3331</v>
      </c>
      <c r="G181" s="8">
        <f>CHOOSE( CONTROL!$C$36, 6.5605, 6.5588) * CHOOSE( CONTROL!$C$19, $D$11, 100%, $F$11)</f>
        <v>6.5605000000000002</v>
      </c>
      <c r="H181" s="4">
        <f>CHOOSE( CONTROL!$C$36, 7.5046, 7.503) * CHOOSE(CONTROL!$C$19, $D$11, 100%, $F$11)</f>
        <v>7.5045999999999999</v>
      </c>
      <c r="I181" s="8">
        <f>CHOOSE( CONTROL!$C$36, 6.5405, 6.5389) * CHOOSE(CONTROL!$C$19, $D$11, 100%, $F$11)</f>
        <v>6.5404999999999998</v>
      </c>
      <c r="J181" s="4">
        <f>CHOOSE( CONTROL!$C$36, 6.4054, 6.4038) * CHOOSE(CONTROL!$C$19, $D$11, 100%, $F$11)</f>
        <v>6.4054000000000002</v>
      </c>
      <c r="K181" s="4"/>
      <c r="L181" s="9">
        <v>29.7257</v>
      </c>
      <c r="M181" s="9">
        <v>11.6745</v>
      </c>
      <c r="N181" s="9">
        <v>4.7850000000000001</v>
      </c>
      <c r="O181" s="9">
        <v>0.36199999999999999</v>
      </c>
      <c r="P181" s="9">
        <v>1.2509999999999999</v>
      </c>
      <c r="Q181" s="9">
        <v>30.857399999999998</v>
      </c>
      <c r="R181" s="9"/>
      <c r="S181" s="11"/>
    </row>
    <row r="182" spans="1:19" ht="15.75">
      <c r="A182" s="13">
        <v>46661</v>
      </c>
      <c r="B182" s="8">
        <f>CHOOSE( CONTROL!$C$36, 6.8915, 6.8905) * CHOOSE(CONTROL!$C$19, $D$11, 100%, $F$11)</f>
        <v>6.8914999999999997</v>
      </c>
      <c r="C182" s="8">
        <f>CHOOSE( CONTROL!$C$36, 6.8969, 6.8958) * CHOOSE(CONTROL!$C$19, $D$11, 100%, $F$11)</f>
        <v>6.8968999999999996</v>
      </c>
      <c r="D182" s="8">
        <f>CHOOSE( CONTROL!$C$36, 6.9174, 6.9163) * CHOOSE( CONTROL!$C$19, $D$11, 100%, $F$11)</f>
        <v>6.9173999999999998</v>
      </c>
      <c r="E182" s="12">
        <f>CHOOSE( CONTROL!$C$36, 6.9101, 6.909) * CHOOSE( CONTROL!$C$19, $D$11, 100%, $F$11)</f>
        <v>6.9100999999999999</v>
      </c>
      <c r="F182" s="4">
        <f>CHOOSE( CONTROL!$C$36, 7.6263, 7.6252) * CHOOSE(CONTROL!$C$19, $D$11, 100%, $F$11)</f>
        <v>7.6262999999999996</v>
      </c>
      <c r="G182" s="8">
        <f>CHOOSE( CONTROL!$C$36, 6.8498, 6.8487) * CHOOSE( CONTROL!$C$19, $D$11, 100%, $F$11)</f>
        <v>6.8498000000000001</v>
      </c>
      <c r="H182" s="4">
        <f>CHOOSE( CONTROL!$C$36, 7.7937, 7.7927) * CHOOSE(CONTROL!$C$19, $D$11, 100%, $F$11)</f>
        <v>7.7937000000000003</v>
      </c>
      <c r="I182" s="8">
        <f>CHOOSE( CONTROL!$C$36, 6.8256, 6.8246) * CHOOSE(CONTROL!$C$19, $D$11, 100%, $F$11)</f>
        <v>6.8255999999999997</v>
      </c>
      <c r="J182" s="4">
        <f>CHOOSE( CONTROL!$C$36, 6.6893, 6.6883) * CHOOSE(CONTROL!$C$19, $D$11, 100%, $F$11)</f>
        <v>6.6893000000000002</v>
      </c>
      <c r="K182" s="4"/>
      <c r="L182" s="9">
        <v>31.095300000000002</v>
      </c>
      <c r="M182" s="9">
        <v>12.063700000000001</v>
      </c>
      <c r="N182" s="9">
        <v>4.9444999999999997</v>
      </c>
      <c r="O182" s="9">
        <v>0.37409999999999999</v>
      </c>
      <c r="P182" s="9">
        <v>1.2927</v>
      </c>
      <c r="Q182" s="9">
        <v>31.885999999999999</v>
      </c>
      <c r="R182" s="9"/>
      <c r="S182" s="11"/>
    </row>
    <row r="183" spans="1:19" ht="15.75">
      <c r="A183" s="13">
        <v>46692</v>
      </c>
      <c r="B183" s="8">
        <f>CHOOSE( CONTROL!$C$36, 7.4334, 7.4323) * CHOOSE(CONTROL!$C$19, $D$11, 100%, $F$11)</f>
        <v>7.4333999999999998</v>
      </c>
      <c r="C183" s="8">
        <f>CHOOSE( CONTROL!$C$36, 7.4385, 7.4374) * CHOOSE(CONTROL!$C$19, $D$11, 100%, $F$11)</f>
        <v>7.4385000000000003</v>
      </c>
      <c r="D183" s="8">
        <f>CHOOSE( CONTROL!$C$36, 7.4177, 7.4167) * CHOOSE( CONTROL!$C$19, $D$11, 100%, $F$11)</f>
        <v>7.4177</v>
      </c>
      <c r="E183" s="12">
        <f>CHOOSE( CONTROL!$C$36, 7.4248, 7.4237) * CHOOSE( CONTROL!$C$19, $D$11, 100%, $F$11)</f>
        <v>7.4248000000000003</v>
      </c>
      <c r="F183" s="4">
        <f>CHOOSE( CONTROL!$C$36, 8.0927, 8.0916) * CHOOSE(CONTROL!$C$19, $D$11, 100%, $F$11)</f>
        <v>8.0927000000000007</v>
      </c>
      <c r="G183" s="8">
        <f>CHOOSE( CONTROL!$C$36, 7.3645, 7.3634) * CHOOSE( CONTROL!$C$19, $D$11, 100%, $F$11)</f>
        <v>7.3644999999999996</v>
      </c>
      <c r="H183" s="4">
        <f>CHOOSE( CONTROL!$C$36, 8.2536, 8.2525) * CHOOSE(CONTROL!$C$19, $D$11, 100%, $F$11)</f>
        <v>8.2536000000000005</v>
      </c>
      <c r="I183" s="8">
        <f>CHOOSE( CONTROL!$C$36, 7.4001, 7.399) * CHOOSE(CONTROL!$C$19, $D$11, 100%, $F$11)</f>
        <v>7.4001000000000001</v>
      </c>
      <c r="J183" s="4">
        <f>CHOOSE( CONTROL!$C$36, 7.2144, 7.2134) * CHOOSE(CONTROL!$C$19, $D$11, 100%, $F$11)</f>
        <v>7.2144000000000004</v>
      </c>
      <c r="K183" s="4"/>
      <c r="L183" s="9">
        <v>28.360600000000002</v>
      </c>
      <c r="M183" s="9">
        <v>11.6745</v>
      </c>
      <c r="N183" s="9">
        <v>4.7850000000000001</v>
      </c>
      <c r="O183" s="9">
        <v>0.36199999999999999</v>
      </c>
      <c r="P183" s="9">
        <v>1.2509999999999999</v>
      </c>
      <c r="Q183" s="9">
        <v>30.857399999999998</v>
      </c>
      <c r="R183" s="9"/>
      <c r="S183" s="11"/>
    </row>
    <row r="184" spans="1:19" ht="15.75">
      <c r="A184" s="13">
        <v>46722</v>
      </c>
      <c r="B184" s="8">
        <f>CHOOSE( CONTROL!$C$36, 7.4199, 7.4188) * CHOOSE(CONTROL!$C$19, $D$11, 100%, $F$11)</f>
        <v>7.4199000000000002</v>
      </c>
      <c r="C184" s="8">
        <f>CHOOSE( CONTROL!$C$36, 7.425, 7.4239) * CHOOSE(CONTROL!$C$19, $D$11, 100%, $F$11)</f>
        <v>7.4249999999999998</v>
      </c>
      <c r="D184" s="8">
        <f>CHOOSE( CONTROL!$C$36, 7.4056, 7.4045) * CHOOSE( CONTROL!$C$19, $D$11, 100%, $F$11)</f>
        <v>7.4055999999999997</v>
      </c>
      <c r="E184" s="12">
        <f>CHOOSE( CONTROL!$C$36, 7.4122, 7.4111) * CHOOSE( CONTROL!$C$19, $D$11, 100%, $F$11)</f>
        <v>7.4122000000000003</v>
      </c>
      <c r="F184" s="4">
        <f>CHOOSE( CONTROL!$C$36, 8.0791, 8.078) * CHOOSE(CONTROL!$C$19, $D$11, 100%, $F$11)</f>
        <v>8.0791000000000004</v>
      </c>
      <c r="G184" s="8">
        <f>CHOOSE( CONTROL!$C$36, 7.3521, 7.351) * CHOOSE( CONTROL!$C$19, $D$11, 100%, $F$11)</f>
        <v>7.3521000000000001</v>
      </c>
      <c r="H184" s="4">
        <f>CHOOSE( CONTROL!$C$36, 8.2403, 8.2392) * CHOOSE(CONTROL!$C$19, $D$11, 100%, $F$11)</f>
        <v>8.2402999999999995</v>
      </c>
      <c r="I184" s="8">
        <f>CHOOSE( CONTROL!$C$36, 7.3912, 7.3902) * CHOOSE(CONTROL!$C$19, $D$11, 100%, $F$11)</f>
        <v>7.3912000000000004</v>
      </c>
      <c r="J184" s="4">
        <f>CHOOSE( CONTROL!$C$36, 7.2013, 7.2003) * CHOOSE(CONTROL!$C$19, $D$11, 100%, $F$11)</f>
        <v>7.2012999999999998</v>
      </c>
      <c r="K184" s="4"/>
      <c r="L184" s="9">
        <v>29.306000000000001</v>
      </c>
      <c r="M184" s="9">
        <v>12.063700000000001</v>
      </c>
      <c r="N184" s="9">
        <v>4.9444999999999997</v>
      </c>
      <c r="O184" s="9">
        <v>0.37409999999999999</v>
      </c>
      <c r="P184" s="9">
        <v>1.2927</v>
      </c>
      <c r="Q184" s="9">
        <v>31.885999999999999</v>
      </c>
      <c r="R184" s="9"/>
      <c r="S184" s="11"/>
    </row>
    <row r="185" spans="1:19" ht="15.75">
      <c r="A185" s="13">
        <v>46753</v>
      </c>
      <c r="B185" s="8">
        <f>CHOOSE( CONTROL!$C$36, 7.7324, 7.7313) * CHOOSE(CONTROL!$C$19, $D$11, 100%, $F$11)</f>
        <v>7.7324000000000002</v>
      </c>
      <c r="C185" s="8">
        <f>CHOOSE( CONTROL!$C$36, 7.7375, 7.7364) * CHOOSE(CONTROL!$C$19, $D$11, 100%, $F$11)</f>
        <v>7.7374999999999998</v>
      </c>
      <c r="D185" s="8">
        <f>CHOOSE( CONTROL!$C$36, 7.7388, 7.7377) * CHOOSE( CONTROL!$C$19, $D$11, 100%, $F$11)</f>
        <v>7.7388000000000003</v>
      </c>
      <c r="E185" s="12">
        <f>CHOOSE( CONTROL!$C$36, 7.7378, 7.7367) * CHOOSE( CONTROL!$C$19, $D$11, 100%, $F$11)</f>
        <v>7.7378</v>
      </c>
      <c r="F185" s="4">
        <f>CHOOSE( CONTROL!$C$36, 8.3917, 8.3906) * CHOOSE(CONTROL!$C$19, $D$11, 100%, $F$11)</f>
        <v>8.3917000000000002</v>
      </c>
      <c r="G185" s="8">
        <f>CHOOSE( CONTROL!$C$36, 7.6713, 7.6703) * CHOOSE( CONTROL!$C$19, $D$11, 100%, $F$11)</f>
        <v>7.6712999999999996</v>
      </c>
      <c r="H185" s="4">
        <f>CHOOSE( CONTROL!$C$36, 8.5484, 8.5474) * CHOOSE(CONTROL!$C$19, $D$11, 100%, $F$11)</f>
        <v>8.5484000000000009</v>
      </c>
      <c r="I185" s="8">
        <f>CHOOSE( CONTROL!$C$36, 7.6715, 7.6705) * CHOOSE(CONTROL!$C$19, $D$11, 100%, $F$11)</f>
        <v>7.6715</v>
      </c>
      <c r="J185" s="4">
        <f>CHOOSE( CONTROL!$C$36, 7.504, 7.5029) * CHOOSE(CONTROL!$C$19, $D$11, 100%, $F$11)</f>
        <v>7.5039999999999996</v>
      </c>
      <c r="K185" s="4"/>
      <c r="L185" s="9">
        <v>29.306000000000001</v>
      </c>
      <c r="M185" s="9">
        <v>12.063700000000001</v>
      </c>
      <c r="N185" s="9">
        <v>4.9444999999999997</v>
      </c>
      <c r="O185" s="9">
        <v>0.37409999999999999</v>
      </c>
      <c r="P185" s="9">
        <v>1.2927</v>
      </c>
      <c r="Q185" s="9">
        <v>31.701799999999999</v>
      </c>
      <c r="R185" s="9"/>
      <c r="S185" s="11"/>
    </row>
    <row r="186" spans="1:19" ht="15.75">
      <c r="A186" s="13">
        <v>46784</v>
      </c>
      <c r="B186" s="8">
        <f>CHOOSE( CONTROL!$C$36, 7.2315, 7.2304) * CHOOSE(CONTROL!$C$19, $D$11, 100%, $F$11)</f>
        <v>7.2314999999999996</v>
      </c>
      <c r="C186" s="8">
        <f>CHOOSE( CONTROL!$C$36, 7.2366, 7.2355) * CHOOSE(CONTROL!$C$19, $D$11, 100%, $F$11)</f>
        <v>7.2366000000000001</v>
      </c>
      <c r="D186" s="8">
        <f>CHOOSE( CONTROL!$C$36, 7.2378, 7.2367) * CHOOSE( CONTROL!$C$19, $D$11, 100%, $F$11)</f>
        <v>7.2378</v>
      </c>
      <c r="E186" s="12">
        <f>CHOOSE( CONTROL!$C$36, 7.2368, 7.2357) * CHOOSE( CONTROL!$C$19, $D$11, 100%, $F$11)</f>
        <v>7.2367999999999997</v>
      </c>
      <c r="F186" s="4">
        <f>CHOOSE( CONTROL!$C$36, 7.8907, 7.8897) * CHOOSE(CONTROL!$C$19, $D$11, 100%, $F$11)</f>
        <v>7.8906999999999998</v>
      </c>
      <c r="G186" s="8">
        <f>CHOOSE( CONTROL!$C$36, 7.1773, 7.1762) * CHOOSE( CONTROL!$C$19, $D$11, 100%, $F$11)</f>
        <v>7.1772999999999998</v>
      </c>
      <c r="H186" s="4">
        <f>CHOOSE( CONTROL!$C$36, 8.0545, 8.0534) * CHOOSE(CONTROL!$C$19, $D$11, 100%, $F$11)</f>
        <v>8.0545000000000009</v>
      </c>
      <c r="I186" s="8">
        <f>CHOOSE( CONTROL!$C$36, 7.1858, 7.1848) * CHOOSE(CONTROL!$C$19, $D$11, 100%, $F$11)</f>
        <v>7.1858000000000004</v>
      </c>
      <c r="J186" s="4">
        <f>CHOOSE( CONTROL!$C$36, 7.0189, 7.0179) * CHOOSE(CONTROL!$C$19, $D$11, 100%, $F$11)</f>
        <v>7.0189000000000004</v>
      </c>
      <c r="K186" s="4"/>
      <c r="L186" s="9">
        <v>27.415299999999998</v>
      </c>
      <c r="M186" s="9">
        <v>11.285299999999999</v>
      </c>
      <c r="N186" s="9">
        <v>4.6254999999999997</v>
      </c>
      <c r="O186" s="9">
        <v>0.34989999999999999</v>
      </c>
      <c r="P186" s="9">
        <v>1.2093</v>
      </c>
      <c r="Q186" s="9">
        <v>29.656600000000001</v>
      </c>
      <c r="R186" s="9"/>
      <c r="S186" s="11"/>
    </row>
    <row r="187" spans="1:19" ht="15.75">
      <c r="A187" s="13">
        <v>46813</v>
      </c>
      <c r="B187" s="8">
        <f>CHOOSE( CONTROL!$C$36, 7.0772, 7.0761) * CHOOSE(CONTROL!$C$19, $D$11, 100%, $F$11)</f>
        <v>7.0772000000000004</v>
      </c>
      <c r="C187" s="8">
        <f>CHOOSE( CONTROL!$C$36, 7.0823, 7.0812) * CHOOSE(CONTROL!$C$19, $D$11, 100%, $F$11)</f>
        <v>7.0823</v>
      </c>
      <c r="D187" s="8">
        <f>CHOOSE( CONTROL!$C$36, 7.0828, 7.0817) * CHOOSE( CONTROL!$C$19, $D$11, 100%, $F$11)</f>
        <v>7.0827999999999998</v>
      </c>
      <c r="E187" s="12">
        <f>CHOOSE( CONTROL!$C$36, 7.0821, 7.081) * CHOOSE( CONTROL!$C$19, $D$11, 100%, $F$11)</f>
        <v>7.0820999999999996</v>
      </c>
      <c r="F187" s="4">
        <f>CHOOSE( CONTROL!$C$36, 7.7365, 7.7354) * CHOOSE(CONTROL!$C$19, $D$11, 100%, $F$11)</f>
        <v>7.7365000000000004</v>
      </c>
      <c r="G187" s="8">
        <f>CHOOSE( CONTROL!$C$36, 7.0247, 7.0236) * CHOOSE( CONTROL!$C$19, $D$11, 100%, $F$11)</f>
        <v>7.0247000000000002</v>
      </c>
      <c r="H187" s="4">
        <f>CHOOSE( CONTROL!$C$36, 7.9024, 7.9013) * CHOOSE(CONTROL!$C$19, $D$11, 100%, $F$11)</f>
        <v>7.9024000000000001</v>
      </c>
      <c r="I187" s="8">
        <f>CHOOSE( CONTROL!$C$36, 7.0344, 7.0333) * CHOOSE(CONTROL!$C$19, $D$11, 100%, $F$11)</f>
        <v>7.0343999999999998</v>
      </c>
      <c r="J187" s="4">
        <f>CHOOSE( CONTROL!$C$36, 6.8695, 6.8685) * CHOOSE(CONTROL!$C$19, $D$11, 100%, $F$11)</f>
        <v>6.8695000000000004</v>
      </c>
      <c r="K187" s="4"/>
      <c r="L187" s="9">
        <v>29.306000000000001</v>
      </c>
      <c r="M187" s="9">
        <v>12.063700000000001</v>
      </c>
      <c r="N187" s="9">
        <v>4.9444999999999997</v>
      </c>
      <c r="O187" s="9">
        <v>0.37409999999999999</v>
      </c>
      <c r="P187" s="9">
        <v>1.2927</v>
      </c>
      <c r="Q187" s="9">
        <v>31.701799999999999</v>
      </c>
      <c r="R187" s="9"/>
      <c r="S187" s="11"/>
    </row>
    <row r="188" spans="1:19" ht="15.75">
      <c r="A188" s="13">
        <v>46844</v>
      </c>
      <c r="B188" s="8">
        <f>CHOOSE( CONTROL!$C$36, 7.1858, 7.1847) * CHOOSE(CONTROL!$C$19, $D$11, 100%, $F$11)</f>
        <v>7.1858000000000004</v>
      </c>
      <c r="C188" s="8">
        <f>CHOOSE( CONTROL!$C$36, 7.1903, 7.1892) * CHOOSE(CONTROL!$C$19, $D$11, 100%, $F$11)</f>
        <v>7.1902999999999997</v>
      </c>
      <c r="D188" s="8">
        <f>CHOOSE( CONTROL!$C$36, 7.2107, 7.2096) * CHOOSE( CONTROL!$C$19, $D$11, 100%, $F$11)</f>
        <v>7.2107000000000001</v>
      </c>
      <c r="E188" s="12">
        <f>CHOOSE( CONTROL!$C$36, 7.2034, 7.2023) * CHOOSE( CONTROL!$C$19, $D$11, 100%, $F$11)</f>
        <v>7.2034000000000002</v>
      </c>
      <c r="F188" s="4">
        <f>CHOOSE( CONTROL!$C$36, 7.9202, 7.9191) * CHOOSE(CONTROL!$C$19, $D$11, 100%, $F$11)</f>
        <v>7.9202000000000004</v>
      </c>
      <c r="G188" s="8">
        <f>CHOOSE( CONTROL!$C$36, 7.1391, 7.138) * CHOOSE( CONTROL!$C$19, $D$11, 100%, $F$11)</f>
        <v>7.1391</v>
      </c>
      <c r="H188" s="4">
        <f>CHOOSE( CONTROL!$C$36, 8.0835, 8.0825) * CHOOSE(CONTROL!$C$19, $D$11, 100%, $F$11)</f>
        <v>8.0835000000000008</v>
      </c>
      <c r="I188" s="8">
        <f>CHOOSE( CONTROL!$C$36, 7.1083, 7.1073) * CHOOSE(CONTROL!$C$19, $D$11, 100%, $F$11)</f>
        <v>7.1082999999999998</v>
      </c>
      <c r="J188" s="4">
        <f>CHOOSE( CONTROL!$C$36, 6.9739, 6.9729) * CHOOSE(CONTROL!$C$19, $D$11, 100%, $F$11)</f>
        <v>6.9739000000000004</v>
      </c>
      <c r="K188" s="4"/>
      <c r="L188" s="9">
        <v>30.092199999999998</v>
      </c>
      <c r="M188" s="9">
        <v>11.6745</v>
      </c>
      <c r="N188" s="9">
        <v>4.7850000000000001</v>
      </c>
      <c r="O188" s="9">
        <v>0.36199999999999999</v>
      </c>
      <c r="P188" s="9">
        <v>1.2509999999999999</v>
      </c>
      <c r="Q188" s="9">
        <v>30.679200000000002</v>
      </c>
      <c r="R188" s="9"/>
      <c r="S188" s="11"/>
    </row>
    <row r="189" spans="1:19" ht="15.75">
      <c r="A189" s="13">
        <v>46874</v>
      </c>
      <c r="B189" s="8">
        <f>CHOOSE( CONTROL!$C$36, 7.3796, 7.3779) * CHOOSE(CONTROL!$C$19, $D$11, 100%, $F$11)</f>
        <v>7.3795999999999999</v>
      </c>
      <c r="C189" s="8">
        <f>CHOOSE( CONTROL!$C$36, 7.3876, 7.3859) * CHOOSE(CONTROL!$C$19, $D$11, 100%, $F$11)</f>
        <v>7.3875999999999999</v>
      </c>
      <c r="D189" s="8">
        <f>CHOOSE( CONTROL!$C$36, 7.4018, 7.4001) * CHOOSE( CONTROL!$C$19, $D$11, 100%, $F$11)</f>
        <v>7.4017999999999997</v>
      </c>
      <c r="E189" s="12">
        <f>CHOOSE( CONTROL!$C$36, 7.3954, 7.3937) * CHOOSE( CONTROL!$C$19, $D$11, 100%, $F$11)</f>
        <v>7.3954000000000004</v>
      </c>
      <c r="F189" s="4">
        <f>CHOOSE( CONTROL!$C$36, 8.1126, 8.111) * CHOOSE(CONTROL!$C$19, $D$11, 100%, $F$11)</f>
        <v>8.1126000000000005</v>
      </c>
      <c r="G189" s="8">
        <f>CHOOSE( CONTROL!$C$36, 7.3288, 7.3272) * CHOOSE( CONTROL!$C$19, $D$11, 100%, $F$11)</f>
        <v>7.3288000000000002</v>
      </c>
      <c r="H189" s="4">
        <f>CHOOSE( CONTROL!$C$36, 8.2733, 8.2717) * CHOOSE(CONTROL!$C$19, $D$11, 100%, $F$11)</f>
        <v>8.2733000000000008</v>
      </c>
      <c r="I189" s="8">
        <f>CHOOSE( CONTROL!$C$36, 7.2944, 7.2928) * CHOOSE(CONTROL!$C$19, $D$11, 100%, $F$11)</f>
        <v>7.2944000000000004</v>
      </c>
      <c r="J189" s="4">
        <f>CHOOSE( CONTROL!$C$36, 7.1603, 7.1587) * CHOOSE(CONTROL!$C$19, $D$11, 100%, $F$11)</f>
        <v>7.1603000000000003</v>
      </c>
      <c r="K189" s="4"/>
      <c r="L189" s="9">
        <v>30.7165</v>
      </c>
      <c r="M189" s="9">
        <v>12.063700000000001</v>
      </c>
      <c r="N189" s="9">
        <v>4.9444999999999997</v>
      </c>
      <c r="O189" s="9">
        <v>0.37409999999999999</v>
      </c>
      <c r="P189" s="9">
        <v>1.2927</v>
      </c>
      <c r="Q189" s="9">
        <v>31.701799999999999</v>
      </c>
      <c r="R189" s="9"/>
      <c r="S189" s="11"/>
    </row>
    <row r="190" spans="1:19" ht="15.75">
      <c r="A190" s="13">
        <v>46905</v>
      </c>
      <c r="B190" s="8">
        <f>CHOOSE( CONTROL!$C$36, 7.2607, 7.2591) * CHOOSE(CONTROL!$C$19, $D$11, 100%, $F$11)</f>
        <v>7.2606999999999999</v>
      </c>
      <c r="C190" s="8">
        <f>CHOOSE( CONTROL!$C$36, 7.2687, 7.2671) * CHOOSE(CONTROL!$C$19, $D$11, 100%, $F$11)</f>
        <v>7.2686999999999999</v>
      </c>
      <c r="D190" s="8">
        <f>CHOOSE( CONTROL!$C$36, 7.2831, 7.2815) * CHOOSE( CONTROL!$C$19, $D$11, 100%, $F$11)</f>
        <v>7.2831000000000001</v>
      </c>
      <c r="E190" s="12">
        <f>CHOOSE( CONTROL!$C$36, 7.2767, 7.2751) * CHOOSE( CONTROL!$C$19, $D$11, 100%, $F$11)</f>
        <v>7.2766999999999999</v>
      </c>
      <c r="F190" s="4">
        <f>CHOOSE( CONTROL!$C$36, 7.9938, 7.9921) * CHOOSE(CONTROL!$C$19, $D$11, 100%, $F$11)</f>
        <v>7.9938000000000002</v>
      </c>
      <c r="G190" s="8">
        <f>CHOOSE( CONTROL!$C$36, 7.2118, 7.2101) * CHOOSE( CONTROL!$C$19, $D$11, 100%, $F$11)</f>
        <v>7.2118000000000002</v>
      </c>
      <c r="H190" s="4">
        <f>CHOOSE( CONTROL!$C$36, 8.1561, 8.1545) * CHOOSE(CONTROL!$C$19, $D$11, 100%, $F$11)</f>
        <v>8.1561000000000003</v>
      </c>
      <c r="I190" s="8">
        <f>CHOOSE( CONTROL!$C$36, 7.1799, 7.1783) * CHOOSE(CONTROL!$C$19, $D$11, 100%, $F$11)</f>
        <v>7.1798999999999999</v>
      </c>
      <c r="J190" s="4">
        <f>CHOOSE( CONTROL!$C$36, 7.0452, 7.0436) * CHOOSE(CONTROL!$C$19, $D$11, 100%, $F$11)</f>
        <v>7.0452000000000004</v>
      </c>
      <c r="K190" s="4"/>
      <c r="L190" s="9">
        <v>29.7257</v>
      </c>
      <c r="M190" s="9">
        <v>11.6745</v>
      </c>
      <c r="N190" s="9">
        <v>4.7850000000000001</v>
      </c>
      <c r="O190" s="9">
        <v>0.36199999999999999</v>
      </c>
      <c r="P190" s="9">
        <v>1.2509999999999999</v>
      </c>
      <c r="Q190" s="9">
        <v>30.679200000000002</v>
      </c>
      <c r="R190" s="9"/>
      <c r="S190" s="11"/>
    </row>
    <row r="191" spans="1:19" ht="15.75">
      <c r="A191" s="13">
        <v>46935</v>
      </c>
      <c r="B191" s="8">
        <f>CHOOSE( CONTROL!$C$36, 7.5737, 7.5721) * CHOOSE(CONTROL!$C$19, $D$11, 100%, $F$11)</f>
        <v>7.5736999999999997</v>
      </c>
      <c r="C191" s="8">
        <f>CHOOSE( CONTROL!$C$36, 7.5817, 7.5801) * CHOOSE(CONTROL!$C$19, $D$11, 100%, $F$11)</f>
        <v>7.5816999999999997</v>
      </c>
      <c r="D191" s="8">
        <f>CHOOSE( CONTROL!$C$36, 7.5964, 7.5947) * CHOOSE( CONTROL!$C$19, $D$11, 100%, $F$11)</f>
        <v>7.5964</v>
      </c>
      <c r="E191" s="12">
        <f>CHOOSE( CONTROL!$C$36, 7.5899, 7.5882) * CHOOSE( CONTROL!$C$19, $D$11, 100%, $F$11)</f>
        <v>7.5899000000000001</v>
      </c>
      <c r="F191" s="4">
        <f>CHOOSE( CONTROL!$C$36, 8.3068, 8.3051) * CHOOSE(CONTROL!$C$19, $D$11, 100%, $F$11)</f>
        <v>8.3068000000000008</v>
      </c>
      <c r="G191" s="8">
        <f>CHOOSE( CONTROL!$C$36, 7.5206, 7.519) * CHOOSE( CONTROL!$C$19, $D$11, 100%, $F$11)</f>
        <v>7.5206</v>
      </c>
      <c r="H191" s="4">
        <f>CHOOSE( CONTROL!$C$36, 8.4647, 8.4631) * CHOOSE(CONTROL!$C$19, $D$11, 100%, $F$11)</f>
        <v>8.4647000000000006</v>
      </c>
      <c r="I191" s="8">
        <f>CHOOSE( CONTROL!$C$36, 7.484, 7.4823) * CHOOSE(CONTROL!$C$19, $D$11, 100%, $F$11)</f>
        <v>7.484</v>
      </c>
      <c r="J191" s="4">
        <f>CHOOSE( CONTROL!$C$36, 7.3483, 7.3466) * CHOOSE(CONTROL!$C$19, $D$11, 100%, $F$11)</f>
        <v>7.3483000000000001</v>
      </c>
      <c r="K191" s="4"/>
      <c r="L191" s="9">
        <v>30.7165</v>
      </c>
      <c r="M191" s="9">
        <v>12.063700000000001</v>
      </c>
      <c r="N191" s="9">
        <v>4.9444999999999997</v>
      </c>
      <c r="O191" s="9">
        <v>0.37409999999999999</v>
      </c>
      <c r="P191" s="9">
        <v>1.2927</v>
      </c>
      <c r="Q191" s="9">
        <v>31.701799999999999</v>
      </c>
      <c r="R191" s="9"/>
      <c r="S191" s="11"/>
    </row>
    <row r="192" spans="1:19" ht="15.75">
      <c r="A192" s="13">
        <v>46966</v>
      </c>
      <c r="B192" s="8">
        <f>CHOOSE( CONTROL!$C$36, 6.9881, 6.9864) * CHOOSE(CONTROL!$C$19, $D$11, 100%, $F$11)</f>
        <v>6.9881000000000002</v>
      </c>
      <c r="C192" s="8">
        <f>CHOOSE( CONTROL!$C$36, 6.9961, 6.9944) * CHOOSE(CONTROL!$C$19, $D$11, 100%, $F$11)</f>
        <v>6.9961000000000002</v>
      </c>
      <c r="D192" s="8">
        <f>CHOOSE( CONTROL!$C$36, 7.0108, 7.0091) * CHOOSE( CONTROL!$C$19, $D$11, 100%, $F$11)</f>
        <v>7.0107999999999997</v>
      </c>
      <c r="E192" s="12">
        <f>CHOOSE( CONTROL!$C$36, 7.0043, 7.0026) * CHOOSE( CONTROL!$C$19, $D$11, 100%, $F$11)</f>
        <v>7.0042999999999997</v>
      </c>
      <c r="F192" s="4">
        <f>CHOOSE( CONTROL!$C$36, 7.7211, 7.7194) * CHOOSE(CONTROL!$C$19, $D$11, 100%, $F$11)</f>
        <v>7.7210999999999999</v>
      </c>
      <c r="G192" s="8">
        <f>CHOOSE( CONTROL!$C$36, 6.9432, 6.9415) * CHOOSE( CONTROL!$C$19, $D$11, 100%, $F$11)</f>
        <v>6.9432</v>
      </c>
      <c r="H192" s="4">
        <f>CHOOSE( CONTROL!$C$36, 7.8872, 7.8856) * CHOOSE(CONTROL!$C$19, $D$11, 100%, $F$11)</f>
        <v>7.8872</v>
      </c>
      <c r="I192" s="8">
        <f>CHOOSE( CONTROL!$C$36, 6.9168, 6.9152) * CHOOSE(CONTROL!$C$19, $D$11, 100%, $F$11)</f>
        <v>6.9168000000000003</v>
      </c>
      <c r="J192" s="4">
        <f>CHOOSE( CONTROL!$C$36, 6.7812, 6.7795) * CHOOSE(CONTROL!$C$19, $D$11, 100%, $F$11)</f>
        <v>6.7812000000000001</v>
      </c>
      <c r="K192" s="4"/>
      <c r="L192" s="9">
        <v>30.7165</v>
      </c>
      <c r="M192" s="9">
        <v>12.063700000000001</v>
      </c>
      <c r="N192" s="9">
        <v>4.9444999999999997</v>
      </c>
      <c r="O192" s="9">
        <v>0.37409999999999999</v>
      </c>
      <c r="P192" s="9">
        <v>1.2927</v>
      </c>
      <c r="Q192" s="9">
        <v>31.701799999999999</v>
      </c>
      <c r="R192" s="9"/>
      <c r="S192" s="11"/>
    </row>
    <row r="193" spans="1:19" ht="15.75">
      <c r="A193" s="13">
        <v>46997</v>
      </c>
      <c r="B193" s="8">
        <f>CHOOSE( CONTROL!$C$36, 6.8414, 6.8398) * CHOOSE(CONTROL!$C$19, $D$11, 100%, $F$11)</f>
        <v>6.8414000000000001</v>
      </c>
      <c r="C193" s="8">
        <f>CHOOSE( CONTROL!$C$36, 6.8494, 6.8478) * CHOOSE(CONTROL!$C$19, $D$11, 100%, $F$11)</f>
        <v>6.8494000000000002</v>
      </c>
      <c r="D193" s="8">
        <f>CHOOSE( CONTROL!$C$36, 6.864, 6.8623) * CHOOSE( CONTROL!$C$19, $D$11, 100%, $F$11)</f>
        <v>6.8639999999999999</v>
      </c>
      <c r="E193" s="12">
        <f>CHOOSE( CONTROL!$C$36, 6.8575, 6.8558) * CHOOSE( CONTROL!$C$19, $D$11, 100%, $F$11)</f>
        <v>6.8574999999999999</v>
      </c>
      <c r="F193" s="4">
        <f>CHOOSE( CONTROL!$C$36, 7.5744, 7.5728) * CHOOSE(CONTROL!$C$19, $D$11, 100%, $F$11)</f>
        <v>7.5743999999999998</v>
      </c>
      <c r="G193" s="8">
        <f>CHOOSE( CONTROL!$C$36, 6.7985, 6.7968) * CHOOSE( CONTROL!$C$19, $D$11, 100%, $F$11)</f>
        <v>6.7984999999999998</v>
      </c>
      <c r="H193" s="4">
        <f>CHOOSE( CONTROL!$C$36, 7.7426, 7.741) * CHOOSE(CONTROL!$C$19, $D$11, 100%, $F$11)</f>
        <v>7.7426000000000004</v>
      </c>
      <c r="I193" s="8">
        <f>CHOOSE( CONTROL!$C$36, 6.7743, 6.7727) * CHOOSE(CONTROL!$C$19, $D$11, 100%, $F$11)</f>
        <v>6.7743000000000002</v>
      </c>
      <c r="J193" s="4">
        <f>CHOOSE( CONTROL!$C$36, 6.6391, 6.6375) * CHOOSE(CONTROL!$C$19, $D$11, 100%, $F$11)</f>
        <v>6.6391</v>
      </c>
      <c r="K193" s="4"/>
      <c r="L193" s="9">
        <v>29.7257</v>
      </c>
      <c r="M193" s="9">
        <v>11.6745</v>
      </c>
      <c r="N193" s="9">
        <v>4.7850000000000001</v>
      </c>
      <c r="O193" s="9">
        <v>0.36199999999999999</v>
      </c>
      <c r="P193" s="9">
        <v>1.2509999999999999</v>
      </c>
      <c r="Q193" s="9">
        <v>30.679200000000002</v>
      </c>
      <c r="R193" s="9"/>
      <c r="S193" s="11"/>
    </row>
    <row r="194" spans="1:19" ht="15.75">
      <c r="A194" s="13">
        <v>47027</v>
      </c>
      <c r="B194" s="8">
        <f>CHOOSE( CONTROL!$C$36, 7.1436, 7.1425) * CHOOSE(CONTROL!$C$19, $D$11, 100%, $F$11)</f>
        <v>7.1436000000000002</v>
      </c>
      <c r="C194" s="8">
        <f>CHOOSE( CONTROL!$C$36, 7.149, 7.1479) * CHOOSE(CONTROL!$C$19, $D$11, 100%, $F$11)</f>
        <v>7.149</v>
      </c>
      <c r="D194" s="8">
        <f>CHOOSE( CONTROL!$C$36, 7.1695, 7.1684) * CHOOSE( CONTROL!$C$19, $D$11, 100%, $F$11)</f>
        <v>7.1695000000000002</v>
      </c>
      <c r="E194" s="12">
        <f>CHOOSE( CONTROL!$C$36, 7.1622, 7.1611) * CHOOSE( CONTROL!$C$19, $D$11, 100%, $F$11)</f>
        <v>7.1622000000000003</v>
      </c>
      <c r="F194" s="4">
        <f>CHOOSE( CONTROL!$C$36, 7.8784, 7.8773) * CHOOSE(CONTROL!$C$19, $D$11, 100%, $F$11)</f>
        <v>7.8784000000000001</v>
      </c>
      <c r="G194" s="8">
        <f>CHOOSE( CONTROL!$C$36, 7.0984, 7.0973) * CHOOSE( CONTROL!$C$19, $D$11, 100%, $F$11)</f>
        <v>7.0983999999999998</v>
      </c>
      <c r="H194" s="4">
        <f>CHOOSE( CONTROL!$C$36, 8.0423, 8.0412) * CHOOSE(CONTROL!$C$19, $D$11, 100%, $F$11)</f>
        <v>8.0422999999999991</v>
      </c>
      <c r="I194" s="8">
        <f>CHOOSE( CONTROL!$C$36, 7.0698, 7.0688) * CHOOSE(CONTROL!$C$19, $D$11, 100%, $F$11)</f>
        <v>7.0697999999999999</v>
      </c>
      <c r="J194" s="4">
        <f>CHOOSE( CONTROL!$C$36, 6.9334, 6.9324) * CHOOSE(CONTROL!$C$19, $D$11, 100%, $F$11)</f>
        <v>6.9333999999999998</v>
      </c>
      <c r="K194" s="4"/>
      <c r="L194" s="9">
        <v>31.095300000000002</v>
      </c>
      <c r="M194" s="9">
        <v>12.063700000000001</v>
      </c>
      <c r="N194" s="9">
        <v>4.9444999999999997</v>
      </c>
      <c r="O194" s="9">
        <v>0.37409999999999999</v>
      </c>
      <c r="P194" s="9">
        <v>1.2927</v>
      </c>
      <c r="Q194" s="9">
        <v>31.701799999999999</v>
      </c>
      <c r="R194" s="9"/>
      <c r="S194" s="11"/>
    </row>
    <row r="195" spans="1:19" ht="15.75">
      <c r="A195" s="13">
        <v>47058</v>
      </c>
      <c r="B195" s="8">
        <f>CHOOSE( CONTROL!$C$36, 7.7053, 7.7042) * CHOOSE(CONTROL!$C$19, $D$11, 100%, $F$11)</f>
        <v>7.7053000000000003</v>
      </c>
      <c r="C195" s="8">
        <f>CHOOSE( CONTROL!$C$36, 7.7104, 7.7093) * CHOOSE(CONTROL!$C$19, $D$11, 100%, $F$11)</f>
        <v>7.7103999999999999</v>
      </c>
      <c r="D195" s="8">
        <f>CHOOSE( CONTROL!$C$36, 7.6896, 7.6885) * CHOOSE( CONTROL!$C$19, $D$11, 100%, $F$11)</f>
        <v>7.6896000000000004</v>
      </c>
      <c r="E195" s="12">
        <f>CHOOSE( CONTROL!$C$36, 7.6967, 7.6956) * CHOOSE( CONTROL!$C$19, $D$11, 100%, $F$11)</f>
        <v>7.6966999999999999</v>
      </c>
      <c r="F195" s="4">
        <f>CHOOSE( CONTROL!$C$36, 8.3646, 8.3635) * CHOOSE(CONTROL!$C$19, $D$11, 100%, $F$11)</f>
        <v>8.3645999999999994</v>
      </c>
      <c r="G195" s="8">
        <f>CHOOSE( CONTROL!$C$36, 7.6325, 7.6315) * CHOOSE( CONTROL!$C$19, $D$11, 100%, $F$11)</f>
        <v>7.6325000000000003</v>
      </c>
      <c r="H195" s="4">
        <f>CHOOSE( CONTROL!$C$36, 8.5217, 8.5206) * CHOOSE(CONTROL!$C$19, $D$11, 100%, $F$11)</f>
        <v>8.5216999999999992</v>
      </c>
      <c r="I195" s="8">
        <f>CHOOSE( CONTROL!$C$36, 7.6635, 7.6624) * CHOOSE(CONTROL!$C$19, $D$11, 100%, $F$11)</f>
        <v>7.6635</v>
      </c>
      <c r="J195" s="4">
        <f>CHOOSE( CONTROL!$C$36, 7.4777, 7.4767) * CHOOSE(CONTROL!$C$19, $D$11, 100%, $F$11)</f>
        <v>7.4776999999999996</v>
      </c>
      <c r="K195" s="4"/>
      <c r="L195" s="9">
        <v>28.360600000000002</v>
      </c>
      <c r="M195" s="9">
        <v>11.6745</v>
      </c>
      <c r="N195" s="9">
        <v>4.7850000000000001</v>
      </c>
      <c r="O195" s="9">
        <v>0.36199999999999999</v>
      </c>
      <c r="P195" s="9">
        <v>1.2509999999999999</v>
      </c>
      <c r="Q195" s="9">
        <v>30.679200000000002</v>
      </c>
      <c r="R195" s="9"/>
      <c r="S195" s="11"/>
    </row>
    <row r="196" spans="1:19" ht="15.75">
      <c r="A196" s="13">
        <v>47088</v>
      </c>
      <c r="B196" s="8">
        <f>CHOOSE( CONTROL!$C$36, 7.6913, 7.6902) * CHOOSE(CONTROL!$C$19, $D$11, 100%, $F$11)</f>
        <v>7.6913</v>
      </c>
      <c r="C196" s="8">
        <f>CHOOSE( CONTROL!$C$36, 7.6964, 7.6953) * CHOOSE(CONTROL!$C$19, $D$11, 100%, $F$11)</f>
        <v>7.6963999999999997</v>
      </c>
      <c r="D196" s="8">
        <f>CHOOSE( CONTROL!$C$36, 7.677, 7.6759) * CHOOSE( CONTROL!$C$19, $D$11, 100%, $F$11)</f>
        <v>7.6769999999999996</v>
      </c>
      <c r="E196" s="12">
        <f>CHOOSE( CONTROL!$C$36, 7.6836, 7.6825) * CHOOSE( CONTROL!$C$19, $D$11, 100%, $F$11)</f>
        <v>7.6836000000000002</v>
      </c>
      <c r="F196" s="4">
        <f>CHOOSE( CONTROL!$C$36, 8.3505, 8.3494) * CHOOSE(CONTROL!$C$19, $D$11, 100%, $F$11)</f>
        <v>8.3505000000000003</v>
      </c>
      <c r="G196" s="8">
        <f>CHOOSE( CONTROL!$C$36, 7.6197, 7.6186) * CHOOSE( CONTROL!$C$19, $D$11, 100%, $F$11)</f>
        <v>7.6196999999999999</v>
      </c>
      <c r="H196" s="4">
        <f>CHOOSE( CONTROL!$C$36, 8.5079, 8.5068) * CHOOSE(CONTROL!$C$19, $D$11, 100%, $F$11)</f>
        <v>8.5078999999999994</v>
      </c>
      <c r="I196" s="8">
        <f>CHOOSE( CONTROL!$C$36, 7.6542, 7.6531) * CHOOSE(CONTROL!$C$19, $D$11, 100%, $F$11)</f>
        <v>7.6542000000000003</v>
      </c>
      <c r="J196" s="4">
        <f>CHOOSE( CONTROL!$C$36, 7.4641, 7.4631) * CHOOSE(CONTROL!$C$19, $D$11, 100%, $F$11)</f>
        <v>7.4641000000000002</v>
      </c>
      <c r="K196" s="4"/>
      <c r="L196" s="9">
        <v>29.306000000000001</v>
      </c>
      <c r="M196" s="9">
        <v>12.063700000000001</v>
      </c>
      <c r="N196" s="9">
        <v>4.9444999999999997</v>
      </c>
      <c r="O196" s="9">
        <v>0.37409999999999999</v>
      </c>
      <c r="P196" s="9">
        <v>1.2927</v>
      </c>
      <c r="Q196" s="9">
        <v>31.701799999999999</v>
      </c>
      <c r="R196" s="9"/>
      <c r="S196" s="11"/>
    </row>
    <row r="197" spans="1:19" ht="15.75">
      <c r="A197" s="13">
        <v>47119</v>
      </c>
      <c r="B197" s="8">
        <f>CHOOSE( CONTROL!$C$36, 8.0598, 8.0587) * CHOOSE(CONTROL!$C$19, $D$11, 100%, $F$11)</f>
        <v>8.0597999999999992</v>
      </c>
      <c r="C197" s="8">
        <f>CHOOSE( CONTROL!$C$36, 8.0649, 8.0638) * CHOOSE(CONTROL!$C$19, $D$11, 100%, $F$11)</f>
        <v>8.0648999999999997</v>
      </c>
      <c r="D197" s="8">
        <f>CHOOSE( CONTROL!$C$36, 8.0662, 8.0651) * CHOOSE( CONTROL!$C$19, $D$11, 100%, $F$11)</f>
        <v>8.0662000000000003</v>
      </c>
      <c r="E197" s="12">
        <f>CHOOSE( CONTROL!$C$36, 8.0652, 8.0641) * CHOOSE( CONTROL!$C$19, $D$11, 100%, $F$11)</f>
        <v>8.0652000000000008</v>
      </c>
      <c r="F197" s="4">
        <f>CHOOSE( CONTROL!$C$36, 8.7191, 8.718) * CHOOSE(CONTROL!$C$19, $D$11, 100%, $F$11)</f>
        <v>8.7190999999999992</v>
      </c>
      <c r="G197" s="8">
        <f>CHOOSE( CONTROL!$C$36, 7.9942, 7.9931) * CHOOSE( CONTROL!$C$19, $D$11, 100%, $F$11)</f>
        <v>7.9942000000000002</v>
      </c>
      <c r="H197" s="4">
        <f>CHOOSE( CONTROL!$C$36, 8.8713, 8.8702) * CHOOSE(CONTROL!$C$19, $D$11, 100%, $F$11)</f>
        <v>8.8712999999999997</v>
      </c>
      <c r="I197" s="8">
        <f>CHOOSE( CONTROL!$C$36, 7.9887, 7.9877) * CHOOSE(CONTROL!$C$19, $D$11, 100%, $F$11)</f>
        <v>7.9886999999999997</v>
      </c>
      <c r="J197" s="4">
        <f>CHOOSE( CONTROL!$C$36, 7.821, 7.8199) * CHOOSE(CONTROL!$C$19, $D$11, 100%, $F$11)</f>
        <v>7.8209999999999997</v>
      </c>
      <c r="K197" s="4"/>
      <c r="L197" s="9">
        <v>29.306000000000001</v>
      </c>
      <c r="M197" s="9">
        <v>12.063700000000001</v>
      </c>
      <c r="N197" s="9">
        <v>4.9444999999999997</v>
      </c>
      <c r="O197" s="9">
        <v>0.37409999999999999</v>
      </c>
      <c r="P197" s="9">
        <v>1.2927</v>
      </c>
      <c r="Q197" s="9">
        <v>31.517700000000001</v>
      </c>
      <c r="R197" s="9"/>
      <c r="S197" s="11"/>
    </row>
    <row r="198" spans="1:19" ht="15.75">
      <c r="A198" s="13">
        <v>47150</v>
      </c>
      <c r="B198" s="8">
        <f>CHOOSE( CONTROL!$C$36, 7.5377, 7.5366) * CHOOSE(CONTROL!$C$19, $D$11, 100%, $F$11)</f>
        <v>7.5377000000000001</v>
      </c>
      <c r="C198" s="8">
        <f>CHOOSE( CONTROL!$C$36, 7.5428, 7.5417) * CHOOSE(CONTROL!$C$19, $D$11, 100%, $F$11)</f>
        <v>7.5427999999999997</v>
      </c>
      <c r="D198" s="8">
        <f>CHOOSE( CONTROL!$C$36, 7.544, 7.5429) * CHOOSE( CONTROL!$C$19, $D$11, 100%, $F$11)</f>
        <v>7.5439999999999996</v>
      </c>
      <c r="E198" s="12">
        <f>CHOOSE( CONTROL!$C$36, 7.543, 7.5419) * CHOOSE( CONTROL!$C$19, $D$11, 100%, $F$11)</f>
        <v>7.5430000000000001</v>
      </c>
      <c r="F198" s="4">
        <f>CHOOSE( CONTROL!$C$36, 8.197, 8.1959) * CHOOSE(CONTROL!$C$19, $D$11, 100%, $F$11)</f>
        <v>8.1969999999999992</v>
      </c>
      <c r="G198" s="8">
        <f>CHOOSE( CONTROL!$C$36, 7.4793, 7.4782) * CHOOSE( CONTROL!$C$19, $D$11, 100%, $F$11)</f>
        <v>7.4793000000000003</v>
      </c>
      <c r="H198" s="4">
        <f>CHOOSE( CONTROL!$C$36, 8.3565, 8.3554) * CHOOSE(CONTROL!$C$19, $D$11, 100%, $F$11)</f>
        <v>8.3565000000000005</v>
      </c>
      <c r="I198" s="8">
        <f>CHOOSE( CONTROL!$C$36, 7.4825, 7.4815) * CHOOSE(CONTROL!$C$19, $D$11, 100%, $F$11)</f>
        <v>7.4824999999999999</v>
      </c>
      <c r="J198" s="4">
        <f>CHOOSE( CONTROL!$C$36, 7.3154, 7.3144) * CHOOSE(CONTROL!$C$19, $D$11, 100%, $F$11)</f>
        <v>7.3154000000000003</v>
      </c>
      <c r="K198" s="4"/>
      <c r="L198" s="9">
        <v>26.469899999999999</v>
      </c>
      <c r="M198" s="9">
        <v>10.8962</v>
      </c>
      <c r="N198" s="9">
        <v>4.4660000000000002</v>
      </c>
      <c r="O198" s="9">
        <v>0.33789999999999998</v>
      </c>
      <c r="P198" s="9">
        <v>1.1676</v>
      </c>
      <c r="Q198" s="9">
        <v>28.467600000000001</v>
      </c>
      <c r="R198" s="9"/>
      <c r="S198" s="11"/>
    </row>
    <row r="199" spans="1:19" ht="15.75">
      <c r="A199" s="13">
        <v>47178</v>
      </c>
      <c r="B199" s="8">
        <f>CHOOSE( CONTROL!$C$36, 7.3769, 7.3758) * CHOOSE(CONTROL!$C$19, $D$11, 100%, $F$11)</f>
        <v>7.3769</v>
      </c>
      <c r="C199" s="8">
        <f>CHOOSE( CONTROL!$C$36, 7.382, 7.3809) * CHOOSE(CONTROL!$C$19, $D$11, 100%, $F$11)</f>
        <v>7.3819999999999997</v>
      </c>
      <c r="D199" s="8">
        <f>CHOOSE( CONTROL!$C$36, 7.3825, 7.3815) * CHOOSE( CONTROL!$C$19, $D$11, 100%, $F$11)</f>
        <v>7.3825000000000003</v>
      </c>
      <c r="E199" s="12">
        <f>CHOOSE( CONTROL!$C$36, 7.3818, 7.3807) * CHOOSE( CONTROL!$C$19, $D$11, 100%, $F$11)</f>
        <v>7.3818000000000001</v>
      </c>
      <c r="F199" s="4">
        <f>CHOOSE( CONTROL!$C$36, 8.0362, 8.0351) * CHOOSE(CONTROL!$C$19, $D$11, 100%, $F$11)</f>
        <v>8.0361999999999991</v>
      </c>
      <c r="G199" s="8">
        <f>CHOOSE( CONTROL!$C$36, 7.3202, 7.3192) * CHOOSE( CONTROL!$C$19, $D$11, 100%, $F$11)</f>
        <v>7.3201999999999998</v>
      </c>
      <c r="H199" s="4">
        <f>CHOOSE( CONTROL!$C$36, 8.1979, 8.1968) * CHOOSE(CONTROL!$C$19, $D$11, 100%, $F$11)</f>
        <v>8.1979000000000006</v>
      </c>
      <c r="I199" s="8">
        <f>CHOOSE( CONTROL!$C$36, 7.3247, 7.3237) * CHOOSE(CONTROL!$C$19, $D$11, 100%, $F$11)</f>
        <v>7.3247</v>
      </c>
      <c r="J199" s="4">
        <f>CHOOSE( CONTROL!$C$36, 7.1597, 7.1587) * CHOOSE(CONTROL!$C$19, $D$11, 100%, $F$11)</f>
        <v>7.1597</v>
      </c>
      <c r="K199" s="4"/>
      <c r="L199" s="9">
        <v>29.306000000000001</v>
      </c>
      <c r="M199" s="9">
        <v>12.063700000000001</v>
      </c>
      <c r="N199" s="9">
        <v>4.9444999999999997</v>
      </c>
      <c r="O199" s="9">
        <v>0.37409999999999999</v>
      </c>
      <c r="P199" s="9">
        <v>1.2927</v>
      </c>
      <c r="Q199" s="9">
        <v>31.517700000000001</v>
      </c>
      <c r="R199" s="9"/>
      <c r="S199" s="11"/>
    </row>
    <row r="200" spans="1:19" ht="15.75">
      <c r="A200" s="13">
        <v>47209</v>
      </c>
      <c r="B200" s="8">
        <f>CHOOSE( CONTROL!$C$36, 7.4901, 7.489) * CHOOSE(CONTROL!$C$19, $D$11, 100%, $F$11)</f>
        <v>7.4901</v>
      </c>
      <c r="C200" s="8">
        <f>CHOOSE( CONTROL!$C$36, 7.4946, 7.4935) * CHOOSE(CONTROL!$C$19, $D$11, 100%, $F$11)</f>
        <v>7.4946000000000002</v>
      </c>
      <c r="D200" s="8">
        <f>CHOOSE( CONTROL!$C$36, 7.515, 7.5139) * CHOOSE( CONTROL!$C$19, $D$11, 100%, $F$11)</f>
        <v>7.5149999999999997</v>
      </c>
      <c r="E200" s="12">
        <f>CHOOSE( CONTROL!$C$36, 7.5077, 7.5066) * CHOOSE( CONTROL!$C$19, $D$11, 100%, $F$11)</f>
        <v>7.5076999999999998</v>
      </c>
      <c r="F200" s="4">
        <f>CHOOSE( CONTROL!$C$36, 8.2245, 8.2234) * CHOOSE(CONTROL!$C$19, $D$11, 100%, $F$11)</f>
        <v>8.2245000000000008</v>
      </c>
      <c r="G200" s="8">
        <f>CHOOSE( CONTROL!$C$36, 7.4391, 7.4381) * CHOOSE( CONTROL!$C$19, $D$11, 100%, $F$11)</f>
        <v>7.4390999999999998</v>
      </c>
      <c r="H200" s="4">
        <f>CHOOSE( CONTROL!$C$36, 8.3836, 8.3825) * CHOOSE(CONTROL!$C$19, $D$11, 100%, $F$11)</f>
        <v>8.3835999999999995</v>
      </c>
      <c r="I200" s="8">
        <f>CHOOSE( CONTROL!$C$36, 7.4031, 7.4021) * CHOOSE(CONTROL!$C$19, $D$11, 100%, $F$11)</f>
        <v>7.4031000000000002</v>
      </c>
      <c r="J200" s="4">
        <f>CHOOSE( CONTROL!$C$36, 7.2685, 7.2675) * CHOOSE(CONTROL!$C$19, $D$11, 100%, $F$11)</f>
        <v>7.2685000000000004</v>
      </c>
      <c r="K200" s="4"/>
      <c r="L200" s="9">
        <v>30.092199999999998</v>
      </c>
      <c r="M200" s="9">
        <v>11.6745</v>
      </c>
      <c r="N200" s="9">
        <v>4.7850000000000001</v>
      </c>
      <c r="O200" s="9">
        <v>0.36199999999999999</v>
      </c>
      <c r="P200" s="9">
        <v>1.2509999999999999</v>
      </c>
      <c r="Q200" s="9">
        <v>30.501000000000001</v>
      </c>
      <c r="R200" s="9"/>
      <c r="S200" s="11"/>
    </row>
    <row r="201" spans="1:19" ht="15.75">
      <c r="A201" s="13">
        <v>47239</v>
      </c>
      <c r="B201" s="8">
        <f>CHOOSE( CONTROL!$C$36, 7.692, 7.6903) * CHOOSE(CONTROL!$C$19, $D$11, 100%, $F$11)</f>
        <v>7.6920000000000002</v>
      </c>
      <c r="C201" s="8">
        <f>CHOOSE( CONTROL!$C$36, 7.7, 7.6983) * CHOOSE(CONTROL!$C$19, $D$11, 100%, $F$11)</f>
        <v>7.7</v>
      </c>
      <c r="D201" s="8">
        <f>CHOOSE( CONTROL!$C$36, 7.7142, 7.7125) * CHOOSE( CONTROL!$C$19, $D$11, 100%, $F$11)</f>
        <v>7.7141999999999999</v>
      </c>
      <c r="E201" s="12">
        <f>CHOOSE( CONTROL!$C$36, 7.7078, 7.7061) * CHOOSE( CONTROL!$C$19, $D$11, 100%, $F$11)</f>
        <v>7.7077999999999998</v>
      </c>
      <c r="F201" s="4">
        <f>CHOOSE( CONTROL!$C$36, 8.425, 8.4234) * CHOOSE(CONTROL!$C$19, $D$11, 100%, $F$11)</f>
        <v>8.4250000000000007</v>
      </c>
      <c r="G201" s="8">
        <f>CHOOSE( CONTROL!$C$36, 7.6369, 7.6352) * CHOOSE( CONTROL!$C$19, $D$11, 100%, $F$11)</f>
        <v>7.6368999999999998</v>
      </c>
      <c r="H201" s="4">
        <f>CHOOSE( CONTROL!$C$36, 8.5813, 8.5797) * CHOOSE(CONTROL!$C$19, $D$11, 100%, $F$11)</f>
        <v>8.5813000000000006</v>
      </c>
      <c r="I201" s="8">
        <f>CHOOSE( CONTROL!$C$36, 7.597, 7.5954) * CHOOSE(CONTROL!$C$19, $D$11, 100%, $F$11)</f>
        <v>7.5970000000000004</v>
      </c>
      <c r="J201" s="4">
        <f>CHOOSE( CONTROL!$C$36, 7.4627, 7.4611) * CHOOSE(CONTROL!$C$19, $D$11, 100%, $F$11)</f>
        <v>7.4626999999999999</v>
      </c>
      <c r="K201" s="4"/>
      <c r="L201" s="9">
        <v>30.7165</v>
      </c>
      <c r="M201" s="9">
        <v>12.063700000000001</v>
      </c>
      <c r="N201" s="9">
        <v>4.9444999999999997</v>
      </c>
      <c r="O201" s="9">
        <v>0.37409999999999999</v>
      </c>
      <c r="P201" s="9">
        <v>1.2927</v>
      </c>
      <c r="Q201" s="9">
        <v>31.517700000000001</v>
      </c>
      <c r="R201" s="9"/>
      <c r="S201" s="11"/>
    </row>
    <row r="202" spans="1:19" ht="15.75">
      <c r="A202" s="13">
        <v>47270</v>
      </c>
      <c r="B202" s="8">
        <f>CHOOSE( CONTROL!$C$36, 7.5681, 7.5664) * CHOOSE(CONTROL!$C$19, $D$11, 100%, $F$11)</f>
        <v>7.5681000000000003</v>
      </c>
      <c r="C202" s="8">
        <f>CHOOSE( CONTROL!$C$36, 7.5761, 7.5744) * CHOOSE(CONTROL!$C$19, $D$11, 100%, $F$11)</f>
        <v>7.5761000000000003</v>
      </c>
      <c r="D202" s="8">
        <f>CHOOSE( CONTROL!$C$36, 7.5905, 7.5888) * CHOOSE( CONTROL!$C$19, $D$11, 100%, $F$11)</f>
        <v>7.5904999999999996</v>
      </c>
      <c r="E202" s="12">
        <f>CHOOSE( CONTROL!$C$36, 7.5841, 7.5824) * CHOOSE( CONTROL!$C$19, $D$11, 100%, $F$11)</f>
        <v>7.5841000000000003</v>
      </c>
      <c r="F202" s="4">
        <f>CHOOSE( CONTROL!$C$36, 8.3011, 8.2995) * CHOOSE(CONTROL!$C$19, $D$11, 100%, $F$11)</f>
        <v>8.3010999999999999</v>
      </c>
      <c r="G202" s="8">
        <f>CHOOSE( CONTROL!$C$36, 7.5148, 7.5132) * CHOOSE( CONTROL!$C$19, $D$11, 100%, $F$11)</f>
        <v>7.5148000000000001</v>
      </c>
      <c r="H202" s="4">
        <f>CHOOSE( CONTROL!$C$36, 8.4592, 8.4575) * CHOOSE(CONTROL!$C$19, $D$11, 100%, $F$11)</f>
        <v>8.4591999999999992</v>
      </c>
      <c r="I202" s="8">
        <f>CHOOSE( CONTROL!$C$36, 7.4776, 7.476) * CHOOSE(CONTROL!$C$19, $D$11, 100%, $F$11)</f>
        <v>7.4775999999999998</v>
      </c>
      <c r="J202" s="4">
        <f>CHOOSE( CONTROL!$C$36, 7.3428, 7.3412) * CHOOSE(CONTROL!$C$19, $D$11, 100%, $F$11)</f>
        <v>7.3428000000000004</v>
      </c>
      <c r="K202" s="4"/>
      <c r="L202" s="9">
        <v>29.7257</v>
      </c>
      <c r="M202" s="9">
        <v>11.6745</v>
      </c>
      <c r="N202" s="9">
        <v>4.7850000000000001</v>
      </c>
      <c r="O202" s="9">
        <v>0.36199999999999999</v>
      </c>
      <c r="P202" s="9">
        <v>1.2509999999999999</v>
      </c>
      <c r="Q202" s="9">
        <v>30.501000000000001</v>
      </c>
      <c r="R202" s="9"/>
      <c r="S202" s="11"/>
    </row>
    <row r="203" spans="1:19" ht="15.75">
      <c r="A203" s="13">
        <v>47300</v>
      </c>
      <c r="B203" s="8">
        <f>CHOOSE( CONTROL!$C$36, 7.8943, 7.8927) * CHOOSE(CONTROL!$C$19, $D$11, 100%, $F$11)</f>
        <v>7.8943000000000003</v>
      </c>
      <c r="C203" s="8">
        <f>CHOOSE( CONTROL!$C$36, 7.9023, 7.9007) * CHOOSE(CONTROL!$C$19, $D$11, 100%, $F$11)</f>
        <v>7.9023000000000003</v>
      </c>
      <c r="D203" s="8">
        <f>CHOOSE( CONTROL!$C$36, 7.917, 7.9153) * CHOOSE( CONTROL!$C$19, $D$11, 100%, $F$11)</f>
        <v>7.9169999999999998</v>
      </c>
      <c r="E203" s="12">
        <f>CHOOSE( CONTROL!$C$36, 7.9105, 7.9088) * CHOOSE( CONTROL!$C$19, $D$11, 100%, $F$11)</f>
        <v>7.9104999999999999</v>
      </c>
      <c r="F203" s="4">
        <f>CHOOSE( CONTROL!$C$36, 8.6274, 8.6257) * CHOOSE(CONTROL!$C$19, $D$11, 100%, $F$11)</f>
        <v>8.6273999999999997</v>
      </c>
      <c r="G203" s="8">
        <f>CHOOSE( CONTROL!$C$36, 7.8367, 7.8351) * CHOOSE( CONTROL!$C$19, $D$11, 100%, $F$11)</f>
        <v>7.8367000000000004</v>
      </c>
      <c r="H203" s="4">
        <f>CHOOSE( CONTROL!$C$36, 8.7808, 8.7792) * CHOOSE(CONTROL!$C$19, $D$11, 100%, $F$11)</f>
        <v>8.7807999999999993</v>
      </c>
      <c r="I203" s="8">
        <f>CHOOSE( CONTROL!$C$36, 7.7945, 7.7929) * CHOOSE(CONTROL!$C$19, $D$11, 100%, $F$11)</f>
        <v>7.7945000000000002</v>
      </c>
      <c r="J203" s="4">
        <f>CHOOSE( CONTROL!$C$36, 7.6587, 7.6571) * CHOOSE(CONTROL!$C$19, $D$11, 100%, $F$11)</f>
        <v>7.6586999999999996</v>
      </c>
      <c r="K203" s="4"/>
      <c r="L203" s="9">
        <v>30.7165</v>
      </c>
      <c r="M203" s="9">
        <v>12.063700000000001</v>
      </c>
      <c r="N203" s="9">
        <v>4.9444999999999997</v>
      </c>
      <c r="O203" s="9">
        <v>0.37409999999999999</v>
      </c>
      <c r="P203" s="9">
        <v>1.2927</v>
      </c>
      <c r="Q203" s="9">
        <v>31.517700000000001</v>
      </c>
      <c r="R203" s="9"/>
      <c r="S203" s="11"/>
    </row>
    <row r="204" spans="1:19" ht="15.75">
      <c r="A204" s="13">
        <v>47331</v>
      </c>
      <c r="B204" s="8">
        <f>CHOOSE( CONTROL!$C$36, 7.2839, 7.2823) * CHOOSE(CONTROL!$C$19, $D$11, 100%, $F$11)</f>
        <v>7.2839</v>
      </c>
      <c r="C204" s="8">
        <f>CHOOSE( CONTROL!$C$36, 7.2919, 7.2903) * CHOOSE(CONTROL!$C$19, $D$11, 100%, $F$11)</f>
        <v>7.2919</v>
      </c>
      <c r="D204" s="8">
        <f>CHOOSE( CONTROL!$C$36, 7.3066, 7.3049) * CHOOSE( CONTROL!$C$19, $D$11, 100%, $F$11)</f>
        <v>7.3066000000000004</v>
      </c>
      <c r="E204" s="12">
        <f>CHOOSE( CONTROL!$C$36, 7.3001, 7.2984) * CHOOSE( CONTROL!$C$19, $D$11, 100%, $F$11)</f>
        <v>7.3000999999999996</v>
      </c>
      <c r="F204" s="4">
        <f>CHOOSE( CONTROL!$C$36, 8.0169, 8.0153) * CHOOSE(CONTROL!$C$19, $D$11, 100%, $F$11)</f>
        <v>8.0168999999999997</v>
      </c>
      <c r="G204" s="8">
        <f>CHOOSE( CONTROL!$C$36, 7.2349, 7.2332) * CHOOSE( CONTROL!$C$19, $D$11, 100%, $F$11)</f>
        <v>7.2348999999999997</v>
      </c>
      <c r="H204" s="4">
        <f>CHOOSE( CONTROL!$C$36, 8.1789, 8.1773) * CHOOSE(CONTROL!$C$19, $D$11, 100%, $F$11)</f>
        <v>8.1789000000000005</v>
      </c>
      <c r="I204" s="8">
        <f>CHOOSE( CONTROL!$C$36, 7.2034, 7.2018) * CHOOSE(CONTROL!$C$19, $D$11, 100%, $F$11)</f>
        <v>7.2034000000000002</v>
      </c>
      <c r="J204" s="4">
        <f>CHOOSE( CONTROL!$C$36, 7.0676, 7.066) * CHOOSE(CONTROL!$C$19, $D$11, 100%, $F$11)</f>
        <v>7.0675999999999997</v>
      </c>
      <c r="K204" s="4"/>
      <c r="L204" s="9">
        <v>30.7165</v>
      </c>
      <c r="M204" s="9">
        <v>12.063700000000001</v>
      </c>
      <c r="N204" s="9">
        <v>4.9444999999999997</v>
      </c>
      <c r="O204" s="9">
        <v>0.37409999999999999</v>
      </c>
      <c r="P204" s="9">
        <v>1.2927</v>
      </c>
      <c r="Q204" s="9">
        <v>31.517700000000001</v>
      </c>
      <c r="R204" s="9"/>
      <c r="S204" s="11"/>
    </row>
    <row r="205" spans="1:19" ht="15.75">
      <c r="A205" s="13">
        <v>47362</v>
      </c>
      <c r="B205" s="8">
        <f>CHOOSE( CONTROL!$C$36, 7.1311, 7.1294) * CHOOSE(CONTROL!$C$19, $D$11, 100%, $F$11)</f>
        <v>7.1311</v>
      </c>
      <c r="C205" s="8">
        <f>CHOOSE( CONTROL!$C$36, 7.1391, 7.1374) * CHOOSE(CONTROL!$C$19, $D$11, 100%, $F$11)</f>
        <v>7.1391</v>
      </c>
      <c r="D205" s="8">
        <f>CHOOSE( CONTROL!$C$36, 7.1536, 7.152) * CHOOSE( CONTROL!$C$19, $D$11, 100%, $F$11)</f>
        <v>7.1536</v>
      </c>
      <c r="E205" s="12">
        <f>CHOOSE( CONTROL!$C$36, 7.1471, 7.1455) * CHOOSE( CONTROL!$C$19, $D$11, 100%, $F$11)</f>
        <v>7.1471</v>
      </c>
      <c r="F205" s="4">
        <f>CHOOSE( CONTROL!$C$36, 7.8641, 7.8624) * CHOOSE(CONTROL!$C$19, $D$11, 100%, $F$11)</f>
        <v>7.8640999999999996</v>
      </c>
      <c r="G205" s="8">
        <f>CHOOSE( CONTROL!$C$36, 7.0841, 7.0824) * CHOOSE( CONTROL!$C$19, $D$11, 100%, $F$11)</f>
        <v>7.0841000000000003</v>
      </c>
      <c r="H205" s="4">
        <f>CHOOSE( CONTROL!$C$36, 8.0282, 8.0266) * CHOOSE(CONTROL!$C$19, $D$11, 100%, $F$11)</f>
        <v>8.0282</v>
      </c>
      <c r="I205" s="8">
        <f>CHOOSE( CONTROL!$C$36, 7.0549, 7.0533) * CHOOSE(CONTROL!$C$19, $D$11, 100%, $F$11)</f>
        <v>7.0548999999999999</v>
      </c>
      <c r="J205" s="4">
        <f>CHOOSE( CONTROL!$C$36, 6.9196, 6.918) * CHOOSE(CONTROL!$C$19, $D$11, 100%, $F$11)</f>
        <v>6.9196</v>
      </c>
      <c r="K205" s="4"/>
      <c r="L205" s="9">
        <v>29.7257</v>
      </c>
      <c r="M205" s="9">
        <v>11.6745</v>
      </c>
      <c r="N205" s="9">
        <v>4.7850000000000001</v>
      </c>
      <c r="O205" s="9">
        <v>0.36199999999999999</v>
      </c>
      <c r="P205" s="9">
        <v>1.2509999999999999</v>
      </c>
      <c r="Q205" s="9">
        <v>30.501000000000001</v>
      </c>
      <c r="R205" s="9"/>
      <c r="S205" s="11"/>
    </row>
    <row r="206" spans="1:19" ht="15.75">
      <c r="A206" s="13">
        <v>47392</v>
      </c>
      <c r="B206" s="8">
        <f>CHOOSE( CONTROL!$C$36, 7.4461, 7.4451) * CHOOSE(CONTROL!$C$19, $D$11, 100%, $F$11)</f>
        <v>7.4461000000000004</v>
      </c>
      <c r="C206" s="8">
        <f>CHOOSE( CONTROL!$C$36, 7.4515, 7.4504) * CHOOSE(CONTROL!$C$19, $D$11, 100%, $F$11)</f>
        <v>7.4515000000000002</v>
      </c>
      <c r="D206" s="8">
        <f>CHOOSE( CONTROL!$C$36, 7.472, 7.4709) * CHOOSE( CONTROL!$C$19, $D$11, 100%, $F$11)</f>
        <v>7.4720000000000004</v>
      </c>
      <c r="E206" s="12">
        <f>CHOOSE( CONTROL!$C$36, 7.4647, 7.4636) * CHOOSE( CONTROL!$C$19, $D$11, 100%, $F$11)</f>
        <v>7.4646999999999997</v>
      </c>
      <c r="F206" s="4">
        <f>CHOOSE( CONTROL!$C$36, 8.1809, 8.1798) * CHOOSE(CONTROL!$C$19, $D$11, 100%, $F$11)</f>
        <v>8.1808999999999994</v>
      </c>
      <c r="G206" s="8">
        <f>CHOOSE( CONTROL!$C$36, 7.3967, 7.3956) * CHOOSE( CONTROL!$C$19, $D$11, 100%, $F$11)</f>
        <v>7.3967000000000001</v>
      </c>
      <c r="H206" s="4">
        <f>CHOOSE( CONTROL!$C$36, 8.3406, 8.3395) * CHOOSE(CONTROL!$C$19, $D$11, 100%, $F$11)</f>
        <v>8.3406000000000002</v>
      </c>
      <c r="I206" s="8">
        <f>CHOOSE( CONTROL!$C$36, 7.3629, 7.3618) * CHOOSE(CONTROL!$C$19, $D$11, 100%, $F$11)</f>
        <v>7.3628999999999998</v>
      </c>
      <c r="J206" s="4">
        <f>CHOOSE( CONTROL!$C$36, 7.2264, 7.2253) * CHOOSE(CONTROL!$C$19, $D$11, 100%, $F$11)</f>
        <v>7.2263999999999999</v>
      </c>
      <c r="K206" s="4"/>
      <c r="L206" s="9">
        <v>31.095300000000002</v>
      </c>
      <c r="M206" s="9">
        <v>12.063700000000001</v>
      </c>
      <c r="N206" s="9">
        <v>4.9444999999999997</v>
      </c>
      <c r="O206" s="9">
        <v>0.37409999999999999</v>
      </c>
      <c r="P206" s="9">
        <v>1.2927</v>
      </c>
      <c r="Q206" s="9">
        <v>31.517700000000001</v>
      </c>
      <c r="R206" s="9"/>
      <c r="S206" s="11"/>
    </row>
    <row r="207" spans="1:19" ht="15.75">
      <c r="A207" s="13">
        <v>47423</v>
      </c>
      <c r="B207" s="8">
        <f>CHOOSE( CONTROL!$C$36, 8.0316, 8.0305) * CHOOSE(CONTROL!$C$19, $D$11, 100%, $F$11)</f>
        <v>8.0315999999999992</v>
      </c>
      <c r="C207" s="8">
        <f>CHOOSE( CONTROL!$C$36, 8.0367, 8.0356) * CHOOSE(CONTROL!$C$19, $D$11, 100%, $F$11)</f>
        <v>8.0366999999999997</v>
      </c>
      <c r="D207" s="8">
        <f>CHOOSE( CONTROL!$C$36, 8.0159, 8.0148) * CHOOSE( CONTROL!$C$19, $D$11, 100%, $F$11)</f>
        <v>8.0159000000000002</v>
      </c>
      <c r="E207" s="12">
        <f>CHOOSE( CONTROL!$C$36, 8.023, 8.0219) * CHOOSE( CONTROL!$C$19, $D$11, 100%, $F$11)</f>
        <v>8.0229999999999997</v>
      </c>
      <c r="F207" s="4">
        <f>CHOOSE( CONTROL!$C$36, 8.6908, 8.6897) * CHOOSE(CONTROL!$C$19, $D$11, 100%, $F$11)</f>
        <v>8.6907999999999994</v>
      </c>
      <c r="G207" s="8">
        <f>CHOOSE( CONTROL!$C$36, 7.9543, 7.9532) * CHOOSE( CONTROL!$C$19, $D$11, 100%, $F$11)</f>
        <v>7.9542999999999999</v>
      </c>
      <c r="H207" s="4">
        <f>CHOOSE( CONTROL!$C$36, 8.8434, 8.8423) * CHOOSE(CONTROL!$C$19, $D$11, 100%, $F$11)</f>
        <v>8.8434000000000008</v>
      </c>
      <c r="I207" s="8">
        <f>CHOOSE( CONTROL!$C$36, 7.9795, 7.9785) * CHOOSE(CONTROL!$C$19, $D$11, 100%, $F$11)</f>
        <v>7.9794999999999998</v>
      </c>
      <c r="J207" s="4">
        <f>CHOOSE( CONTROL!$C$36, 7.7936, 7.7926) * CHOOSE(CONTROL!$C$19, $D$11, 100%, $F$11)</f>
        <v>7.7935999999999996</v>
      </c>
      <c r="K207" s="4"/>
      <c r="L207" s="9">
        <v>28.360600000000002</v>
      </c>
      <c r="M207" s="9">
        <v>11.6745</v>
      </c>
      <c r="N207" s="9">
        <v>4.7850000000000001</v>
      </c>
      <c r="O207" s="9">
        <v>0.36199999999999999</v>
      </c>
      <c r="P207" s="9">
        <v>1.2509999999999999</v>
      </c>
      <c r="Q207" s="9">
        <v>30.501000000000001</v>
      </c>
      <c r="R207" s="9"/>
      <c r="S207" s="11"/>
    </row>
    <row r="208" spans="1:19" ht="15.75">
      <c r="A208" s="13">
        <v>47453</v>
      </c>
      <c r="B208" s="8">
        <f>CHOOSE( CONTROL!$C$36, 8.0169, 8.0158) * CHOOSE(CONTROL!$C$19, $D$11, 100%, $F$11)</f>
        <v>8.0168999999999997</v>
      </c>
      <c r="C208" s="8">
        <f>CHOOSE( CONTROL!$C$36, 8.022, 8.0209) * CHOOSE(CONTROL!$C$19, $D$11, 100%, $F$11)</f>
        <v>8.0220000000000002</v>
      </c>
      <c r="D208" s="8">
        <f>CHOOSE( CONTROL!$C$36, 8.0026, 8.0015) * CHOOSE( CONTROL!$C$19, $D$11, 100%, $F$11)</f>
        <v>8.0025999999999993</v>
      </c>
      <c r="E208" s="12">
        <f>CHOOSE( CONTROL!$C$36, 8.0092, 8.0081) * CHOOSE( CONTROL!$C$19, $D$11, 100%, $F$11)</f>
        <v>8.0091999999999999</v>
      </c>
      <c r="F208" s="4">
        <f>CHOOSE( CONTROL!$C$36, 8.6762, 8.6751) * CHOOSE(CONTROL!$C$19, $D$11, 100%, $F$11)</f>
        <v>8.6761999999999997</v>
      </c>
      <c r="G208" s="8">
        <f>CHOOSE( CONTROL!$C$36, 7.9408, 7.9397) * CHOOSE( CONTROL!$C$19, $D$11, 100%, $F$11)</f>
        <v>7.9408000000000003</v>
      </c>
      <c r="H208" s="4">
        <f>CHOOSE( CONTROL!$C$36, 8.829, 8.8279) * CHOOSE(CONTROL!$C$19, $D$11, 100%, $F$11)</f>
        <v>8.8290000000000006</v>
      </c>
      <c r="I208" s="8">
        <f>CHOOSE( CONTROL!$C$36, 7.9697, 7.9686) * CHOOSE(CONTROL!$C$19, $D$11, 100%, $F$11)</f>
        <v>7.9696999999999996</v>
      </c>
      <c r="J208" s="4">
        <f>CHOOSE( CONTROL!$C$36, 7.7794, 7.7784) * CHOOSE(CONTROL!$C$19, $D$11, 100%, $F$11)</f>
        <v>7.7793999999999999</v>
      </c>
      <c r="K208" s="4"/>
      <c r="L208" s="9">
        <v>29.306000000000001</v>
      </c>
      <c r="M208" s="9">
        <v>12.063700000000001</v>
      </c>
      <c r="N208" s="9">
        <v>4.9444999999999997</v>
      </c>
      <c r="O208" s="9">
        <v>0.37409999999999999</v>
      </c>
      <c r="P208" s="9">
        <v>1.2927</v>
      </c>
      <c r="Q208" s="9">
        <v>31.517700000000001</v>
      </c>
      <c r="R208" s="9"/>
      <c r="S208" s="11"/>
    </row>
    <row r="209" spans="1:19" ht="15.75">
      <c r="A209" s="13">
        <v>47484</v>
      </c>
      <c r="B209" s="8">
        <f>CHOOSE( CONTROL!$C$36, 8.3872, 8.3861) * CHOOSE(CONTROL!$C$19, $D$11, 100%, $F$11)</f>
        <v>8.3872</v>
      </c>
      <c r="C209" s="8">
        <f>CHOOSE( CONTROL!$C$36, 8.3923, 8.3912) * CHOOSE(CONTROL!$C$19, $D$11, 100%, $F$11)</f>
        <v>8.3923000000000005</v>
      </c>
      <c r="D209" s="8">
        <f>CHOOSE( CONTROL!$C$36, 8.3936, 8.3925) * CHOOSE( CONTROL!$C$19, $D$11, 100%, $F$11)</f>
        <v>8.3935999999999993</v>
      </c>
      <c r="E209" s="12">
        <f>CHOOSE( CONTROL!$C$36, 8.3926, 8.3915) * CHOOSE( CONTROL!$C$19, $D$11, 100%, $F$11)</f>
        <v>8.3925999999999998</v>
      </c>
      <c r="F209" s="4">
        <f>CHOOSE( CONTROL!$C$36, 9.0465, 9.0454) * CHOOSE(CONTROL!$C$19, $D$11, 100%, $F$11)</f>
        <v>9.0465</v>
      </c>
      <c r="G209" s="8">
        <f>CHOOSE( CONTROL!$C$36, 8.317, 8.3159) * CHOOSE( CONTROL!$C$19, $D$11, 100%, $F$11)</f>
        <v>8.3170000000000002</v>
      </c>
      <c r="H209" s="4">
        <f>CHOOSE( CONTROL!$C$36, 9.1941, 9.193) * CHOOSE(CONTROL!$C$19, $D$11, 100%, $F$11)</f>
        <v>9.1941000000000006</v>
      </c>
      <c r="I209" s="8">
        <f>CHOOSE( CONTROL!$C$36, 8.3059, 8.3048) * CHOOSE(CONTROL!$C$19, $D$11, 100%, $F$11)</f>
        <v>8.3058999999999994</v>
      </c>
      <c r="J209" s="4">
        <f>CHOOSE( CONTROL!$C$36, 8.138, 8.137) * CHOOSE(CONTROL!$C$19, $D$11, 100%, $F$11)</f>
        <v>8.1379999999999999</v>
      </c>
      <c r="K209" s="4"/>
      <c r="L209" s="9">
        <v>29.306000000000001</v>
      </c>
      <c r="M209" s="9">
        <v>12.063700000000001</v>
      </c>
      <c r="N209" s="9">
        <v>4.9444999999999997</v>
      </c>
      <c r="O209" s="9">
        <v>0.37409999999999999</v>
      </c>
      <c r="P209" s="9">
        <v>1.2927</v>
      </c>
      <c r="Q209" s="9">
        <v>31.333600000000001</v>
      </c>
      <c r="R209" s="9"/>
      <c r="S209" s="11"/>
    </row>
    <row r="210" spans="1:19" ht="15.75">
      <c r="A210" s="13">
        <v>47515</v>
      </c>
      <c r="B210" s="8">
        <f>CHOOSE( CONTROL!$C$36, 7.844, 7.8429) * CHOOSE(CONTROL!$C$19, $D$11, 100%, $F$11)</f>
        <v>7.8440000000000003</v>
      </c>
      <c r="C210" s="8">
        <f>CHOOSE( CONTROL!$C$36, 7.8491, 7.848) * CHOOSE(CONTROL!$C$19, $D$11, 100%, $F$11)</f>
        <v>7.8491</v>
      </c>
      <c r="D210" s="8">
        <f>CHOOSE( CONTROL!$C$36, 7.8502, 7.8491) * CHOOSE( CONTROL!$C$19, $D$11, 100%, $F$11)</f>
        <v>7.8502000000000001</v>
      </c>
      <c r="E210" s="12">
        <f>CHOOSE( CONTROL!$C$36, 7.8493, 7.8482) * CHOOSE( CONTROL!$C$19, $D$11, 100%, $F$11)</f>
        <v>7.8493000000000004</v>
      </c>
      <c r="F210" s="4">
        <f>CHOOSE( CONTROL!$C$36, 8.5032, 8.5021) * CHOOSE(CONTROL!$C$19, $D$11, 100%, $F$11)</f>
        <v>8.5031999999999996</v>
      </c>
      <c r="G210" s="8">
        <f>CHOOSE( CONTROL!$C$36, 7.7812, 7.7802) * CHOOSE( CONTROL!$C$19, $D$11, 100%, $F$11)</f>
        <v>7.7812000000000001</v>
      </c>
      <c r="H210" s="4">
        <f>CHOOSE( CONTROL!$C$36, 8.6584, 8.6574) * CHOOSE(CONTROL!$C$19, $D$11, 100%, $F$11)</f>
        <v>8.6584000000000003</v>
      </c>
      <c r="I210" s="8">
        <f>CHOOSE( CONTROL!$C$36, 7.7792, 7.7781) * CHOOSE(CONTROL!$C$19, $D$11, 100%, $F$11)</f>
        <v>7.7792000000000003</v>
      </c>
      <c r="J210" s="4">
        <f>CHOOSE( CONTROL!$C$36, 7.612, 7.6109) * CHOOSE(CONTROL!$C$19, $D$11, 100%, $F$11)</f>
        <v>7.6120000000000001</v>
      </c>
      <c r="K210" s="4"/>
      <c r="L210" s="9">
        <v>26.469899999999999</v>
      </c>
      <c r="M210" s="9">
        <v>10.8962</v>
      </c>
      <c r="N210" s="9">
        <v>4.4660000000000002</v>
      </c>
      <c r="O210" s="9">
        <v>0.33789999999999998</v>
      </c>
      <c r="P210" s="9">
        <v>1.1676</v>
      </c>
      <c r="Q210" s="9">
        <v>28.301300000000001</v>
      </c>
      <c r="R210" s="9"/>
      <c r="S210" s="11"/>
    </row>
    <row r="211" spans="1:19" ht="15.75">
      <c r="A211" s="13">
        <v>47543</v>
      </c>
      <c r="B211" s="8">
        <f>CHOOSE( CONTROL!$C$36, 7.6766, 7.6756) * CHOOSE(CONTROL!$C$19, $D$11, 100%, $F$11)</f>
        <v>7.6765999999999996</v>
      </c>
      <c r="C211" s="8">
        <f>CHOOSE( CONTROL!$C$36, 7.6817, 7.6807) * CHOOSE(CONTROL!$C$19, $D$11, 100%, $F$11)</f>
        <v>7.6817000000000002</v>
      </c>
      <c r="D211" s="8">
        <f>CHOOSE( CONTROL!$C$36, 7.6823, 7.6812) * CHOOSE( CONTROL!$C$19, $D$11, 100%, $F$11)</f>
        <v>7.6822999999999997</v>
      </c>
      <c r="E211" s="12">
        <f>CHOOSE( CONTROL!$C$36, 7.6815, 7.6805) * CHOOSE( CONTROL!$C$19, $D$11, 100%, $F$11)</f>
        <v>7.6814999999999998</v>
      </c>
      <c r="F211" s="4">
        <f>CHOOSE( CONTROL!$C$36, 8.3359, 8.3348) * CHOOSE(CONTROL!$C$19, $D$11, 100%, $F$11)</f>
        <v>8.3359000000000005</v>
      </c>
      <c r="G211" s="8">
        <f>CHOOSE( CONTROL!$C$36, 7.6158, 7.6147) * CHOOSE( CONTROL!$C$19, $D$11, 100%, $F$11)</f>
        <v>7.6158000000000001</v>
      </c>
      <c r="H211" s="4">
        <f>CHOOSE( CONTROL!$C$36, 8.4934, 8.4924) * CHOOSE(CONTROL!$C$19, $D$11, 100%, $F$11)</f>
        <v>8.4933999999999994</v>
      </c>
      <c r="I211" s="8">
        <f>CHOOSE( CONTROL!$C$36, 7.6151, 7.6141) * CHOOSE(CONTROL!$C$19, $D$11, 100%, $F$11)</f>
        <v>7.6151</v>
      </c>
      <c r="J211" s="4">
        <f>CHOOSE( CONTROL!$C$36, 7.45, 7.4489) * CHOOSE(CONTROL!$C$19, $D$11, 100%, $F$11)</f>
        <v>7.45</v>
      </c>
      <c r="K211" s="4"/>
      <c r="L211" s="9">
        <v>29.306000000000001</v>
      </c>
      <c r="M211" s="9">
        <v>12.063700000000001</v>
      </c>
      <c r="N211" s="9">
        <v>4.9444999999999997</v>
      </c>
      <c r="O211" s="9">
        <v>0.37409999999999999</v>
      </c>
      <c r="P211" s="9">
        <v>1.2927</v>
      </c>
      <c r="Q211" s="9">
        <v>31.333600000000001</v>
      </c>
      <c r="R211" s="9"/>
      <c r="S211" s="11"/>
    </row>
    <row r="212" spans="1:19" ht="15.75">
      <c r="A212" s="13">
        <v>47574</v>
      </c>
      <c r="B212" s="8">
        <f>CHOOSE( CONTROL!$C$36, 7.7943, 7.7932) * CHOOSE(CONTROL!$C$19, $D$11, 100%, $F$11)</f>
        <v>7.7942999999999998</v>
      </c>
      <c r="C212" s="8">
        <f>CHOOSE( CONTROL!$C$36, 7.7989, 7.7978) * CHOOSE(CONTROL!$C$19, $D$11, 100%, $F$11)</f>
        <v>7.7988999999999997</v>
      </c>
      <c r="D212" s="8">
        <f>CHOOSE( CONTROL!$C$36, 7.8193, 7.8182) * CHOOSE( CONTROL!$C$19, $D$11, 100%, $F$11)</f>
        <v>7.8193000000000001</v>
      </c>
      <c r="E212" s="12">
        <f>CHOOSE( CONTROL!$C$36, 7.812, 7.8109) * CHOOSE( CONTROL!$C$19, $D$11, 100%, $F$11)</f>
        <v>7.8120000000000003</v>
      </c>
      <c r="F212" s="4">
        <f>CHOOSE( CONTROL!$C$36, 8.5287, 8.5276) * CHOOSE(CONTROL!$C$19, $D$11, 100%, $F$11)</f>
        <v>8.5287000000000006</v>
      </c>
      <c r="G212" s="8">
        <f>CHOOSE( CONTROL!$C$36, 7.7392, 7.7381) * CHOOSE( CONTROL!$C$19, $D$11, 100%, $F$11)</f>
        <v>7.7392000000000003</v>
      </c>
      <c r="H212" s="4">
        <f>CHOOSE( CONTROL!$C$36, 8.6836, 8.6825) * CHOOSE(CONTROL!$C$19, $D$11, 100%, $F$11)</f>
        <v>8.6836000000000002</v>
      </c>
      <c r="I212" s="8">
        <f>CHOOSE( CONTROL!$C$36, 7.6979, 7.6968) * CHOOSE(CONTROL!$C$19, $D$11, 100%, $F$11)</f>
        <v>7.6978999999999997</v>
      </c>
      <c r="J212" s="4">
        <f>CHOOSE( CONTROL!$C$36, 7.5632, 7.5621) * CHOOSE(CONTROL!$C$19, $D$11, 100%, $F$11)</f>
        <v>7.5632000000000001</v>
      </c>
      <c r="K212" s="4"/>
      <c r="L212" s="9">
        <v>30.092199999999998</v>
      </c>
      <c r="M212" s="9">
        <v>11.6745</v>
      </c>
      <c r="N212" s="9">
        <v>4.7850000000000001</v>
      </c>
      <c r="O212" s="9">
        <v>0.36199999999999999</v>
      </c>
      <c r="P212" s="9">
        <v>1.2509999999999999</v>
      </c>
      <c r="Q212" s="9">
        <v>30.322800000000001</v>
      </c>
      <c r="R212" s="9"/>
      <c r="S212" s="11"/>
    </row>
    <row r="213" spans="1:19" ht="15.75">
      <c r="A213" s="13">
        <v>47604</v>
      </c>
      <c r="B213" s="8">
        <f>CHOOSE( CONTROL!$C$36, 8.0044, 8.0027) * CHOOSE(CONTROL!$C$19, $D$11, 100%, $F$11)</f>
        <v>8.0044000000000004</v>
      </c>
      <c r="C213" s="8">
        <f>CHOOSE( CONTROL!$C$36, 8.0124, 8.0107) * CHOOSE(CONTROL!$C$19, $D$11, 100%, $F$11)</f>
        <v>8.0123999999999995</v>
      </c>
      <c r="D213" s="8">
        <f>CHOOSE( CONTROL!$C$36, 8.0266, 8.0249) * CHOOSE( CONTROL!$C$19, $D$11, 100%, $F$11)</f>
        <v>8.0266000000000002</v>
      </c>
      <c r="E213" s="12">
        <f>CHOOSE( CONTROL!$C$36, 8.0202, 8.0185) * CHOOSE( CONTROL!$C$19, $D$11, 100%, $F$11)</f>
        <v>8.0202000000000009</v>
      </c>
      <c r="F213" s="4">
        <f>CHOOSE( CONTROL!$C$36, 8.7374, 8.7357) * CHOOSE(CONTROL!$C$19, $D$11, 100%, $F$11)</f>
        <v>8.7373999999999992</v>
      </c>
      <c r="G213" s="8">
        <f>CHOOSE( CONTROL!$C$36, 7.9449, 7.9432) * CHOOSE( CONTROL!$C$19, $D$11, 100%, $F$11)</f>
        <v>7.9448999999999996</v>
      </c>
      <c r="H213" s="4">
        <f>CHOOSE( CONTROL!$C$36, 8.8893, 8.8877) * CHOOSE(CONTROL!$C$19, $D$11, 100%, $F$11)</f>
        <v>8.8893000000000004</v>
      </c>
      <c r="I213" s="8">
        <f>CHOOSE( CONTROL!$C$36, 7.8996, 7.898) * CHOOSE(CONTROL!$C$19, $D$11, 100%, $F$11)</f>
        <v>7.8996000000000004</v>
      </c>
      <c r="J213" s="4">
        <f>CHOOSE( CONTROL!$C$36, 7.7652, 7.7636) * CHOOSE(CONTROL!$C$19, $D$11, 100%, $F$11)</f>
        <v>7.7652000000000001</v>
      </c>
      <c r="K213" s="4"/>
      <c r="L213" s="9">
        <v>30.7165</v>
      </c>
      <c r="M213" s="9">
        <v>12.063700000000001</v>
      </c>
      <c r="N213" s="9">
        <v>4.9444999999999997</v>
      </c>
      <c r="O213" s="9">
        <v>0.37409999999999999</v>
      </c>
      <c r="P213" s="9">
        <v>1.2927</v>
      </c>
      <c r="Q213" s="9">
        <v>31.333600000000001</v>
      </c>
      <c r="R213" s="9"/>
      <c r="S213" s="11"/>
    </row>
    <row r="214" spans="1:19" ht="15.75">
      <c r="A214" s="13">
        <v>47635</v>
      </c>
      <c r="B214" s="8">
        <f>CHOOSE( CONTROL!$C$36, 7.8755, 7.8738) * CHOOSE(CONTROL!$C$19, $D$11, 100%, $F$11)</f>
        <v>7.8754999999999997</v>
      </c>
      <c r="C214" s="8">
        <f>CHOOSE( CONTROL!$C$36, 7.8835, 7.8818) * CHOOSE(CONTROL!$C$19, $D$11, 100%, $F$11)</f>
        <v>7.8834999999999997</v>
      </c>
      <c r="D214" s="8">
        <f>CHOOSE( CONTROL!$C$36, 7.8978, 7.8962) * CHOOSE( CONTROL!$C$19, $D$11, 100%, $F$11)</f>
        <v>7.8978000000000002</v>
      </c>
      <c r="E214" s="12">
        <f>CHOOSE( CONTROL!$C$36, 7.8914, 7.8898) * CHOOSE( CONTROL!$C$19, $D$11, 100%, $F$11)</f>
        <v>7.8914</v>
      </c>
      <c r="F214" s="4">
        <f>CHOOSE( CONTROL!$C$36, 8.6085, 8.6068) * CHOOSE(CONTROL!$C$19, $D$11, 100%, $F$11)</f>
        <v>8.6084999999999994</v>
      </c>
      <c r="G214" s="8">
        <f>CHOOSE( CONTROL!$C$36, 7.8179, 7.8163) * CHOOSE( CONTROL!$C$19, $D$11, 100%, $F$11)</f>
        <v>7.8178999999999998</v>
      </c>
      <c r="H214" s="4">
        <f>CHOOSE( CONTROL!$C$36, 8.7622, 8.7606) * CHOOSE(CONTROL!$C$19, $D$11, 100%, $F$11)</f>
        <v>8.7622</v>
      </c>
      <c r="I214" s="8">
        <f>CHOOSE( CONTROL!$C$36, 7.7754, 7.7738) * CHOOSE(CONTROL!$C$19, $D$11, 100%, $F$11)</f>
        <v>7.7754000000000003</v>
      </c>
      <c r="J214" s="4">
        <f>CHOOSE( CONTROL!$C$36, 7.6404, 7.6388) * CHOOSE(CONTROL!$C$19, $D$11, 100%, $F$11)</f>
        <v>7.6403999999999996</v>
      </c>
      <c r="K214" s="4"/>
      <c r="L214" s="9">
        <v>29.7257</v>
      </c>
      <c r="M214" s="9">
        <v>11.6745</v>
      </c>
      <c r="N214" s="9">
        <v>4.7850000000000001</v>
      </c>
      <c r="O214" s="9">
        <v>0.36199999999999999</v>
      </c>
      <c r="P214" s="9">
        <v>1.2509999999999999</v>
      </c>
      <c r="Q214" s="9">
        <v>30.322800000000001</v>
      </c>
      <c r="R214" s="9"/>
      <c r="S214" s="11"/>
    </row>
    <row r="215" spans="1:19" ht="15.75">
      <c r="A215" s="13">
        <v>47665</v>
      </c>
      <c r="B215" s="8">
        <f>CHOOSE( CONTROL!$C$36, 8.2149, 8.2133) * CHOOSE(CONTROL!$C$19, $D$11, 100%, $F$11)</f>
        <v>8.2149000000000001</v>
      </c>
      <c r="C215" s="8">
        <f>CHOOSE( CONTROL!$C$36, 8.2229, 8.2213) * CHOOSE(CONTROL!$C$19, $D$11, 100%, $F$11)</f>
        <v>8.2228999999999992</v>
      </c>
      <c r="D215" s="8">
        <f>CHOOSE( CONTROL!$C$36, 8.2375, 8.2359) * CHOOSE( CONTROL!$C$19, $D$11, 100%, $F$11)</f>
        <v>8.2375000000000007</v>
      </c>
      <c r="E215" s="12">
        <f>CHOOSE( CONTROL!$C$36, 8.231, 8.2294) * CHOOSE( CONTROL!$C$19, $D$11, 100%, $F$11)</f>
        <v>8.2309999999999999</v>
      </c>
      <c r="F215" s="4">
        <f>CHOOSE( CONTROL!$C$36, 8.9479, 8.9463) * CHOOSE(CONTROL!$C$19, $D$11, 100%, $F$11)</f>
        <v>8.9479000000000006</v>
      </c>
      <c r="G215" s="8">
        <f>CHOOSE( CONTROL!$C$36, 8.1528, 8.1512) * CHOOSE( CONTROL!$C$19, $D$11, 100%, $F$11)</f>
        <v>8.1527999999999992</v>
      </c>
      <c r="H215" s="4">
        <f>CHOOSE( CONTROL!$C$36, 9.097, 9.0953) * CHOOSE(CONTROL!$C$19, $D$11, 100%, $F$11)</f>
        <v>9.0969999999999995</v>
      </c>
      <c r="I215" s="8">
        <f>CHOOSE( CONTROL!$C$36, 8.1051, 8.1035) * CHOOSE(CONTROL!$C$19, $D$11, 100%, $F$11)</f>
        <v>8.1051000000000002</v>
      </c>
      <c r="J215" s="4">
        <f>CHOOSE( CONTROL!$C$36, 7.9691, 7.9675) * CHOOSE(CONTROL!$C$19, $D$11, 100%, $F$11)</f>
        <v>7.9691000000000001</v>
      </c>
      <c r="K215" s="4"/>
      <c r="L215" s="9">
        <v>30.7165</v>
      </c>
      <c r="M215" s="9">
        <v>12.063700000000001</v>
      </c>
      <c r="N215" s="9">
        <v>4.9444999999999997</v>
      </c>
      <c r="O215" s="9">
        <v>0.37409999999999999</v>
      </c>
      <c r="P215" s="9">
        <v>1.2927</v>
      </c>
      <c r="Q215" s="9">
        <v>31.333600000000001</v>
      </c>
      <c r="R215" s="9"/>
      <c r="S215" s="11"/>
    </row>
    <row r="216" spans="1:19" ht="15.75">
      <c r="A216" s="13">
        <v>47696</v>
      </c>
      <c r="B216" s="8">
        <f>CHOOSE( CONTROL!$C$36, 7.5798, 7.5781) * CHOOSE(CONTROL!$C$19, $D$11, 100%, $F$11)</f>
        <v>7.5797999999999996</v>
      </c>
      <c r="C216" s="8">
        <f>CHOOSE( CONTROL!$C$36, 7.5877, 7.5861) * CHOOSE(CONTROL!$C$19, $D$11, 100%, $F$11)</f>
        <v>7.5876999999999999</v>
      </c>
      <c r="D216" s="8">
        <f>CHOOSE( CONTROL!$C$36, 7.6024, 7.6008) * CHOOSE( CONTROL!$C$19, $D$11, 100%, $F$11)</f>
        <v>7.6024000000000003</v>
      </c>
      <c r="E216" s="12">
        <f>CHOOSE( CONTROL!$C$36, 7.5959, 7.5943) * CHOOSE( CONTROL!$C$19, $D$11, 100%, $F$11)</f>
        <v>7.5959000000000003</v>
      </c>
      <c r="F216" s="4">
        <f>CHOOSE( CONTROL!$C$36, 8.3128, 8.3111) * CHOOSE(CONTROL!$C$19, $D$11, 100%, $F$11)</f>
        <v>8.3127999999999993</v>
      </c>
      <c r="G216" s="8">
        <f>CHOOSE( CONTROL!$C$36, 7.5266, 7.5249) * CHOOSE( CONTROL!$C$19, $D$11, 100%, $F$11)</f>
        <v>7.5266000000000002</v>
      </c>
      <c r="H216" s="4">
        <f>CHOOSE( CONTROL!$C$36, 8.4707, 8.469) * CHOOSE(CONTROL!$C$19, $D$11, 100%, $F$11)</f>
        <v>8.4707000000000008</v>
      </c>
      <c r="I216" s="8">
        <f>CHOOSE( CONTROL!$C$36, 7.49, 7.4884) * CHOOSE(CONTROL!$C$19, $D$11, 100%, $F$11)</f>
        <v>7.49</v>
      </c>
      <c r="J216" s="4">
        <f>CHOOSE( CONTROL!$C$36, 7.3541, 7.3525) * CHOOSE(CONTROL!$C$19, $D$11, 100%, $F$11)</f>
        <v>7.3540999999999999</v>
      </c>
      <c r="K216" s="4"/>
      <c r="L216" s="9">
        <v>30.7165</v>
      </c>
      <c r="M216" s="9">
        <v>12.063700000000001</v>
      </c>
      <c r="N216" s="9">
        <v>4.9444999999999997</v>
      </c>
      <c r="O216" s="9">
        <v>0.37409999999999999</v>
      </c>
      <c r="P216" s="9">
        <v>1.2927</v>
      </c>
      <c r="Q216" s="9">
        <v>31.333600000000001</v>
      </c>
      <c r="R216" s="9"/>
      <c r="S216" s="11"/>
    </row>
    <row r="217" spans="1:19" ht="15.75">
      <c r="A217" s="13">
        <v>47727</v>
      </c>
      <c r="B217" s="8">
        <f>CHOOSE( CONTROL!$C$36, 7.4207, 7.419) * CHOOSE(CONTROL!$C$19, $D$11, 100%, $F$11)</f>
        <v>7.4207000000000001</v>
      </c>
      <c r="C217" s="8">
        <f>CHOOSE( CONTROL!$C$36, 7.4287, 7.427) * CHOOSE(CONTROL!$C$19, $D$11, 100%, $F$11)</f>
        <v>7.4287000000000001</v>
      </c>
      <c r="D217" s="8">
        <f>CHOOSE( CONTROL!$C$36, 7.4433, 7.4416) * CHOOSE( CONTROL!$C$19, $D$11, 100%, $F$11)</f>
        <v>7.4432999999999998</v>
      </c>
      <c r="E217" s="12">
        <f>CHOOSE( CONTROL!$C$36, 7.4368, 7.4351) * CHOOSE( CONTROL!$C$19, $D$11, 100%, $F$11)</f>
        <v>7.4367999999999999</v>
      </c>
      <c r="F217" s="4">
        <f>CHOOSE( CONTROL!$C$36, 8.1537, 8.1521) * CHOOSE(CONTROL!$C$19, $D$11, 100%, $F$11)</f>
        <v>8.1537000000000006</v>
      </c>
      <c r="G217" s="8">
        <f>CHOOSE( CONTROL!$C$36, 7.3697, 7.368) * CHOOSE( CONTROL!$C$19, $D$11, 100%, $F$11)</f>
        <v>7.3696999999999999</v>
      </c>
      <c r="H217" s="4">
        <f>CHOOSE( CONTROL!$C$36, 8.3138, 8.3122) * CHOOSE(CONTROL!$C$19, $D$11, 100%, $F$11)</f>
        <v>8.3138000000000005</v>
      </c>
      <c r="I217" s="8">
        <f>CHOOSE( CONTROL!$C$36, 7.3355, 7.3339) * CHOOSE(CONTROL!$C$19, $D$11, 100%, $F$11)</f>
        <v>7.3354999999999997</v>
      </c>
      <c r="J217" s="4">
        <f>CHOOSE( CONTROL!$C$36, 7.2001, 7.1984) * CHOOSE(CONTROL!$C$19, $D$11, 100%, $F$11)</f>
        <v>7.2000999999999999</v>
      </c>
      <c r="K217" s="4"/>
      <c r="L217" s="9">
        <v>29.7257</v>
      </c>
      <c r="M217" s="9">
        <v>11.6745</v>
      </c>
      <c r="N217" s="9">
        <v>4.7850000000000001</v>
      </c>
      <c r="O217" s="9">
        <v>0.36199999999999999</v>
      </c>
      <c r="P217" s="9">
        <v>1.2509999999999999</v>
      </c>
      <c r="Q217" s="9">
        <v>30.322800000000001</v>
      </c>
      <c r="R217" s="9"/>
      <c r="S217" s="11"/>
    </row>
    <row r="218" spans="1:19" ht="15.75">
      <c r="A218" s="13">
        <v>47757</v>
      </c>
      <c r="B218" s="8">
        <f>CHOOSE( CONTROL!$C$36, 7.7486, 7.7476) * CHOOSE(CONTROL!$C$19, $D$11, 100%, $F$11)</f>
        <v>7.7485999999999997</v>
      </c>
      <c r="C218" s="8">
        <f>CHOOSE( CONTROL!$C$36, 7.754, 7.7529) * CHOOSE(CONTROL!$C$19, $D$11, 100%, $F$11)</f>
        <v>7.7539999999999996</v>
      </c>
      <c r="D218" s="8">
        <f>CHOOSE( CONTROL!$C$36, 7.7745, 7.7734) * CHOOSE( CONTROL!$C$19, $D$11, 100%, $F$11)</f>
        <v>7.7744999999999997</v>
      </c>
      <c r="E218" s="12">
        <f>CHOOSE( CONTROL!$C$36, 7.7672, 7.7661) * CHOOSE( CONTROL!$C$19, $D$11, 100%, $F$11)</f>
        <v>7.7671999999999999</v>
      </c>
      <c r="F218" s="4">
        <f>CHOOSE( CONTROL!$C$36, 8.4834, 8.4823) * CHOOSE(CONTROL!$C$19, $D$11, 100%, $F$11)</f>
        <v>8.4833999999999996</v>
      </c>
      <c r="G218" s="8">
        <f>CHOOSE( CONTROL!$C$36, 7.6949, 7.6939) * CHOOSE( CONTROL!$C$19, $D$11, 100%, $F$11)</f>
        <v>7.6948999999999996</v>
      </c>
      <c r="H218" s="4">
        <f>CHOOSE( CONTROL!$C$36, 8.6389, 8.6378) * CHOOSE(CONTROL!$C$19, $D$11, 100%, $F$11)</f>
        <v>8.6388999999999996</v>
      </c>
      <c r="I218" s="8">
        <f>CHOOSE( CONTROL!$C$36, 7.656, 7.6549) * CHOOSE(CONTROL!$C$19, $D$11, 100%, $F$11)</f>
        <v>7.6559999999999997</v>
      </c>
      <c r="J218" s="4">
        <f>CHOOSE( CONTROL!$C$36, 7.5193, 7.5182) * CHOOSE(CONTROL!$C$19, $D$11, 100%, $F$11)</f>
        <v>7.5193000000000003</v>
      </c>
      <c r="K218" s="4"/>
      <c r="L218" s="9">
        <v>31.095300000000002</v>
      </c>
      <c r="M218" s="9">
        <v>12.063700000000001</v>
      </c>
      <c r="N218" s="9">
        <v>4.9444999999999997</v>
      </c>
      <c r="O218" s="9">
        <v>0.37409999999999999</v>
      </c>
      <c r="P218" s="9">
        <v>1.2927</v>
      </c>
      <c r="Q218" s="9">
        <v>31.333600000000001</v>
      </c>
      <c r="R218" s="9"/>
      <c r="S218" s="11"/>
    </row>
    <row r="219" spans="1:19" ht="15.75">
      <c r="A219" s="13">
        <v>47788</v>
      </c>
      <c r="B219" s="8">
        <f>CHOOSE( CONTROL!$C$36, 8.3578, 8.3567) * CHOOSE(CONTROL!$C$19, $D$11, 100%, $F$11)</f>
        <v>8.3577999999999992</v>
      </c>
      <c r="C219" s="8">
        <f>CHOOSE( CONTROL!$C$36, 8.3629, 8.3618) * CHOOSE(CONTROL!$C$19, $D$11, 100%, $F$11)</f>
        <v>8.3628999999999998</v>
      </c>
      <c r="D219" s="8">
        <f>CHOOSE( CONTROL!$C$36, 8.3421, 8.3411) * CHOOSE( CONTROL!$C$19, $D$11, 100%, $F$11)</f>
        <v>8.3421000000000003</v>
      </c>
      <c r="E219" s="12">
        <f>CHOOSE( CONTROL!$C$36, 8.3492, 8.3481) * CHOOSE( CONTROL!$C$19, $D$11, 100%, $F$11)</f>
        <v>8.3491999999999997</v>
      </c>
      <c r="F219" s="4">
        <f>CHOOSE( CONTROL!$C$36, 9.0171, 9.016) * CHOOSE(CONTROL!$C$19, $D$11, 100%, $F$11)</f>
        <v>9.0170999999999992</v>
      </c>
      <c r="G219" s="8">
        <f>CHOOSE( CONTROL!$C$36, 8.276, 8.2749) * CHOOSE( CONTROL!$C$19, $D$11, 100%, $F$11)</f>
        <v>8.2759999999999998</v>
      </c>
      <c r="H219" s="4">
        <f>CHOOSE( CONTROL!$C$36, 9.1651, 9.164) * CHOOSE(CONTROL!$C$19, $D$11, 100%, $F$11)</f>
        <v>9.1651000000000007</v>
      </c>
      <c r="I219" s="8">
        <f>CHOOSE( CONTROL!$C$36, 8.2956, 8.2946) * CHOOSE(CONTROL!$C$19, $D$11, 100%, $F$11)</f>
        <v>8.2956000000000003</v>
      </c>
      <c r="J219" s="4">
        <f>CHOOSE( CONTROL!$C$36, 8.1095, 8.1085) * CHOOSE(CONTROL!$C$19, $D$11, 100%, $F$11)</f>
        <v>8.1095000000000006</v>
      </c>
      <c r="K219" s="4"/>
      <c r="L219" s="9">
        <v>28.360600000000002</v>
      </c>
      <c r="M219" s="9">
        <v>11.6745</v>
      </c>
      <c r="N219" s="9">
        <v>4.7850000000000001</v>
      </c>
      <c r="O219" s="9">
        <v>0.36199999999999999</v>
      </c>
      <c r="P219" s="9">
        <v>1.2509999999999999</v>
      </c>
      <c r="Q219" s="9">
        <v>30.322800000000001</v>
      </c>
      <c r="R219" s="9"/>
      <c r="S219" s="11"/>
    </row>
    <row r="220" spans="1:19" ht="15.75">
      <c r="A220" s="13">
        <v>47818</v>
      </c>
      <c r="B220" s="8">
        <f>CHOOSE( CONTROL!$C$36, 8.3426, 8.3415) * CHOOSE(CONTROL!$C$19, $D$11, 100%, $F$11)</f>
        <v>8.3425999999999991</v>
      </c>
      <c r="C220" s="8">
        <f>CHOOSE( CONTROL!$C$36, 8.3477, 8.3466) * CHOOSE(CONTROL!$C$19, $D$11, 100%, $F$11)</f>
        <v>8.3476999999999997</v>
      </c>
      <c r="D220" s="8">
        <f>CHOOSE( CONTROL!$C$36, 8.3283, 8.3272) * CHOOSE( CONTROL!$C$19, $D$11, 100%, $F$11)</f>
        <v>8.3283000000000005</v>
      </c>
      <c r="E220" s="12">
        <f>CHOOSE( CONTROL!$C$36, 8.3349, 8.3338) * CHOOSE( CONTROL!$C$19, $D$11, 100%, $F$11)</f>
        <v>8.3348999999999993</v>
      </c>
      <c r="F220" s="4">
        <f>CHOOSE( CONTROL!$C$36, 9.0018, 9.0008) * CHOOSE(CONTROL!$C$19, $D$11, 100%, $F$11)</f>
        <v>9.0017999999999994</v>
      </c>
      <c r="G220" s="8">
        <f>CHOOSE( CONTROL!$C$36, 8.2619, 8.2609) * CHOOSE( CONTROL!$C$19, $D$11, 100%, $F$11)</f>
        <v>8.2619000000000007</v>
      </c>
      <c r="H220" s="4">
        <f>CHOOSE( CONTROL!$C$36, 9.1501, 9.149) * CHOOSE(CONTROL!$C$19, $D$11, 100%, $F$11)</f>
        <v>9.1501000000000001</v>
      </c>
      <c r="I220" s="8">
        <f>CHOOSE( CONTROL!$C$36, 8.2852, 8.2841) * CHOOSE(CONTROL!$C$19, $D$11, 100%, $F$11)</f>
        <v>8.2851999999999997</v>
      </c>
      <c r="J220" s="4">
        <f>CHOOSE( CONTROL!$C$36, 8.0948, 8.0937) * CHOOSE(CONTROL!$C$19, $D$11, 100%, $F$11)</f>
        <v>8.0947999999999993</v>
      </c>
      <c r="K220" s="4"/>
      <c r="L220" s="9">
        <v>29.306000000000001</v>
      </c>
      <c r="M220" s="9">
        <v>12.063700000000001</v>
      </c>
      <c r="N220" s="9">
        <v>4.9444999999999997</v>
      </c>
      <c r="O220" s="9">
        <v>0.37409999999999999</v>
      </c>
      <c r="P220" s="9">
        <v>1.2927</v>
      </c>
      <c r="Q220" s="9">
        <v>31.333600000000001</v>
      </c>
      <c r="R220" s="9"/>
      <c r="S220" s="11"/>
    </row>
    <row r="221" spans="1:19" ht="15.75">
      <c r="A221" s="13">
        <v>47849</v>
      </c>
      <c r="B221" s="8">
        <f>CHOOSE( CONTROL!$C$36, 8.5891, 8.5881) * CHOOSE(CONTROL!$C$19, $D$11, 100%, $F$11)</f>
        <v>8.5891000000000002</v>
      </c>
      <c r="C221" s="8">
        <f>CHOOSE( CONTROL!$C$36, 8.5942, 8.5932) * CHOOSE(CONTROL!$C$19, $D$11, 100%, $F$11)</f>
        <v>8.5942000000000007</v>
      </c>
      <c r="D221" s="8">
        <f>CHOOSE( CONTROL!$C$36, 8.5955, 8.5944) * CHOOSE( CONTROL!$C$19, $D$11, 100%, $F$11)</f>
        <v>8.5954999999999995</v>
      </c>
      <c r="E221" s="12">
        <f>CHOOSE( CONTROL!$C$36, 8.5945, 8.5934) * CHOOSE( CONTROL!$C$19, $D$11, 100%, $F$11)</f>
        <v>8.5945</v>
      </c>
      <c r="F221" s="4">
        <f>CHOOSE( CONTROL!$C$36, 9.2484, 9.2473) * CHOOSE(CONTROL!$C$19, $D$11, 100%, $F$11)</f>
        <v>9.2484000000000002</v>
      </c>
      <c r="G221" s="8">
        <f>CHOOSE( CONTROL!$C$36, 8.5161, 8.515) * CHOOSE( CONTROL!$C$19, $D$11, 100%, $F$11)</f>
        <v>8.5160999999999998</v>
      </c>
      <c r="H221" s="4">
        <f>CHOOSE( CONTROL!$C$36, 9.3932, 9.3921) * CHOOSE(CONTROL!$C$19, $D$11, 100%, $F$11)</f>
        <v>9.3932000000000002</v>
      </c>
      <c r="I221" s="8">
        <f>CHOOSE( CONTROL!$C$36, 8.5015, 8.5005) * CHOOSE(CONTROL!$C$19, $D$11, 100%, $F$11)</f>
        <v>8.5015000000000001</v>
      </c>
      <c r="J221" s="4">
        <f>CHOOSE( CONTROL!$C$36, 8.3335, 8.3325) * CHOOSE(CONTROL!$C$19, $D$11, 100%, $F$11)</f>
        <v>8.3335000000000008</v>
      </c>
      <c r="K221" s="4"/>
      <c r="L221" s="9">
        <v>29.306000000000001</v>
      </c>
      <c r="M221" s="9">
        <v>12.063700000000001</v>
      </c>
      <c r="N221" s="9">
        <v>4.9444999999999997</v>
      </c>
      <c r="O221" s="9">
        <v>0.37409999999999999</v>
      </c>
      <c r="P221" s="9">
        <v>1.2927</v>
      </c>
      <c r="Q221" s="9">
        <v>31.026700000000002</v>
      </c>
      <c r="R221" s="9"/>
      <c r="S221" s="11"/>
    </row>
    <row r="222" spans="1:19" ht="15.75">
      <c r="A222" s="13">
        <v>47880</v>
      </c>
      <c r="B222" s="8">
        <f>CHOOSE( CONTROL!$C$36, 8.0328, 8.0317) * CHOOSE(CONTROL!$C$19, $D$11, 100%, $F$11)</f>
        <v>8.0327999999999999</v>
      </c>
      <c r="C222" s="8">
        <f>CHOOSE( CONTROL!$C$36, 8.0379, 8.0368) * CHOOSE(CONTROL!$C$19, $D$11, 100%, $F$11)</f>
        <v>8.0379000000000005</v>
      </c>
      <c r="D222" s="8">
        <f>CHOOSE( CONTROL!$C$36, 8.0391, 8.038) * CHOOSE( CONTROL!$C$19, $D$11, 100%, $F$11)</f>
        <v>8.0390999999999995</v>
      </c>
      <c r="E222" s="12">
        <f>CHOOSE( CONTROL!$C$36, 8.0381, 8.037) * CHOOSE( CONTROL!$C$19, $D$11, 100%, $F$11)</f>
        <v>8.0381</v>
      </c>
      <c r="F222" s="4">
        <f>CHOOSE( CONTROL!$C$36, 8.6921, 8.691) * CHOOSE(CONTROL!$C$19, $D$11, 100%, $F$11)</f>
        <v>8.6920999999999999</v>
      </c>
      <c r="G222" s="8">
        <f>CHOOSE( CONTROL!$C$36, 7.9674, 7.9664) * CHOOSE( CONTROL!$C$19, $D$11, 100%, $F$11)</f>
        <v>7.9673999999999996</v>
      </c>
      <c r="H222" s="4">
        <f>CHOOSE( CONTROL!$C$36, 8.8447, 8.8436) * CHOOSE(CONTROL!$C$19, $D$11, 100%, $F$11)</f>
        <v>8.8446999999999996</v>
      </c>
      <c r="I222" s="8">
        <f>CHOOSE( CONTROL!$C$36, 7.9622, 7.9611) * CHOOSE(CONTROL!$C$19, $D$11, 100%, $F$11)</f>
        <v>7.9622000000000002</v>
      </c>
      <c r="J222" s="4">
        <f>CHOOSE( CONTROL!$C$36, 7.7948, 7.7938) * CHOOSE(CONTROL!$C$19, $D$11, 100%, $F$11)</f>
        <v>7.7948000000000004</v>
      </c>
      <c r="K222" s="4"/>
      <c r="L222" s="9">
        <v>26.469899999999999</v>
      </c>
      <c r="M222" s="9">
        <v>10.8962</v>
      </c>
      <c r="N222" s="9">
        <v>4.4660000000000002</v>
      </c>
      <c r="O222" s="9">
        <v>0.33789999999999998</v>
      </c>
      <c r="P222" s="9">
        <v>1.1676</v>
      </c>
      <c r="Q222" s="9">
        <v>28.024100000000001</v>
      </c>
      <c r="R222" s="9"/>
      <c r="S222" s="11"/>
    </row>
    <row r="223" spans="1:19" ht="15.75">
      <c r="A223" s="13">
        <v>47908</v>
      </c>
      <c r="B223" s="8">
        <f>CHOOSE( CONTROL!$C$36, 7.8615, 7.8604) * CHOOSE(CONTROL!$C$19, $D$11, 100%, $F$11)</f>
        <v>7.8615000000000004</v>
      </c>
      <c r="C223" s="8">
        <f>CHOOSE( CONTROL!$C$36, 7.8666, 7.8655) * CHOOSE(CONTROL!$C$19, $D$11, 100%, $F$11)</f>
        <v>7.8666</v>
      </c>
      <c r="D223" s="8">
        <f>CHOOSE( CONTROL!$C$36, 7.8671, 7.866) * CHOOSE( CONTROL!$C$19, $D$11, 100%, $F$11)</f>
        <v>7.8670999999999998</v>
      </c>
      <c r="E223" s="12">
        <f>CHOOSE( CONTROL!$C$36, 7.8664, 7.8653) * CHOOSE( CONTROL!$C$19, $D$11, 100%, $F$11)</f>
        <v>7.8663999999999996</v>
      </c>
      <c r="F223" s="4">
        <f>CHOOSE( CONTROL!$C$36, 8.5207, 8.5196) * CHOOSE(CONTROL!$C$19, $D$11, 100%, $F$11)</f>
        <v>8.5206999999999997</v>
      </c>
      <c r="G223" s="8">
        <f>CHOOSE( CONTROL!$C$36, 7.798, 7.797) * CHOOSE( CONTROL!$C$19, $D$11, 100%, $F$11)</f>
        <v>7.798</v>
      </c>
      <c r="H223" s="4">
        <f>CHOOSE( CONTROL!$C$36, 8.6757, 8.6746) * CHOOSE(CONTROL!$C$19, $D$11, 100%, $F$11)</f>
        <v>8.6757000000000009</v>
      </c>
      <c r="I223" s="8">
        <f>CHOOSE( CONTROL!$C$36, 7.7942, 7.7931) * CHOOSE(CONTROL!$C$19, $D$11, 100%, $F$11)</f>
        <v>7.7942</v>
      </c>
      <c r="J223" s="4">
        <f>CHOOSE( CONTROL!$C$36, 7.6289, 7.6279) * CHOOSE(CONTROL!$C$19, $D$11, 100%, $F$11)</f>
        <v>7.6288999999999998</v>
      </c>
      <c r="K223" s="4"/>
      <c r="L223" s="9">
        <v>29.306000000000001</v>
      </c>
      <c r="M223" s="9">
        <v>12.063700000000001</v>
      </c>
      <c r="N223" s="9">
        <v>4.9444999999999997</v>
      </c>
      <c r="O223" s="9">
        <v>0.37409999999999999</v>
      </c>
      <c r="P223" s="9">
        <v>1.2927</v>
      </c>
      <c r="Q223" s="9">
        <v>31.026700000000002</v>
      </c>
      <c r="R223" s="9"/>
      <c r="S223" s="11"/>
    </row>
    <row r="224" spans="1:19" ht="15.75">
      <c r="A224" s="13">
        <v>47939</v>
      </c>
      <c r="B224" s="8">
        <f>CHOOSE( CONTROL!$C$36, 7.982, 7.9809) * CHOOSE(CONTROL!$C$19, $D$11, 100%, $F$11)</f>
        <v>7.9820000000000002</v>
      </c>
      <c r="C224" s="8">
        <f>CHOOSE( CONTROL!$C$36, 7.9865, 7.9854) * CHOOSE(CONTROL!$C$19, $D$11, 100%, $F$11)</f>
        <v>7.9865000000000004</v>
      </c>
      <c r="D224" s="8">
        <f>CHOOSE( CONTROL!$C$36, 8.0069, 8.0058) * CHOOSE( CONTROL!$C$19, $D$11, 100%, $F$11)</f>
        <v>8.0068999999999999</v>
      </c>
      <c r="E224" s="12">
        <f>CHOOSE( CONTROL!$C$36, 7.9996, 7.9985) * CHOOSE( CONTROL!$C$19, $D$11, 100%, $F$11)</f>
        <v>7.9996</v>
      </c>
      <c r="F224" s="4">
        <f>CHOOSE( CONTROL!$C$36, 8.7164, 8.7153) * CHOOSE(CONTROL!$C$19, $D$11, 100%, $F$11)</f>
        <v>8.7164000000000001</v>
      </c>
      <c r="G224" s="8">
        <f>CHOOSE( CONTROL!$C$36, 7.9242, 7.9231) * CHOOSE( CONTROL!$C$19, $D$11, 100%, $F$11)</f>
        <v>7.9241999999999999</v>
      </c>
      <c r="H224" s="4">
        <f>CHOOSE( CONTROL!$C$36, 8.8686, 8.8675) * CHOOSE(CONTROL!$C$19, $D$11, 100%, $F$11)</f>
        <v>8.8686000000000007</v>
      </c>
      <c r="I224" s="8">
        <f>CHOOSE( CONTROL!$C$36, 7.8797, 7.8786) * CHOOSE(CONTROL!$C$19, $D$11, 100%, $F$11)</f>
        <v>7.8796999999999997</v>
      </c>
      <c r="J224" s="4">
        <f>CHOOSE( CONTROL!$C$36, 7.7449, 7.7438) * CHOOSE(CONTROL!$C$19, $D$11, 100%, $F$11)</f>
        <v>7.7449000000000003</v>
      </c>
      <c r="K224" s="4"/>
      <c r="L224" s="9">
        <v>30.092199999999998</v>
      </c>
      <c r="M224" s="9">
        <v>11.6745</v>
      </c>
      <c r="N224" s="9">
        <v>4.7850000000000001</v>
      </c>
      <c r="O224" s="9">
        <v>0.36199999999999999</v>
      </c>
      <c r="P224" s="9">
        <v>1.2509999999999999</v>
      </c>
      <c r="Q224" s="9">
        <v>30.0258</v>
      </c>
      <c r="R224" s="9"/>
      <c r="S224" s="11"/>
    </row>
    <row r="225" spans="1:19" ht="15.75">
      <c r="A225" s="13">
        <v>47969</v>
      </c>
      <c r="B225" s="8">
        <f>CHOOSE( CONTROL!$C$36, 8.197, 8.1954) * CHOOSE(CONTROL!$C$19, $D$11, 100%, $F$11)</f>
        <v>8.1969999999999992</v>
      </c>
      <c r="C225" s="8">
        <f>CHOOSE( CONTROL!$C$36, 8.205, 8.2033) * CHOOSE(CONTROL!$C$19, $D$11, 100%, $F$11)</f>
        <v>8.2050000000000001</v>
      </c>
      <c r="D225" s="8">
        <f>CHOOSE( CONTROL!$C$36, 8.2192, 8.2175) * CHOOSE( CONTROL!$C$19, $D$11, 100%, $F$11)</f>
        <v>8.2192000000000007</v>
      </c>
      <c r="E225" s="12">
        <f>CHOOSE( CONTROL!$C$36, 8.2128, 8.2111) * CHOOSE( CONTROL!$C$19, $D$11, 100%, $F$11)</f>
        <v>8.2127999999999997</v>
      </c>
      <c r="F225" s="4">
        <f>CHOOSE( CONTROL!$C$36, 8.93, 8.9284) * CHOOSE(CONTROL!$C$19, $D$11, 100%, $F$11)</f>
        <v>8.93</v>
      </c>
      <c r="G225" s="8">
        <f>CHOOSE( CONTROL!$C$36, 8.1348, 8.1332) * CHOOSE( CONTROL!$C$19, $D$11, 100%, $F$11)</f>
        <v>8.1348000000000003</v>
      </c>
      <c r="H225" s="4">
        <f>CHOOSE( CONTROL!$C$36, 9.0793, 9.0777) * CHOOSE(CONTROL!$C$19, $D$11, 100%, $F$11)</f>
        <v>9.0792999999999999</v>
      </c>
      <c r="I225" s="8">
        <f>CHOOSE( CONTROL!$C$36, 8.0863, 8.0847) * CHOOSE(CONTROL!$C$19, $D$11, 100%, $F$11)</f>
        <v>8.0862999999999996</v>
      </c>
      <c r="J225" s="4">
        <f>CHOOSE( CONTROL!$C$36, 7.9518, 7.9502) * CHOOSE(CONTROL!$C$19, $D$11, 100%, $F$11)</f>
        <v>7.9518000000000004</v>
      </c>
      <c r="K225" s="4"/>
      <c r="L225" s="9">
        <v>30.7165</v>
      </c>
      <c r="M225" s="9">
        <v>12.063700000000001</v>
      </c>
      <c r="N225" s="9">
        <v>4.9444999999999997</v>
      </c>
      <c r="O225" s="9">
        <v>0.37409999999999999</v>
      </c>
      <c r="P225" s="9">
        <v>1.2927</v>
      </c>
      <c r="Q225" s="9">
        <v>31.026700000000002</v>
      </c>
      <c r="R225" s="9"/>
      <c r="S225" s="11"/>
    </row>
    <row r="226" spans="1:19" ht="15.75">
      <c r="A226" s="13">
        <v>48000</v>
      </c>
      <c r="B226" s="8">
        <f>CHOOSE( CONTROL!$C$36, 8.065, 8.0633) * CHOOSE(CONTROL!$C$19, $D$11, 100%, $F$11)</f>
        <v>8.0649999999999995</v>
      </c>
      <c r="C226" s="8">
        <f>CHOOSE( CONTROL!$C$36, 8.073, 8.0713) * CHOOSE(CONTROL!$C$19, $D$11, 100%, $F$11)</f>
        <v>8.0730000000000004</v>
      </c>
      <c r="D226" s="8">
        <f>CHOOSE( CONTROL!$C$36, 8.0874, 8.0857) * CHOOSE( CONTROL!$C$19, $D$11, 100%, $F$11)</f>
        <v>8.0874000000000006</v>
      </c>
      <c r="E226" s="12">
        <f>CHOOSE( CONTROL!$C$36, 8.081, 8.0793) * CHOOSE( CONTROL!$C$19, $D$11, 100%, $F$11)</f>
        <v>8.0809999999999995</v>
      </c>
      <c r="F226" s="4">
        <f>CHOOSE( CONTROL!$C$36, 8.798, 8.7964) * CHOOSE(CONTROL!$C$19, $D$11, 100%, $F$11)</f>
        <v>8.798</v>
      </c>
      <c r="G226" s="8">
        <f>CHOOSE( CONTROL!$C$36, 8.0048, 8.0032) * CHOOSE( CONTROL!$C$19, $D$11, 100%, $F$11)</f>
        <v>8.0047999999999995</v>
      </c>
      <c r="H226" s="4">
        <f>CHOOSE( CONTROL!$C$36, 8.9491, 8.9475) * CHOOSE(CONTROL!$C$19, $D$11, 100%, $F$11)</f>
        <v>8.9490999999999996</v>
      </c>
      <c r="I226" s="8">
        <f>CHOOSE( CONTROL!$C$36, 7.959, 7.9574) * CHOOSE(CONTROL!$C$19, $D$11, 100%, $F$11)</f>
        <v>7.9589999999999996</v>
      </c>
      <c r="J226" s="4">
        <f>CHOOSE( CONTROL!$C$36, 7.8239, 7.8223) * CHOOSE(CONTROL!$C$19, $D$11, 100%, $F$11)</f>
        <v>7.8239000000000001</v>
      </c>
      <c r="K226" s="4"/>
      <c r="L226" s="9">
        <v>29.7257</v>
      </c>
      <c r="M226" s="9">
        <v>11.6745</v>
      </c>
      <c r="N226" s="9">
        <v>4.7850000000000001</v>
      </c>
      <c r="O226" s="9">
        <v>0.36199999999999999</v>
      </c>
      <c r="P226" s="9">
        <v>1.2509999999999999</v>
      </c>
      <c r="Q226" s="9">
        <v>30.0258</v>
      </c>
      <c r="R226" s="9"/>
      <c r="S226" s="11"/>
    </row>
    <row r="227" spans="1:19" ht="15.75">
      <c r="A227" s="13">
        <v>48030</v>
      </c>
      <c r="B227" s="8">
        <f>CHOOSE( CONTROL!$C$36, 8.4126, 8.411) * CHOOSE(CONTROL!$C$19, $D$11, 100%, $F$11)</f>
        <v>8.4125999999999994</v>
      </c>
      <c r="C227" s="8">
        <f>CHOOSE( CONTROL!$C$36, 8.4206, 8.419) * CHOOSE(CONTROL!$C$19, $D$11, 100%, $F$11)</f>
        <v>8.4206000000000003</v>
      </c>
      <c r="D227" s="8">
        <f>CHOOSE( CONTROL!$C$36, 8.4353, 8.4336) * CHOOSE( CONTROL!$C$19, $D$11, 100%, $F$11)</f>
        <v>8.4352999999999998</v>
      </c>
      <c r="E227" s="12">
        <f>CHOOSE( CONTROL!$C$36, 8.4288, 8.4271) * CHOOSE( CONTROL!$C$19, $D$11, 100%, $F$11)</f>
        <v>8.4288000000000007</v>
      </c>
      <c r="F227" s="4">
        <f>CHOOSE( CONTROL!$C$36, 9.1457, 9.144) * CHOOSE(CONTROL!$C$19, $D$11, 100%, $F$11)</f>
        <v>9.1456999999999997</v>
      </c>
      <c r="G227" s="8">
        <f>CHOOSE( CONTROL!$C$36, 8.3478, 8.3461) * CHOOSE( CONTROL!$C$19, $D$11, 100%, $F$11)</f>
        <v>8.3477999999999994</v>
      </c>
      <c r="H227" s="4">
        <f>CHOOSE( CONTROL!$C$36, 9.2919, 9.2903) * CHOOSE(CONTROL!$C$19, $D$11, 100%, $F$11)</f>
        <v>9.2919</v>
      </c>
      <c r="I227" s="8">
        <f>CHOOSE( CONTROL!$C$36, 8.2966, 8.295) * CHOOSE(CONTROL!$C$19, $D$11, 100%, $F$11)</f>
        <v>8.2965999999999998</v>
      </c>
      <c r="J227" s="4">
        <f>CHOOSE( CONTROL!$C$36, 8.1605, 8.1589) * CHOOSE(CONTROL!$C$19, $D$11, 100%, $F$11)</f>
        <v>8.1605000000000008</v>
      </c>
      <c r="K227" s="4"/>
      <c r="L227" s="9">
        <v>30.7165</v>
      </c>
      <c r="M227" s="9">
        <v>12.063700000000001</v>
      </c>
      <c r="N227" s="9">
        <v>4.9444999999999997</v>
      </c>
      <c r="O227" s="9">
        <v>0.37409999999999999</v>
      </c>
      <c r="P227" s="9">
        <v>1.2927</v>
      </c>
      <c r="Q227" s="9">
        <v>31.026700000000002</v>
      </c>
      <c r="R227" s="9"/>
      <c r="S227" s="11"/>
    </row>
    <row r="228" spans="1:19" ht="15.75">
      <c r="A228" s="13">
        <v>48061</v>
      </c>
      <c r="B228" s="8">
        <f>CHOOSE( CONTROL!$C$36, 7.7622, 7.7605) * CHOOSE(CONTROL!$C$19, $D$11, 100%, $F$11)</f>
        <v>7.7622</v>
      </c>
      <c r="C228" s="8">
        <f>CHOOSE( CONTROL!$C$36, 7.7702, 7.7685) * CHOOSE(CONTROL!$C$19, $D$11, 100%, $F$11)</f>
        <v>7.7702</v>
      </c>
      <c r="D228" s="8">
        <f>CHOOSE( CONTROL!$C$36, 7.7849, 7.7832) * CHOOSE( CONTROL!$C$19, $D$11, 100%, $F$11)</f>
        <v>7.7849000000000004</v>
      </c>
      <c r="E228" s="12">
        <f>CHOOSE( CONTROL!$C$36, 7.7784, 7.7767) * CHOOSE( CONTROL!$C$19, $D$11, 100%, $F$11)</f>
        <v>7.7784000000000004</v>
      </c>
      <c r="F228" s="4">
        <f>CHOOSE( CONTROL!$C$36, 8.4952, 8.4936) * CHOOSE(CONTROL!$C$19, $D$11, 100%, $F$11)</f>
        <v>8.4952000000000005</v>
      </c>
      <c r="G228" s="8">
        <f>CHOOSE( CONTROL!$C$36, 7.7065, 7.7048) * CHOOSE( CONTROL!$C$19, $D$11, 100%, $F$11)</f>
        <v>7.7065000000000001</v>
      </c>
      <c r="H228" s="4">
        <f>CHOOSE( CONTROL!$C$36, 8.6506, 8.6489) * CHOOSE(CONTROL!$C$19, $D$11, 100%, $F$11)</f>
        <v>8.6506000000000007</v>
      </c>
      <c r="I228" s="8">
        <f>CHOOSE( CONTROL!$C$36, 7.6667, 7.6651) * CHOOSE(CONTROL!$C$19, $D$11, 100%, $F$11)</f>
        <v>7.6666999999999996</v>
      </c>
      <c r="J228" s="4">
        <f>CHOOSE( CONTROL!$C$36, 7.5307, 7.5291) * CHOOSE(CONTROL!$C$19, $D$11, 100%, $F$11)</f>
        <v>7.5307000000000004</v>
      </c>
      <c r="K228" s="4"/>
      <c r="L228" s="9">
        <v>30.7165</v>
      </c>
      <c r="M228" s="9">
        <v>12.063700000000001</v>
      </c>
      <c r="N228" s="9">
        <v>4.9444999999999997</v>
      </c>
      <c r="O228" s="9">
        <v>0.37409999999999999</v>
      </c>
      <c r="P228" s="9">
        <v>1.2927</v>
      </c>
      <c r="Q228" s="9">
        <v>31.026700000000002</v>
      </c>
      <c r="R228" s="9"/>
      <c r="S228" s="11"/>
    </row>
    <row r="229" spans="1:19" ht="15.75">
      <c r="A229" s="13">
        <v>48092</v>
      </c>
      <c r="B229" s="8">
        <f>CHOOSE( CONTROL!$C$36, 7.5993, 7.5977) * CHOOSE(CONTROL!$C$19, $D$11, 100%, $F$11)</f>
        <v>7.5993000000000004</v>
      </c>
      <c r="C229" s="8">
        <f>CHOOSE( CONTROL!$C$36, 7.6073, 7.6057) * CHOOSE(CONTROL!$C$19, $D$11, 100%, $F$11)</f>
        <v>7.6073000000000004</v>
      </c>
      <c r="D229" s="8">
        <f>CHOOSE( CONTROL!$C$36, 7.6219, 7.6202) * CHOOSE( CONTROL!$C$19, $D$11, 100%, $F$11)</f>
        <v>7.6219000000000001</v>
      </c>
      <c r="E229" s="12">
        <f>CHOOSE( CONTROL!$C$36, 7.6154, 7.6137) * CHOOSE( CONTROL!$C$19, $D$11, 100%, $F$11)</f>
        <v>7.6154000000000002</v>
      </c>
      <c r="F229" s="4">
        <f>CHOOSE( CONTROL!$C$36, 8.3324, 8.3307) * CHOOSE(CONTROL!$C$19, $D$11, 100%, $F$11)</f>
        <v>8.3323999999999998</v>
      </c>
      <c r="G229" s="8">
        <f>CHOOSE( CONTROL!$C$36, 7.5458, 7.5442) * CHOOSE( CONTROL!$C$19, $D$11, 100%, $F$11)</f>
        <v>7.5457999999999998</v>
      </c>
      <c r="H229" s="4">
        <f>CHOOSE( CONTROL!$C$36, 8.4899, 8.4883) * CHOOSE(CONTROL!$C$19, $D$11, 100%, $F$11)</f>
        <v>8.4899000000000004</v>
      </c>
      <c r="I229" s="8">
        <f>CHOOSE( CONTROL!$C$36, 7.5086, 7.507) * CHOOSE(CONTROL!$C$19, $D$11, 100%, $F$11)</f>
        <v>7.5086000000000004</v>
      </c>
      <c r="J229" s="4">
        <f>CHOOSE( CONTROL!$C$36, 7.373, 7.3714) * CHOOSE(CONTROL!$C$19, $D$11, 100%, $F$11)</f>
        <v>7.3730000000000002</v>
      </c>
      <c r="K229" s="4"/>
      <c r="L229" s="9">
        <v>29.7257</v>
      </c>
      <c r="M229" s="9">
        <v>11.6745</v>
      </c>
      <c r="N229" s="9">
        <v>4.7850000000000001</v>
      </c>
      <c r="O229" s="9">
        <v>0.36199999999999999</v>
      </c>
      <c r="P229" s="9">
        <v>1.2509999999999999</v>
      </c>
      <c r="Q229" s="9">
        <v>30.0258</v>
      </c>
      <c r="R229" s="9"/>
      <c r="S229" s="11"/>
    </row>
    <row r="230" spans="1:19" ht="15.75">
      <c r="A230" s="13">
        <v>48122</v>
      </c>
      <c r="B230" s="8">
        <f>CHOOSE( CONTROL!$C$36, 7.9352, 7.9341) * CHOOSE(CONTROL!$C$19, $D$11, 100%, $F$11)</f>
        <v>7.9352</v>
      </c>
      <c r="C230" s="8">
        <f>CHOOSE( CONTROL!$C$36, 7.9406, 7.9395) * CHOOSE(CONTROL!$C$19, $D$11, 100%, $F$11)</f>
        <v>7.9405999999999999</v>
      </c>
      <c r="D230" s="8">
        <f>CHOOSE( CONTROL!$C$36, 7.961, 7.96) * CHOOSE( CONTROL!$C$19, $D$11, 100%, $F$11)</f>
        <v>7.9610000000000003</v>
      </c>
      <c r="E230" s="12">
        <f>CHOOSE( CONTROL!$C$36, 7.9537, 7.9527) * CHOOSE( CONTROL!$C$19, $D$11, 100%, $F$11)</f>
        <v>7.9537000000000004</v>
      </c>
      <c r="F230" s="4">
        <f>CHOOSE( CONTROL!$C$36, 8.67, 8.6689) * CHOOSE(CONTROL!$C$19, $D$11, 100%, $F$11)</f>
        <v>8.67</v>
      </c>
      <c r="G230" s="8">
        <f>CHOOSE( CONTROL!$C$36, 7.8789, 7.8778) * CHOOSE( CONTROL!$C$19, $D$11, 100%, $F$11)</f>
        <v>7.8788999999999998</v>
      </c>
      <c r="H230" s="4">
        <f>CHOOSE( CONTROL!$C$36, 8.8228, 8.8218) * CHOOSE(CONTROL!$C$19, $D$11, 100%, $F$11)</f>
        <v>8.8228000000000009</v>
      </c>
      <c r="I230" s="8">
        <f>CHOOSE( CONTROL!$C$36, 7.8367, 7.8356) * CHOOSE(CONTROL!$C$19, $D$11, 100%, $F$11)</f>
        <v>7.8367000000000004</v>
      </c>
      <c r="J230" s="4">
        <f>CHOOSE( CONTROL!$C$36, 7.6999, 7.6989) * CHOOSE(CONTROL!$C$19, $D$11, 100%, $F$11)</f>
        <v>7.6999000000000004</v>
      </c>
      <c r="K230" s="4"/>
      <c r="L230" s="9">
        <v>31.095300000000002</v>
      </c>
      <c r="M230" s="9">
        <v>12.063700000000001</v>
      </c>
      <c r="N230" s="9">
        <v>4.9444999999999997</v>
      </c>
      <c r="O230" s="9">
        <v>0.37409999999999999</v>
      </c>
      <c r="P230" s="9">
        <v>1.2927</v>
      </c>
      <c r="Q230" s="9">
        <v>31.026700000000002</v>
      </c>
      <c r="R230" s="9"/>
      <c r="S230" s="11"/>
    </row>
    <row r="231" spans="1:19" ht="15.75">
      <c r="A231" s="13">
        <v>48153</v>
      </c>
      <c r="B231" s="8">
        <f>CHOOSE( CONTROL!$C$36, 8.559, 8.5579) * CHOOSE(CONTROL!$C$19, $D$11, 100%, $F$11)</f>
        <v>8.5589999999999993</v>
      </c>
      <c r="C231" s="8">
        <f>CHOOSE( CONTROL!$C$36, 8.5641, 8.563) * CHOOSE(CONTROL!$C$19, $D$11, 100%, $F$11)</f>
        <v>8.5640999999999998</v>
      </c>
      <c r="D231" s="8">
        <f>CHOOSE( CONTROL!$C$36, 8.5433, 8.5423) * CHOOSE( CONTROL!$C$19, $D$11, 100%, $F$11)</f>
        <v>8.5433000000000003</v>
      </c>
      <c r="E231" s="12">
        <f>CHOOSE( CONTROL!$C$36, 8.5504, 8.5493) * CHOOSE( CONTROL!$C$19, $D$11, 100%, $F$11)</f>
        <v>8.5503999999999998</v>
      </c>
      <c r="F231" s="4">
        <f>CHOOSE( CONTROL!$C$36, 9.2183, 9.2172) * CHOOSE(CONTROL!$C$19, $D$11, 100%, $F$11)</f>
        <v>9.2182999999999993</v>
      </c>
      <c r="G231" s="8">
        <f>CHOOSE( CONTROL!$C$36, 8.4744, 8.4733) * CHOOSE( CONTROL!$C$19, $D$11, 100%, $F$11)</f>
        <v>8.4743999999999993</v>
      </c>
      <c r="H231" s="4">
        <f>CHOOSE( CONTROL!$C$36, 9.3635, 9.3624) * CHOOSE(CONTROL!$C$19, $D$11, 100%, $F$11)</f>
        <v>9.3635000000000002</v>
      </c>
      <c r="I231" s="8">
        <f>CHOOSE( CONTROL!$C$36, 8.4905, 8.4895) * CHOOSE(CONTROL!$C$19, $D$11, 100%, $F$11)</f>
        <v>8.4905000000000008</v>
      </c>
      <c r="J231" s="4">
        <f>CHOOSE( CONTROL!$C$36, 8.3044, 8.3033) * CHOOSE(CONTROL!$C$19, $D$11, 100%, $F$11)</f>
        <v>8.3043999999999993</v>
      </c>
      <c r="K231" s="4"/>
      <c r="L231" s="9">
        <v>28.360600000000002</v>
      </c>
      <c r="M231" s="9">
        <v>11.6745</v>
      </c>
      <c r="N231" s="9">
        <v>4.7850000000000001</v>
      </c>
      <c r="O231" s="9">
        <v>0.36199999999999999</v>
      </c>
      <c r="P231" s="9">
        <v>1.2509999999999999</v>
      </c>
      <c r="Q231" s="9">
        <v>30.0258</v>
      </c>
      <c r="R231" s="9"/>
      <c r="S231" s="11"/>
    </row>
    <row r="232" spans="1:19" ht="15.75">
      <c r="A232" s="13">
        <v>48183</v>
      </c>
      <c r="B232" s="8">
        <f>CHOOSE( CONTROL!$C$36, 8.5434, 8.5423) * CHOOSE(CONTROL!$C$19, $D$11, 100%, $F$11)</f>
        <v>8.5434000000000001</v>
      </c>
      <c r="C232" s="8">
        <f>CHOOSE( CONTROL!$C$36, 8.5485, 8.5474) * CHOOSE(CONTROL!$C$19, $D$11, 100%, $F$11)</f>
        <v>8.5485000000000007</v>
      </c>
      <c r="D232" s="8">
        <f>CHOOSE( CONTROL!$C$36, 8.5291, 8.528) * CHOOSE( CONTROL!$C$19, $D$11, 100%, $F$11)</f>
        <v>8.5290999999999997</v>
      </c>
      <c r="E232" s="12">
        <f>CHOOSE( CONTROL!$C$36, 8.5357, 8.5346) * CHOOSE( CONTROL!$C$19, $D$11, 100%, $F$11)</f>
        <v>8.5357000000000003</v>
      </c>
      <c r="F232" s="4">
        <f>CHOOSE( CONTROL!$C$36, 9.2027, 9.2016) * CHOOSE(CONTROL!$C$19, $D$11, 100%, $F$11)</f>
        <v>9.2027000000000001</v>
      </c>
      <c r="G232" s="8">
        <f>CHOOSE( CONTROL!$C$36, 8.46, 8.4589) * CHOOSE( CONTROL!$C$19, $D$11, 100%, $F$11)</f>
        <v>8.4600000000000009</v>
      </c>
      <c r="H232" s="4">
        <f>CHOOSE( CONTROL!$C$36, 9.3481, 9.3471) * CHOOSE(CONTROL!$C$19, $D$11, 100%, $F$11)</f>
        <v>9.3481000000000005</v>
      </c>
      <c r="I232" s="8">
        <f>CHOOSE( CONTROL!$C$36, 8.4797, 8.4787) * CHOOSE(CONTROL!$C$19, $D$11, 100%, $F$11)</f>
        <v>8.4796999999999993</v>
      </c>
      <c r="J232" s="4">
        <f>CHOOSE( CONTROL!$C$36, 8.2893, 8.2882) * CHOOSE(CONTROL!$C$19, $D$11, 100%, $F$11)</f>
        <v>8.2893000000000008</v>
      </c>
      <c r="K232" s="4"/>
      <c r="L232" s="9">
        <v>29.306000000000001</v>
      </c>
      <c r="M232" s="9">
        <v>12.063700000000001</v>
      </c>
      <c r="N232" s="9">
        <v>4.9444999999999997</v>
      </c>
      <c r="O232" s="9">
        <v>0.37409999999999999</v>
      </c>
      <c r="P232" s="9">
        <v>1.2927</v>
      </c>
      <c r="Q232" s="9">
        <v>31.026700000000002</v>
      </c>
      <c r="R232" s="9"/>
      <c r="S232" s="11"/>
    </row>
    <row r="233" spans="1:19" ht="15.75">
      <c r="A233" s="13">
        <v>48214</v>
      </c>
      <c r="B233" s="8">
        <f>CHOOSE( CONTROL!$C$36, 8.7959, 8.7948) * CHOOSE(CONTROL!$C$19, $D$11, 100%, $F$11)</f>
        <v>8.7958999999999996</v>
      </c>
      <c r="C233" s="8">
        <f>CHOOSE( CONTROL!$C$36, 8.801, 8.7999) * CHOOSE(CONTROL!$C$19, $D$11, 100%, $F$11)</f>
        <v>8.8010000000000002</v>
      </c>
      <c r="D233" s="8">
        <f>CHOOSE( CONTROL!$C$36, 8.8023, 8.8012) * CHOOSE( CONTROL!$C$19, $D$11, 100%, $F$11)</f>
        <v>8.8023000000000007</v>
      </c>
      <c r="E233" s="12">
        <f>CHOOSE( CONTROL!$C$36, 8.8013, 8.8002) * CHOOSE( CONTROL!$C$19, $D$11, 100%, $F$11)</f>
        <v>8.8012999999999995</v>
      </c>
      <c r="F233" s="4">
        <f>CHOOSE( CONTROL!$C$36, 9.4552, 9.4541) * CHOOSE(CONTROL!$C$19, $D$11, 100%, $F$11)</f>
        <v>9.4551999999999996</v>
      </c>
      <c r="G233" s="8">
        <f>CHOOSE( CONTROL!$C$36, 8.72, 8.7189) * CHOOSE( CONTROL!$C$19, $D$11, 100%, $F$11)</f>
        <v>8.7200000000000006</v>
      </c>
      <c r="H233" s="4">
        <f>CHOOSE( CONTROL!$C$36, 9.5971, 9.596) * CHOOSE(CONTROL!$C$19, $D$11, 100%, $F$11)</f>
        <v>9.5970999999999993</v>
      </c>
      <c r="I233" s="8">
        <f>CHOOSE( CONTROL!$C$36, 8.7018, 8.7008) * CHOOSE(CONTROL!$C$19, $D$11, 100%, $F$11)</f>
        <v>8.7018000000000004</v>
      </c>
      <c r="J233" s="4">
        <f>CHOOSE( CONTROL!$C$36, 8.5337, 8.5327) * CHOOSE(CONTROL!$C$19, $D$11, 100%, $F$11)</f>
        <v>8.5336999999999996</v>
      </c>
      <c r="K233" s="4"/>
      <c r="L233" s="9">
        <v>29.306000000000001</v>
      </c>
      <c r="M233" s="9">
        <v>12.063700000000001</v>
      </c>
      <c r="N233" s="9">
        <v>4.9444999999999997</v>
      </c>
      <c r="O233" s="9">
        <v>0.37409999999999999</v>
      </c>
      <c r="P233" s="9">
        <v>1.2927</v>
      </c>
      <c r="Q233" s="9">
        <v>30.8704</v>
      </c>
      <c r="R233" s="9"/>
      <c r="S233" s="11"/>
    </row>
    <row r="234" spans="1:19" ht="15.75">
      <c r="A234" s="13">
        <v>48245</v>
      </c>
      <c r="B234" s="8">
        <f>CHOOSE( CONTROL!$C$36, 8.2262, 8.2251) * CHOOSE(CONTROL!$C$19, $D$11, 100%, $F$11)</f>
        <v>8.2262000000000004</v>
      </c>
      <c r="C234" s="8">
        <f>CHOOSE( CONTROL!$C$36, 8.2313, 8.2302) * CHOOSE(CONTROL!$C$19, $D$11, 100%, $F$11)</f>
        <v>8.2312999999999992</v>
      </c>
      <c r="D234" s="8">
        <f>CHOOSE( CONTROL!$C$36, 8.2325, 8.2314) * CHOOSE( CONTROL!$C$19, $D$11, 100%, $F$11)</f>
        <v>8.2324999999999999</v>
      </c>
      <c r="E234" s="12">
        <f>CHOOSE( CONTROL!$C$36, 8.2315, 8.2304) * CHOOSE( CONTROL!$C$19, $D$11, 100%, $F$11)</f>
        <v>8.2315000000000005</v>
      </c>
      <c r="F234" s="4">
        <f>CHOOSE( CONTROL!$C$36, 8.8855, 8.8844) * CHOOSE(CONTROL!$C$19, $D$11, 100%, $F$11)</f>
        <v>8.8855000000000004</v>
      </c>
      <c r="G234" s="8">
        <f>CHOOSE( CONTROL!$C$36, 8.1581, 8.1571) * CHOOSE( CONTROL!$C$19, $D$11, 100%, $F$11)</f>
        <v>8.1580999999999992</v>
      </c>
      <c r="H234" s="4">
        <f>CHOOSE( CONTROL!$C$36, 9.0354, 9.0343) * CHOOSE(CONTROL!$C$19, $D$11, 100%, $F$11)</f>
        <v>9.0353999999999992</v>
      </c>
      <c r="I234" s="8">
        <f>CHOOSE( CONTROL!$C$36, 8.1495, 8.1485) * CHOOSE(CONTROL!$C$19, $D$11, 100%, $F$11)</f>
        <v>8.1494999999999997</v>
      </c>
      <c r="J234" s="4">
        <f>CHOOSE( CONTROL!$C$36, 7.9821, 7.9811) * CHOOSE(CONTROL!$C$19, $D$11, 100%, $F$11)</f>
        <v>7.9821</v>
      </c>
      <c r="K234" s="4"/>
      <c r="L234" s="9">
        <v>27.415299999999998</v>
      </c>
      <c r="M234" s="9">
        <v>11.285299999999999</v>
      </c>
      <c r="N234" s="9">
        <v>4.6254999999999997</v>
      </c>
      <c r="O234" s="9">
        <v>0.34989999999999999</v>
      </c>
      <c r="P234" s="9">
        <v>1.2093</v>
      </c>
      <c r="Q234" s="9">
        <v>28.878799999999998</v>
      </c>
      <c r="R234" s="9"/>
      <c r="S234" s="11"/>
    </row>
    <row r="235" spans="1:19" ht="15.75">
      <c r="A235" s="13">
        <v>48274</v>
      </c>
      <c r="B235" s="8">
        <f>CHOOSE( CONTROL!$C$36, 8.0508, 8.0497) * CHOOSE(CONTROL!$C$19, $D$11, 100%, $F$11)</f>
        <v>8.0508000000000006</v>
      </c>
      <c r="C235" s="8">
        <f>CHOOSE( CONTROL!$C$36, 8.0559, 8.0548) * CHOOSE(CONTROL!$C$19, $D$11, 100%, $F$11)</f>
        <v>8.0558999999999994</v>
      </c>
      <c r="D235" s="8">
        <f>CHOOSE( CONTROL!$C$36, 8.0564, 8.0553) * CHOOSE( CONTROL!$C$19, $D$11, 100%, $F$11)</f>
        <v>8.0564</v>
      </c>
      <c r="E235" s="12">
        <f>CHOOSE( CONTROL!$C$36, 8.0557, 8.0546) * CHOOSE( CONTROL!$C$19, $D$11, 100%, $F$11)</f>
        <v>8.0556999999999999</v>
      </c>
      <c r="F235" s="4">
        <f>CHOOSE( CONTROL!$C$36, 8.71, 8.7089) * CHOOSE(CONTROL!$C$19, $D$11, 100%, $F$11)</f>
        <v>8.7100000000000009</v>
      </c>
      <c r="G235" s="8">
        <f>CHOOSE( CONTROL!$C$36, 7.9847, 7.9836) * CHOOSE( CONTROL!$C$19, $D$11, 100%, $F$11)</f>
        <v>7.9847000000000001</v>
      </c>
      <c r="H235" s="4">
        <f>CHOOSE( CONTROL!$C$36, 8.8623, 8.8613) * CHOOSE(CONTROL!$C$19, $D$11, 100%, $F$11)</f>
        <v>8.8622999999999994</v>
      </c>
      <c r="I235" s="8">
        <f>CHOOSE( CONTROL!$C$36, 7.9775, 7.9765) * CHOOSE(CONTROL!$C$19, $D$11, 100%, $F$11)</f>
        <v>7.9775</v>
      </c>
      <c r="J235" s="4">
        <f>CHOOSE( CONTROL!$C$36, 7.8122, 7.8112) * CHOOSE(CONTROL!$C$19, $D$11, 100%, $F$11)</f>
        <v>7.8121999999999998</v>
      </c>
      <c r="K235" s="4"/>
      <c r="L235" s="9">
        <v>29.306000000000001</v>
      </c>
      <c r="M235" s="9">
        <v>12.063700000000001</v>
      </c>
      <c r="N235" s="9">
        <v>4.9444999999999997</v>
      </c>
      <c r="O235" s="9">
        <v>0.37409999999999999</v>
      </c>
      <c r="P235" s="9">
        <v>1.2927</v>
      </c>
      <c r="Q235" s="9">
        <v>30.8704</v>
      </c>
      <c r="R235" s="9"/>
      <c r="S235" s="11"/>
    </row>
    <row r="236" spans="1:19" ht="15.75">
      <c r="A236" s="13">
        <v>48305</v>
      </c>
      <c r="B236" s="8">
        <f>CHOOSE( CONTROL!$C$36, 8.1741, 8.173) * CHOOSE(CONTROL!$C$19, $D$11, 100%, $F$11)</f>
        <v>8.1740999999999993</v>
      </c>
      <c r="C236" s="8">
        <f>CHOOSE( CONTROL!$C$36, 8.1787, 8.1776) * CHOOSE(CONTROL!$C$19, $D$11, 100%, $F$11)</f>
        <v>8.1786999999999992</v>
      </c>
      <c r="D236" s="8">
        <f>CHOOSE( CONTROL!$C$36, 8.1991, 8.198) * CHOOSE( CONTROL!$C$19, $D$11, 100%, $F$11)</f>
        <v>8.1990999999999996</v>
      </c>
      <c r="E236" s="12">
        <f>CHOOSE( CONTROL!$C$36, 8.1918, 8.1907) * CHOOSE( CONTROL!$C$19, $D$11, 100%, $F$11)</f>
        <v>8.1918000000000006</v>
      </c>
      <c r="F236" s="4">
        <f>CHOOSE( CONTROL!$C$36, 8.9085, 8.9074) * CHOOSE(CONTROL!$C$19, $D$11, 100%, $F$11)</f>
        <v>8.9085000000000001</v>
      </c>
      <c r="G236" s="8">
        <f>CHOOSE( CONTROL!$C$36, 8.1137, 8.1126) * CHOOSE( CONTROL!$C$19, $D$11, 100%, $F$11)</f>
        <v>8.1136999999999997</v>
      </c>
      <c r="H236" s="4">
        <f>CHOOSE( CONTROL!$C$36, 9.0581, 9.057) * CHOOSE(CONTROL!$C$19, $D$11, 100%, $F$11)</f>
        <v>9.0580999999999996</v>
      </c>
      <c r="I236" s="8">
        <f>CHOOSE( CONTROL!$C$36, 8.0658, 8.0648) * CHOOSE(CONTROL!$C$19, $D$11, 100%, $F$11)</f>
        <v>8.0657999999999994</v>
      </c>
      <c r="J236" s="4">
        <f>CHOOSE( CONTROL!$C$36, 7.9309, 7.9299) * CHOOSE(CONTROL!$C$19, $D$11, 100%, $F$11)</f>
        <v>7.9309000000000003</v>
      </c>
      <c r="K236" s="4"/>
      <c r="L236" s="9">
        <v>30.092199999999998</v>
      </c>
      <c r="M236" s="9">
        <v>11.6745</v>
      </c>
      <c r="N236" s="9">
        <v>4.7850000000000001</v>
      </c>
      <c r="O236" s="9">
        <v>0.36199999999999999</v>
      </c>
      <c r="P236" s="9">
        <v>1.2509999999999999</v>
      </c>
      <c r="Q236" s="9">
        <v>29.874600000000001</v>
      </c>
      <c r="R236" s="9"/>
      <c r="S236" s="11"/>
    </row>
    <row r="237" spans="1:19" ht="15.75">
      <c r="A237" s="13">
        <v>48335</v>
      </c>
      <c r="B237" s="8">
        <f>CHOOSE( CONTROL!$C$36, 8.3943, 8.3926) * CHOOSE(CONTROL!$C$19, $D$11, 100%, $F$11)</f>
        <v>8.3942999999999994</v>
      </c>
      <c r="C237" s="8">
        <f>CHOOSE( CONTROL!$C$36, 8.4023, 8.4006) * CHOOSE(CONTROL!$C$19, $D$11, 100%, $F$11)</f>
        <v>8.4023000000000003</v>
      </c>
      <c r="D237" s="8">
        <f>CHOOSE( CONTROL!$C$36, 8.4165, 8.4148) * CHOOSE( CONTROL!$C$19, $D$11, 100%, $F$11)</f>
        <v>8.4164999999999992</v>
      </c>
      <c r="E237" s="12">
        <f>CHOOSE( CONTROL!$C$36, 8.4101, 8.4084) * CHOOSE( CONTROL!$C$19, $D$11, 100%, $F$11)</f>
        <v>8.4100999999999999</v>
      </c>
      <c r="F237" s="4">
        <f>CHOOSE( CONTROL!$C$36, 9.1273, 9.1257) * CHOOSE(CONTROL!$C$19, $D$11, 100%, $F$11)</f>
        <v>9.1273</v>
      </c>
      <c r="G237" s="8">
        <f>CHOOSE( CONTROL!$C$36, 8.3294, 8.3277) * CHOOSE( CONTROL!$C$19, $D$11, 100%, $F$11)</f>
        <v>8.3293999999999997</v>
      </c>
      <c r="H237" s="4">
        <f>CHOOSE( CONTROL!$C$36, 9.2738, 9.2722) * CHOOSE(CONTROL!$C$19, $D$11, 100%, $F$11)</f>
        <v>9.2737999999999996</v>
      </c>
      <c r="I237" s="8">
        <f>CHOOSE( CONTROL!$C$36, 8.2774, 8.2758) * CHOOSE(CONTROL!$C$19, $D$11, 100%, $F$11)</f>
        <v>8.2774000000000001</v>
      </c>
      <c r="J237" s="4">
        <f>CHOOSE( CONTROL!$C$36, 8.1428, 8.1412) * CHOOSE(CONTROL!$C$19, $D$11, 100%, $F$11)</f>
        <v>8.1427999999999994</v>
      </c>
      <c r="K237" s="4"/>
      <c r="L237" s="9">
        <v>30.7165</v>
      </c>
      <c r="M237" s="9">
        <v>12.063700000000001</v>
      </c>
      <c r="N237" s="9">
        <v>4.9444999999999997</v>
      </c>
      <c r="O237" s="9">
        <v>0.37409999999999999</v>
      </c>
      <c r="P237" s="9">
        <v>1.2927</v>
      </c>
      <c r="Q237" s="9">
        <v>30.8704</v>
      </c>
      <c r="R237" s="9"/>
      <c r="S237" s="11"/>
    </row>
    <row r="238" spans="1:19" ht="15.75">
      <c r="A238" s="13">
        <v>48366</v>
      </c>
      <c r="B238" s="8">
        <f>CHOOSE( CONTROL!$C$36, 8.2591, 8.2574) * CHOOSE(CONTROL!$C$19, $D$11, 100%, $F$11)</f>
        <v>8.2591000000000001</v>
      </c>
      <c r="C238" s="8">
        <f>CHOOSE( CONTROL!$C$36, 8.2671, 8.2654) * CHOOSE(CONTROL!$C$19, $D$11, 100%, $F$11)</f>
        <v>8.2670999999999992</v>
      </c>
      <c r="D238" s="8">
        <f>CHOOSE( CONTROL!$C$36, 8.2815, 8.2798) * CHOOSE( CONTROL!$C$19, $D$11, 100%, $F$11)</f>
        <v>8.2814999999999994</v>
      </c>
      <c r="E238" s="12">
        <f>CHOOSE( CONTROL!$C$36, 8.2751, 8.2734) * CHOOSE( CONTROL!$C$19, $D$11, 100%, $F$11)</f>
        <v>8.2751000000000001</v>
      </c>
      <c r="F238" s="4">
        <f>CHOOSE( CONTROL!$C$36, 8.9921, 8.9905) * CHOOSE(CONTROL!$C$19, $D$11, 100%, $F$11)</f>
        <v>8.9921000000000006</v>
      </c>
      <c r="G238" s="8">
        <f>CHOOSE( CONTROL!$C$36, 8.1962, 8.1946) * CHOOSE( CONTROL!$C$19, $D$11, 100%, $F$11)</f>
        <v>8.1961999999999993</v>
      </c>
      <c r="H238" s="4">
        <f>CHOOSE( CONTROL!$C$36, 9.1405, 9.1389) * CHOOSE(CONTROL!$C$19, $D$11, 100%, $F$11)</f>
        <v>9.1404999999999994</v>
      </c>
      <c r="I238" s="8">
        <f>CHOOSE( CONTROL!$C$36, 8.1471, 8.1455) * CHOOSE(CONTROL!$C$19, $D$11, 100%, $F$11)</f>
        <v>8.1471</v>
      </c>
      <c r="J238" s="4">
        <f>CHOOSE( CONTROL!$C$36, 8.0119, 8.0103) * CHOOSE(CONTROL!$C$19, $D$11, 100%, $F$11)</f>
        <v>8.0119000000000007</v>
      </c>
      <c r="K238" s="4"/>
      <c r="L238" s="9">
        <v>29.7257</v>
      </c>
      <c r="M238" s="9">
        <v>11.6745</v>
      </c>
      <c r="N238" s="9">
        <v>4.7850000000000001</v>
      </c>
      <c r="O238" s="9">
        <v>0.36199999999999999</v>
      </c>
      <c r="P238" s="9">
        <v>1.2509999999999999</v>
      </c>
      <c r="Q238" s="9">
        <v>29.874600000000001</v>
      </c>
      <c r="R238" s="9"/>
      <c r="S238" s="11"/>
    </row>
    <row r="239" spans="1:19" ht="15.75">
      <c r="A239" s="13">
        <v>48396</v>
      </c>
      <c r="B239" s="8">
        <f>CHOOSE( CONTROL!$C$36, 8.6151, 8.6134) * CHOOSE(CONTROL!$C$19, $D$11, 100%, $F$11)</f>
        <v>8.6151</v>
      </c>
      <c r="C239" s="8">
        <f>CHOOSE( CONTROL!$C$36, 8.6231, 8.6214) * CHOOSE(CONTROL!$C$19, $D$11, 100%, $F$11)</f>
        <v>8.6231000000000009</v>
      </c>
      <c r="D239" s="8">
        <f>CHOOSE( CONTROL!$C$36, 8.6377, 8.636) * CHOOSE( CONTROL!$C$19, $D$11, 100%, $F$11)</f>
        <v>8.6377000000000006</v>
      </c>
      <c r="E239" s="12">
        <f>CHOOSE( CONTROL!$C$36, 8.6312, 8.6295) * CHOOSE( CONTROL!$C$19, $D$11, 100%, $F$11)</f>
        <v>8.6311999999999998</v>
      </c>
      <c r="F239" s="4">
        <f>CHOOSE( CONTROL!$C$36, 9.3481, 9.3464) * CHOOSE(CONTROL!$C$19, $D$11, 100%, $F$11)</f>
        <v>9.3481000000000005</v>
      </c>
      <c r="G239" s="8">
        <f>CHOOSE( CONTROL!$C$36, 8.5474, 8.5458) * CHOOSE( CONTROL!$C$19, $D$11, 100%, $F$11)</f>
        <v>8.5473999999999997</v>
      </c>
      <c r="H239" s="4">
        <f>CHOOSE( CONTROL!$C$36, 9.4915, 9.4899) * CHOOSE(CONTROL!$C$19, $D$11, 100%, $F$11)</f>
        <v>9.4915000000000003</v>
      </c>
      <c r="I239" s="8">
        <f>CHOOSE( CONTROL!$C$36, 8.4928, 8.4912) * CHOOSE(CONTROL!$C$19, $D$11, 100%, $F$11)</f>
        <v>8.4928000000000008</v>
      </c>
      <c r="J239" s="4">
        <f>CHOOSE( CONTROL!$C$36, 8.3566, 8.355) * CHOOSE(CONTROL!$C$19, $D$11, 100%, $F$11)</f>
        <v>8.3566000000000003</v>
      </c>
      <c r="K239" s="4"/>
      <c r="L239" s="9">
        <v>30.7165</v>
      </c>
      <c r="M239" s="9">
        <v>12.063700000000001</v>
      </c>
      <c r="N239" s="9">
        <v>4.9444999999999997</v>
      </c>
      <c r="O239" s="9">
        <v>0.37409999999999999</v>
      </c>
      <c r="P239" s="9">
        <v>1.2927</v>
      </c>
      <c r="Q239" s="9">
        <v>30.8704</v>
      </c>
      <c r="R239" s="9"/>
      <c r="S239" s="11"/>
    </row>
    <row r="240" spans="1:19" ht="15.75">
      <c r="A240" s="13">
        <v>48427</v>
      </c>
      <c r="B240" s="8">
        <f>CHOOSE( CONTROL!$C$36, 7.949, 7.9474) * CHOOSE(CONTROL!$C$19, $D$11, 100%, $F$11)</f>
        <v>7.9489999999999998</v>
      </c>
      <c r="C240" s="8">
        <f>CHOOSE( CONTROL!$C$36, 7.957, 7.9554) * CHOOSE(CONTROL!$C$19, $D$11, 100%, $F$11)</f>
        <v>7.9569999999999999</v>
      </c>
      <c r="D240" s="8">
        <f>CHOOSE( CONTROL!$C$36, 7.9717, 7.97) * CHOOSE( CONTROL!$C$19, $D$11, 100%, $F$11)</f>
        <v>7.9717000000000002</v>
      </c>
      <c r="E240" s="12">
        <f>CHOOSE( CONTROL!$C$36, 7.9652, 7.9635) * CHOOSE( CONTROL!$C$19, $D$11, 100%, $F$11)</f>
        <v>7.9652000000000003</v>
      </c>
      <c r="F240" s="4">
        <f>CHOOSE( CONTROL!$C$36, 8.6821, 8.6804) * CHOOSE(CONTROL!$C$19, $D$11, 100%, $F$11)</f>
        <v>8.6821000000000002</v>
      </c>
      <c r="G240" s="8">
        <f>CHOOSE( CONTROL!$C$36, 7.8907, 7.8891) * CHOOSE( CONTROL!$C$19, $D$11, 100%, $F$11)</f>
        <v>7.8906999999999998</v>
      </c>
      <c r="H240" s="4">
        <f>CHOOSE( CONTROL!$C$36, 8.8348, 8.8331) * CHOOSE(CONTROL!$C$19, $D$11, 100%, $F$11)</f>
        <v>8.8347999999999995</v>
      </c>
      <c r="I240" s="8">
        <f>CHOOSE( CONTROL!$C$36, 7.8477, 7.8461) * CHOOSE(CONTROL!$C$19, $D$11, 100%, $F$11)</f>
        <v>7.8476999999999997</v>
      </c>
      <c r="J240" s="4">
        <f>CHOOSE( CONTROL!$C$36, 7.7116, 7.71) * CHOOSE(CONTROL!$C$19, $D$11, 100%, $F$11)</f>
        <v>7.7115999999999998</v>
      </c>
      <c r="K240" s="4"/>
      <c r="L240" s="9">
        <v>30.7165</v>
      </c>
      <c r="M240" s="9">
        <v>12.063700000000001</v>
      </c>
      <c r="N240" s="9">
        <v>4.9444999999999997</v>
      </c>
      <c r="O240" s="9">
        <v>0.37409999999999999</v>
      </c>
      <c r="P240" s="9">
        <v>1.2927</v>
      </c>
      <c r="Q240" s="9">
        <v>30.8704</v>
      </c>
      <c r="R240" s="9"/>
      <c r="S240" s="11"/>
    </row>
    <row r="241" spans="1:19" ht="15.75">
      <c r="A241" s="13">
        <v>48458</v>
      </c>
      <c r="B241" s="8">
        <f>CHOOSE( CONTROL!$C$36, 7.7822, 7.7806) * CHOOSE(CONTROL!$C$19, $D$11, 100%, $F$11)</f>
        <v>7.7821999999999996</v>
      </c>
      <c r="C241" s="8">
        <f>CHOOSE( CONTROL!$C$36, 7.7902, 7.7886) * CHOOSE(CONTROL!$C$19, $D$11, 100%, $F$11)</f>
        <v>7.7901999999999996</v>
      </c>
      <c r="D241" s="8">
        <f>CHOOSE( CONTROL!$C$36, 7.8048, 7.8032) * CHOOSE( CONTROL!$C$19, $D$11, 100%, $F$11)</f>
        <v>7.8048000000000002</v>
      </c>
      <c r="E241" s="12">
        <f>CHOOSE( CONTROL!$C$36, 7.7983, 7.7967) * CHOOSE( CONTROL!$C$19, $D$11, 100%, $F$11)</f>
        <v>7.7983000000000002</v>
      </c>
      <c r="F241" s="4">
        <f>CHOOSE( CONTROL!$C$36, 8.5153, 8.5136) * CHOOSE(CONTROL!$C$19, $D$11, 100%, $F$11)</f>
        <v>8.5152999999999999</v>
      </c>
      <c r="G241" s="8">
        <f>CHOOSE( CONTROL!$C$36, 7.7262, 7.7245) * CHOOSE( CONTROL!$C$19, $D$11, 100%, $F$11)</f>
        <v>7.7262000000000004</v>
      </c>
      <c r="H241" s="4">
        <f>CHOOSE( CONTROL!$C$36, 8.6703, 8.6687) * CHOOSE(CONTROL!$C$19, $D$11, 100%, $F$11)</f>
        <v>8.6702999999999992</v>
      </c>
      <c r="I241" s="8">
        <f>CHOOSE( CONTROL!$C$36, 7.6858, 7.6842) * CHOOSE(CONTROL!$C$19, $D$11, 100%, $F$11)</f>
        <v>7.6858000000000004</v>
      </c>
      <c r="J241" s="4">
        <f>CHOOSE( CONTROL!$C$36, 7.5501, 7.5485) * CHOOSE(CONTROL!$C$19, $D$11, 100%, $F$11)</f>
        <v>7.5500999999999996</v>
      </c>
      <c r="K241" s="4"/>
      <c r="L241" s="9">
        <v>29.7257</v>
      </c>
      <c r="M241" s="9">
        <v>11.6745</v>
      </c>
      <c r="N241" s="9">
        <v>4.7850000000000001</v>
      </c>
      <c r="O241" s="9">
        <v>0.36199999999999999</v>
      </c>
      <c r="P241" s="9">
        <v>1.2509999999999999</v>
      </c>
      <c r="Q241" s="9">
        <v>29.874600000000001</v>
      </c>
      <c r="R241" s="9"/>
      <c r="S241" s="11"/>
    </row>
    <row r="242" spans="1:19" ht="15.75">
      <c r="A242" s="13">
        <v>48488</v>
      </c>
      <c r="B242" s="8">
        <f>CHOOSE( CONTROL!$C$36, 8.1262, 8.1252) * CHOOSE(CONTROL!$C$19, $D$11, 100%, $F$11)</f>
        <v>8.1262000000000008</v>
      </c>
      <c r="C242" s="8">
        <f>CHOOSE( CONTROL!$C$36, 8.1316, 8.1305) * CHOOSE(CONTROL!$C$19, $D$11, 100%, $F$11)</f>
        <v>8.1316000000000006</v>
      </c>
      <c r="D242" s="8">
        <f>CHOOSE( CONTROL!$C$36, 8.1521, 8.151) * CHOOSE( CONTROL!$C$19, $D$11, 100%, $F$11)</f>
        <v>8.1521000000000008</v>
      </c>
      <c r="E242" s="12">
        <f>CHOOSE( CONTROL!$C$36, 8.1448, 8.1437) * CHOOSE( CONTROL!$C$19, $D$11, 100%, $F$11)</f>
        <v>8.1448</v>
      </c>
      <c r="F242" s="4">
        <f>CHOOSE( CONTROL!$C$36, 8.861, 8.8599) * CHOOSE(CONTROL!$C$19, $D$11, 100%, $F$11)</f>
        <v>8.8610000000000007</v>
      </c>
      <c r="G242" s="8">
        <f>CHOOSE( CONTROL!$C$36, 8.0673, 8.0662) * CHOOSE( CONTROL!$C$19, $D$11, 100%, $F$11)</f>
        <v>8.0672999999999995</v>
      </c>
      <c r="H242" s="4">
        <f>CHOOSE( CONTROL!$C$36, 9.0112, 9.0102) * CHOOSE(CONTROL!$C$19, $D$11, 100%, $F$11)</f>
        <v>9.0112000000000005</v>
      </c>
      <c r="I242" s="8">
        <f>CHOOSE( CONTROL!$C$36, 8.0218, 8.0207) * CHOOSE(CONTROL!$C$19, $D$11, 100%, $F$11)</f>
        <v>8.0218000000000007</v>
      </c>
      <c r="J242" s="4">
        <f>CHOOSE( CONTROL!$C$36, 7.8849, 7.8839) * CHOOSE(CONTROL!$C$19, $D$11, 100%, $F$11)</f>
        <v>7.8849</v>
      </c>
      <c r="K242" s="4"/>
      <c r="L242" s="9">
        <v>31.095300000000002</v>
      </c>
      <c r="M242" s="9">
        <v>12.063700000000001</v>
      </c>
      <c r="N242" s="9">
        <v>4.9444999999999997</v>
      </c>
      <c r="O242" s="9">
        <v>0.37409999999999999</v>
      </c>
      <c r="P242" s="9">
        <v>1.2927</v>
      </c>
      <c r="Q242" s="9">
        <v>30.8704</v>
      </c>
      <c r="R242" s="9"/>
      <c r="S242" s="11"/>
    </row>
    <row r="243" spans="1:19" ht="15.75">
      <c r="A243" s="13">
        <v>48519</v>
      </c>
      <c r="B243" s="8">
        <f>CHOOSE( CONTROL!$C$36, 8.7651, 8.764) * CHOOSE(CONTROL!$C$19, $D$11, 100%, $F$11)</f>
        <v>8.7651000000000003</v>
      </c>
      <c r="C243" s="8">
        <f>CHOOSE( CONTROL!$C$36, 8.7702, 8.7691) * CHOOSE(CONTROL!$C$19, $D$11, 100%, $F$11)</f>
        <v>8.7702000000000009</v>
      </c>
      <c r="D243" s="8">
        <f>CHOOSE( CONTROL!$C$36, 8.7494, 8.7483) * CHOOSE( CONTROL!$C$19, $D$11, 100%, $F$11)</f>
        <v>8.7493999999999996</v>
      </c>
      <c r="E243" s="12">
        <f>CHOOSE( CONTROL!$C$36, 8.7565, 8.7554) * CHOOSE( CONTROL!$C$19, $D$11, 100%, $F$11)</f>
        <v>8.7565000000000008</v>
      </c>
      <c r="F243" s="4">
        <f>CHOOSE( CONTROL!$C$36, 9.4243, 9.4232) * CHOOSE(CONTROL!$C$19, $D$11, 100%, $F$11)</f>
        <v>9.4243000000000006</v>
      </c>
      <c r="G243" s="8">
        <f>CHOOSE( CONTROL!$C$36, 8.6775, 8.6764) * CHOOSE( CONTROL!$C$19, $D$11, 100%, $F$11)</f>
        <v>8.6775000000000002</v>
      </c>
      <c r="H243" s="4">
        <f>CHOOSE( CONTROL!$C$36, 9.5667, 9.5656) * CHOOSE(CONTROL!$C$19, $D$11, 100%, $F$11)</f>
        <v>9.5667000000000009</v>
      </c>
      <c r="I243" s="8">
        <f>CHOOSE( CONTROL!$C$36, 8.6901, 8.6891) * CHOOSE(CONTROL!$C$19, $D$11, 100%, $F$11)</f>
        <v>8.6900999999999993</v>
      </c>
      <c r="J243" s="4">
        <f>CHOOSE( CONTROL!$C$36, 8.5039, 8.5028) * CHOOSE(CONTROL!$C$19, $D$11, 100%, $F$11)</f>
        <v>8.5038999999999998</v>
      </c>
      <c r="K243" s="4"/>
      <c r="L243" s="9">
        <v>28.360600000000002</v>
      </c>
      <c r="M243" s="9">
        <v>11.6745</v>
      </c>
      <c r="N243" s="9">
        <v>4.7850000000000001</v>
      </c>
      <c r="O243" s="9">
        <v>0.36199999999999999</v>
      </c>
      <c r="P243" s="9">
        <v>1.2509999999999999</v>
      </c>
      <c r="Q243" s="9">
        <v>29.874600000000001</v>
      </c>
      <c r="R243" s="9"/>
      <c r="S243" s="11"/>
    </row>
    <row r="244" spans="1:19" ht="15.75">
      <c r="A244" s="13">
        <v>48549</v>
      </c>
      <c r="B244" s="8">
        <f>CHOOSE( CONTROL!$C$36, 8.7491, 8.748) * CHOOSE(CONTROL!$C$19, $D$11, 100%, $F$11)</f>
        <v>8.7491000000000003</v>
      </c>
      <c r="C244" s="8">
        <f>CHOOSE( CONTROL!$C$36, 8.7542, 8.7531) * CHOOSE(CONTROL!$C$19, $D$11, 100%, $F$11)</f>
        <v>8.7542000000000009</v>
      </c>
      <c r="D244" s="8">
        <f>CHOOSE( CONTROL!$C$36, 8.7348, 8.7337) * CHOOSE( CONTROL!$C$19, $D$11, 100%, $F$11)</f>
        <v>8.7347999999999999</v>
      </c>
      <c r="E244" s="12">
        <f>CHOOSE( CONTROL!$C$36, 8.7414, 8.7403) * CHOOSE( CONTROL!$C$19, $D$11, 100%, $F$11)</f>
        <v>8.7414000000000005</v>
      </c>
      <c r="F244" s="4">
        <f>CHOOSE( CONTROL!$C$36, 9.4083, 9.4073) * CHOOSE(CONTROL!$C$19, $D$11, 100%, $F$11)</f>
        <v>9.4083000000000006</v>
      </c>
      <c r="G244" s="8">
        <f>CHOOSE( CONTROL!$C$36, 8.6628, 8.6617) * CHOOSE( CONTROL!$C$19, $D$11, 100%, $F$11)</f>
        <v>8.6628000000000007</v>
      </c>
      <c r="H244" s="4">
        <f>CHOOSE( CONTROL!$C$36, 9.5509, 9.5499) * CHOOSE(CONTROL!$C$19, $D$11, 100%, $F$11)</f>
        <v>9.5509000000000004</v>
      </c>
      <c r="I244" s="8">
        <f>CHOOSE( CONTROL!$C$36, 8.679, 8.6779) * CHOOSE(CONTROL!$C$19, $D$11, 100%, $F$11)</f>
        <v>8.6790000000000003</v>
      </c>
      <c r="J244" s="4">
        <f>CHOOSE( CONTROL!$C$36, 8.4884, 8.4873) * CHOOSE(CONTROL!$C$19, $D$11, 100%, $F$11)</f>
        <v>8.4884000000000004</v>
      </c>
      <c r="K244" s="4"/>
      <c r="L244" s="9">
        <v>29.306000000000001</v>
      </c>
      <c r="M244" s="9">
        <v>12.063700000000001</v>
      </c>
      <c r="N244" s="9">
        <v>4.9444999999999997</v>
      </c>
      <c r="O244" s="9">
        <v>0.37409999999999999</v>
      </c>
      <c r="P244" s="9">
        <v>1.2927</v>
      </c>
      <c r="Q244" s="9">
        <v>30.8704</v>
      </c>
      <c r="R244" s="9"/>
      <c r="S244" s="11"/>
    </row>
    <row r="245" spans="1:19" ht="15.75">
      <c r="A245" s="13">
        <v>48580</v>
      </c>
      <c r="B245" s="8">
        <f>CHOOSE( CONTROL!$C$36, 9.0076, 9.0065) * CHOOSE(CONTROL!$C$19, $D$11, 100%, $F$11)</f>
        <v>9.0076000000000001</v>
      </c>
      <c r="C245" s="8">
        <f>CHOOSE( CONTROL!$C$36, 9.0127, 9.0116) * CHOOSE(CONTROL!$C$19, $D$11, 100%, $F$11)</f>
        <v>9.0127000000000006</v>
      </c>
      <c r="D245" s="8">
        <f>CHOOSE( CONTROL!$C$36, 9.014, 9.0129) * CHOOSE( CONTROL!$C$19, $D$11, 100%, $F$11)</f>
        <v>9.0139999999999993</v>
      </c>
      <c r="E245" s="12">
        <f>CHOOSE( CONTROL!$C$36, 9.013, 9.0119) * CHOOSE( CONTROL!$C$19, $D$11, 100%, $F$11)</f>
        <v>9.0129999999999999</v>
      </c>
      <c r="F245" s="4">
        <f>CHOOSE( CONTROL!$C$36, 9.6669, 9.6658) * CHOOSE(CONTROL!$C$19, $D$11, 100%, $F$11)</f>
        <v>9.6669</v>
      </c>
      <c r="G245" s="8">
        <f>CHOOSE( CONTROL!$C$36, 8.9288, 8.9277) * CHOOSE( CONTROL!$C$19, $D$11, 100%, $F$11)</f>
        <v>8.9288000000000007</v>
      </c>
      <c r="H245" s="4">
        <f>CHOOSE( CONTROL!$C$36, 9.8059, 9.8048) * CHOOSE(CONTROL!$C$19, $D$11, 100%, $F$11)</f>
        <v>9.8058999999999994</v>
      </c>
      <c r="I245" s="8">
        <f>CHOOSE( CONTROL!$C$36, 8.9069, 8.9059) * CHOOSE(CONTROL!$C$19, $D$11, 100%, $F$11)</f>
        <v>8.9069000000000003</v>
      </c>
      <c r="J245" s="4">
        <f>CHOOSE( CONTROL!$C$36, 8.7387, 8.7377) * CHOOSE(CONTROL!$C$19, $D$11, 100%, $F$11)</f>
        <v>8.7386999999999997</v>
      </c>
      <c r="K245" s="4"/>
      <c r="L245" s="9">
        <v>29.306000000000001</v>
      </c>
      <c r="M245" s="9">
        <v>12.063700000000001</v>
      </c>
      <c r="N245" s="9">
        <v>4.9444999999999997</v>
      </c>
      <c r="O245" s="9">
        <v>0.37409999999999999</v>
      </c>
      <c r="P245" s="9">
        <v>1.2927</v>
      </c>
      <c r="Q245" s="9">
        <v>30.773700000000002</v>
      </c>
      <c r="R245" s="9"/>
      <c r="S245" s="11"/>
    </row>
    <row r="246" spans="1:19" ht="15.75">
      <c r="A246" s="13">
        <v>48611</v>
      </c>
      <c r="B246" s="8">
        <f>CHOOSE( CONTROL!$C$36, 8.4243, 8.4232) * CHOOSE(CONTROL!$C$19, $D$11, 100%, $F$11)</f>
        <v>8.4243000000000006</v>
      </c>
      <c r="C246" s="8">
        <f>CHOOSE( CONTROL!$C$36, 8.4294, 8.4283) * CHOOSE(CONTROL!$C$19, $D$11, 100%, $F$11)</f>
        <v>8.4293999999999993</v>
      </c>
      <c r="D246" s="8">
        <f>CHOOSE( CONTROL!$C$36, 8.4305, 8.4294) * CHOOSE( CONTROL!$C$19, $D$11, 100%, $F$11)</f>
        <v>8.4305000000000003</v>
      </c>
      <c r="E246" s="12">
        <f>CHOOSE( CONTROL!$C$36, 8.4296, 8.4285) * CHOOSE( CONTROL!$C$19, $D$11, 100%, $F$11)</f>
        <v>8.4296000000000006</v>
      </c>
      <c r="F246" s="4">
        <f>CHOOSE( CONTROL!$C$36, 9.0835, 9.0824) * CHOOSE(CONTROL!$C$19, $D$11, 100%, $F$11)</f>
        <v>9.0835000000000008</v>
      </c>
      <c r="G246" s="8">
        <f>CHOOSE( CONTROL!$C$36, 8.3534, 8.3524) * CHOOSE( CONTROL!$C$19, $D$11, 100%, $F$11)</f>
        <v>8.3534000000000006</v>
      </c>
      <c r="H246" s="4">
        <f>CHOOSE( CONTROL!$C$36, 9.2306, 9.2296) * CHOOSE(CONTROL!$C$19, $D$11, 100%, $F$11)</f>
        <v>9.2306000000000008</v>
      </c>
      <c r="I246" s="8">
        <f>CHOOSE( CONTROL!$C$36, 8.3414, 8.3403) * CHOOSE(CONTROL!$C$19, $D$11, 100%, $F$11)</f>
        <v>8.3414000000000001</v>
      </c>
      <c r="J246" s="4">
        <f>CHOOSE( CONTROL!$C$36, 8.1739, 8.1728) * CHOOSE(CONTROL!$C$19, $D$11, 100%, $F$11)</f>
        <v>8.1738999999999997</v>
      </c>
      <c r="K246" s="4"/>
      <c r="L246" s="9">
        <v>26.469899999999999</v>
      </c>
      <c r="M246" s="9">
        <v>10.8962</v>
      </c>
      <c r="N246" s="9">
        <v>4.4660000000000002</v>
      </c>
      <c r="O246" s="9">
        <v>0.33789999999999998</v>
      </c>
      <c r="P246" s="9">
        <v>1.1676</v>
      </c>
      <c r="Q246" s="9">
        <v>27.7956</v>
      </c>
      <c r="R246" s="9"/>
      <c r="S246" s="11"/>
    </row>
    <row r="247" spans="1:19" ht="15.75">
      <c r="A247" s="13">
        <v>48639</v>
      </c>
      <c r="B247" s="8">
        <f>CHOOSE( CONTROL!$C$36, 8.2446, 8.2435) * CHOOSE(CONTROL!$C$19, $D$11, 100%, $F$11)</f>
        <v>8.2446000000000002</v>
      </c>
      <c r="C247" s="8">
        <f>CHOOSE( CONTROL!$C$36, 8.2497, 8.2486) * CHOOSE(CONTROL!$C$19, $D$11, 100%, $F$11)</f>
        <v>8.2497000000000007</v>
      </c>
      <c r="D247" s="8">
        <f>CHOOSE( CONTROL!$C$36, 8.2502, 8.2491) * CHOOSE( CONTROL!$C$19, $D$11, 100%, $F$11)</f>
        <v>8.2501999999999995</v>
      </c>
      <c r="E247" s="12">
        <f>CHOOSE( CONTROL!$C$36, 8.2495, 8.2484) * CHOOSE( CONTROL!$C$19, $D$11, 100%, $F$11)</f>
        <v>8.2494999999999994</v>
      </c>
      <c r="F247" s="4">
        <f>CHOOSE( CONTROL!$C$36, 8.9038, 8.9028) * CHOOSE(CONTROL!$C$19, $D$11, 100%, $F$11)</f>
        <v>8.9038000000000004</v>
      </c>
      <c r="G247" s="8">
        <f>CHOOSE( CONTROL!$C$36, 8.1758, 8.1747) * CHOOSE( CONTROL!$C$19, $D$11, 100%, $F$11)</f>
        <v>8.1758000000000006</v>
      </c>
      <c r="H247" s="4">
        <f>CHOOSE( CONTROL!$C$36, 9.0535, 9.0524) * CHOOSE(CONTROL!$C$19, $D$11, 100%, $F$11)</f>
        <v>9.0534999999999997</v>
      </c>
      <c r="I247" s="8">
        <f>CHOOSE( CONTROL!$C$36, 8.1653, 8.1643) * CHOOSE(CONTROL!$C$19, $D$11, 100%, $F$11)</f>
        <v>8.1653000000000002</v>
      </c>
      <c r="J247" s="4">
        <f>CHOOSE( CONTROL!$C$36, 7.9999, 7.9988) * CHOOSE(CONTROL!$C$19, $D$11, 100%, $F$11)</f>
        <v>7.9999000000000002</v>
      </c>
      <c r="K247" s="4"/>
      <c r="L247" s="9">
        <v>29.306000000000001</v>
      </c>
      <c r="M247" s="9">
        <v>12.063700000000001</v>
      </c>
      <c r="N247" s="9">
        <v>4.9444999999999997</v>
      </c>
      <c r="O247" s="9">
        <v>0.37409999999999999</v>
      </c>
      <c r="P247" s="9">
        <v>1.2927</v>
      </c>
      <c r="Q247" s="9">
        <v>30.773700000000002</v>
      </c>
      <c r="R247" s="9"/>
      <c r="S247" s="11"/>
    </row>
    <row r="248" spans="1:19" ht="15.75">
      <c r="A248" s="13">
        <v>48670</v>
      </c>
      <c r="B248" s="8">
        <f>CHOOSE( CONTROL!$C$36, 8.3709, 8.3698) * CHOOSE(CONTROL!$C$19, $D$11, 100%, $F$11)</f>
        <v>8.3709000000000007</v>
      </c>
      <c r="C248" s="8">
        <f>CHOOSE( CONTROL!$C$36, 8.3754, 8.3743) * CHOOSE(CONTROL!$C$19, $D$11, 100%, $F$11)</f>
        <v>8.3754000000000008</v>
      </c>
      <c r="D248" s="8">
        <f>CHOOSE( CONTROL!$C$36, 8.3958, 8.3947) * CHOOSE( CONTROL!$C$19, $D$11, 100%, $F$11)</f>
        <v>8.3957999999999995</v>
      </c>
      <c r="E248" s="12">
        <f>CHOOSE( CONTROL!$C$36, 8.3885, 8.3874) * CHOOSE( CONTROL!$C$19, $D$11, 100%, $F$11)</f>
        <v>8.3885000000000005</v>
      </c>
      <c r="F248" s="4">
        <f>CHOOSE( CONTROL!$C$36, 9.1053, 9.1042) * CHOOSE(CONTROL!$C$19, $D$11, 100%, $F$11)</f>
        <v>9.1052999999999997</v>
      </c>
      <c r="G248" s="8">
        <f>CHOOSE( CONTROL!$C$36, 8.3077, 8.3066) * CHOOSE( CONTROL!$C$19, $D$11, 100%, $F$11)</f>
        <v>8.3077000000000005</v>
      </c>
      <c r="H248" s="4">
        <f>CHOOSE( CONTROL!$C$36, 9.2521, 9.251) * CHOOSE(CONTROL!$C$19, $D$11, 100%, $F$11)</f>
        <v>9.2521000000000004</v>
      </c>
      <c r="I248" s="8">
        <f>CHOOSE( CONTROL!$C$36, 8.2565, 8.2554) * CHOOSE(CONTROL!$C$19, $D$11, 100%, $F$11)</f>
        <v>8.2565000000000008</v>
      </c>
      <c r="J248" s="4">
        <f>CHOOSE( CONTROL!$C$36, 8.1215, 8.1204) * CHOOSE(CONTROL!$C$19, $D$11, 100%, $F$11)</f>
        <v>8.1214999999999993</v>
      </c>
      <c r="K248" s="4"/>
      <c r="L248" s="9">
        <v>30.092199999999998</v>
      </c>
      <c r="M248" s="9">
        <v>11.6745</v>
      </c>
      <c r="N248" s="9">
        <v>4.7850000000000001</v>
      </c>
      <c r="O248" s="9">
        <v>0.36199999999999999</v>
      </c>
      <c r="P248" s="9">
        <v>1.2509999999999999</v>
      </c>
      <c r="Q248" s="9">
        <v>29.780999999999999</v>
      </c>
      <c r="R248" s="9"/>
      <c r="S248" s="11"/>
    </row>
    <row r="249" spans="1:19" ht="15.75">
      <c r="A249" s="13">
        <v>48700</v>
      </c>
      <c r="B249" s="8">
        <f>CHOOSE( CONTROL!$C$36, 8.5963, 8.5946) * CHOOSE(CONTROL!$C$19, $D$11, 100%, $F$11)</f>
        <v>8.5962999999999994</v>
      </c>
      <c r="C249" s="8">
        <f>CHOOSE( CONTROL!$C$36, 8.6043, 8.6026) * CHOOSE(CONTROL!$C$19, $D$11, 100%, $F$11)</f>
        <v>8.6043000000000003</v>
      </c>
      <c r="D249" s="8">
        <f>CHOOSE( CONTROL!$C$36, 8.6185, 8.6168) * CHOOSE( CONTROL!$C$19, $D$11, 100%, $F$11)</f>
        <v>8.6184999999999992</v>
      </c>
      <c r="E249" s="12">
        <f>CHOOSE( CONTROL!$C$36, 8.6121, 8.6104) * CHOOSE( CONTROL!$C$19, $D$11, 100%, $F$11)</f>
        <v>8.6120999999999999</v>
      </c>
      <c r="F249" s="4">
        <f>CHOOSE( CONTROL!$C$36, 9.3293, 9.3277) * CHOOSE(CONTROL!$C$19, $D$11, 100%, $F$11)</f>
        <v>9.3292999999999999</v>
      </c>
      <c r="G249" s="8">
        <f>CHOOSE( CONTROL!$C$36, 8.5286, 8.5269) * CHOOSE( CONTROL!$C$19, $D$11, 100%, $F$11)</f>
        <v>8.5286000000000008</v>
      </c>
      <c r="H249" s="4">
        <f>CHOOSE( CONTROL!$C$36, 9.473, 9.4714) * CHOOSE(CONTROL!$C$19, $D$11, 100%, $F$11)</f>
        <v>9.4730000000000008</v>
      </c>
      <c r="I249" s="8">
        <f>CHOOSE( CONTROL!$C$36, 8.4731, 8.4715) * CHOOSE(CONTROL!$C$19, $D$11, 100%, $F$11)</f>
        <v>8.4731000000000005</v>
      </c>
      <c r="J249" s="4">
        <f>CHOOSE( CONTROL!$C$36, 8.3384, 8.3368) * CHOOSE(CONTROL!$C$19, $D$11, 100%, $F$11)</f>
        <v>8.3384</v>
      </c>
      <c r="K249" s="4"/>
      <c r="L249" s="9">
        <v>30.7165</v>
      </c>
      <c r="M249" s="9">
        <v>12.063700000000001</v>
      </c>
      <c r="N249" s="9">
        <v>4.9444999999999997</v>
      </c>
      <c r="O249" s="9">
        <v>0.37409999999999999</v>
      </c>
      <c r="P249" s="9">
        <v>1.2927</v>
      </c>
      <c r="Q249" s="9">
        <v>30.773700000000002</v>
      </c>
      <c r="R249" s="9"/>
      <c r="S249" s="11"/>
    </row>
    <row r="250" spans="1:19" ht="15.75">
      <c r="A250" s="13">
        <v>48731</v>
      </c>
      <c r="B250" s="8">
        <f>CHOOSE( CONTROL!$C$36, 8.4579, 8.4562) * CHOOSE(CONTROL!$C$19, $D$11, 100%, $F$11)</f>
        <v>8.4579000000000004</v>
      </c>
      <c r="C250" s="8">
        <f>CHOOSE( CONTROL!$C$36, 8.4659, 8.4642) * CHOOSE(CONTROL!$C$19, $D$11, 100%, $F$11)</f>
        <v>8.4658999999999995</v>
      </c>
      <c r="D250" s="8">
        <f>CHOOSE( CONTROL!$C$36, 8.4803, 8.4786) * CHOOSE( CONTROL!$C$19, $D$11, 100%, $F$11)</f>
        <v>8.4802999999999997</v>
      </c>
      <c r="E250" s="12">
        <f>CHOOSE( CONTROL!$C$36, 8.4739, 8.4722) * CHOOSE( CONTROL!$C$19, $D$11, 100%, $F$11)</f>
        <v>8.4739000000000004</v>
      </c>
      <c r="F250" s="4">
        <f>CHOOSE( CONTROL!$C$36, 9.1909, 9.1892) * CHOOSE(CONTROL!$C$19, $D$11, 100%, $F$11)</f>
        <v>9.1908999999999992</v>
      </c>
      <c r="G250" s="8">
        <f>CHOOSE( CONTROL!$C$36, 8.3922, 8.3906) * CHOOSE( CONTROL!$C$19, $D$11, 100%, $F$11)</f>
        <v>8.3922000000000008</v>
      </c>
      <c r="H250" s="4">
        <f>CHOOSE( CONTROL!$C$36, 9.3365, 9.3349) * CHOOSE(CONTROL!$C$19, $D$11, 100%, $F$11)</f>
        <v>9.3364999999999991</v>
      </c>
      <c r="I250" s="8">
        <f>CHOOSE( CONTROL!$C$36, 8.3396, 8.338) * CHOOSE(CONTROL!$C$19, $D$11, 100%, $F$11)</f>
        <v>8.3396000000000008</v>
      </c>
      <c r="J250" s="4">
        <f>CHOOSE( CONTROL!$C$36, 8.2044, 8.2028) * CHOOSE(CONTROL!$C$19, $D$11, 100%, $F$11)</f>
        <v>8.2043999999999997</v>
      </c>
      <c r="K250" s="4"/>
      <c r="L250" s="9">
        <v>29.7257</v>
      </c>
      <c r="M250" s="9">
        <v>11.6745</v>
      </c>
      <c r="N250" s="9">
        <v>4.7850000000000001</v>
      </c>
      <c r="O250" s="9">
        <v>0.36199999999999999</v>
      </c>
      <c r="P250" s="9">
        <v>1.2509999999999999</v>
      </c>
      <c r="Q250" s="9">
        <v>29.780999999999999</v>
      </c>
      <c r="R250" s="9"/>
      <c r="S250" s="11"/>
    </row>
    <row r="251" spans="1:19" ht="15.75">
      <c r="A251" s="13">
        <v>48761</v>
      </c>
      <c r="B251" s="8">
        <f>CHOOSE( CONTROL!$C$36, 8.8224, 8.8207) * CHOOSE(CONTROL!$C$19, $D$11, 100%, $F$11)</f>
        <v>8.8224</v>
      </c>
      <c r="C251" s="8">
        <f>CHOOSE( CONTROL!$C$36, 8.8304, 8.8287) * CHOOSE(CONTROL!$C$19, $D$11, 100%, $F$11)</f>
        <v>8.8303999999999991</v>
      </c>
      <c r="D251" s="8">
        <f>CHOOSE( CONTROL!$C$36, 8.845, 8.8434) * CHOOSE( CONTROL!$C$19, $D$11, 100%, $F$11)</f>
        <v>8.8450000000000006</v>
      </c>
      <c r="E251" s="12">
        <f>CHOOSE( CONTROL!$C$36, 8.8385, 8.8369) * CHOOSE( CONTROL!$C$19, $D$11, 100%, $F$11)</f>
        <v>8.8384999999999998</v>
      </c>
      <c r="F251" s="4">
        <f>CHOOSE( CONTROL!$C$36, 9.5554, 9.5538) * CHOOSE(CONTROL!$C$19, $D$11, 100%, $F$11)</f>
        <v>9.5554000000000006</v>
      </c>
      <c r="G251" s="8">
        <f>CHOOSE( CONTROL!$C$36, 8.7518, 8.7502) * CHOOSE( CONTROL!$C$19, $D$11, 100%, $F$11)</f>
        <v>8.7517999999999994</v>
      </c>
      <c r="H251" s="4">
        <f>CHOOSE( CONTROL!$C$36, 9.696, 9.6943) * CHOOSE(CONTROL!$C$19, $D$11, 100%, $F$11)</f>
        <v>9.6959999999999997</v>
      </c>
      <c r="I251" s="8">
        <f>CHOOSE( CONTROL!$C$36, 8.6936, 8.692) * CHOOSE(CONTROL!$C$19, $D$11, 100%, $F$11)</f>
        <v>8.6936</v>
      </c>
      <c r="J251" s="4">
        <f>CHOOSE( CONTROL!$C$36, 8.5573, 8.5557) * CHOOSE(CONTROL!$C$19, $D$11, 100%, $F$11)</f>
        <v>8.5572999999999997</v>
      </c>
      <c r="K251" s="4"/>
      <c r="L251" s="9">
        <v>30.7165</v>
      </c>
      <c r="M251" s="9">
        <v>12.063700000000001</v>
      </c>
      <c r="N251" s="9">
        <v>4.9444999999999997</v>
      </c>
      <c r="O251" s="9">
        <v>0.37409999999999999</v>
      </c>
      <c r="P251" s="9">
        <v>1.2927</v>
      </c>
      <c r="Q251" s="9">
        <v>30.773700000000002</v>
      </c>
      <c r="R251" s="9"/>
      <c r="S251" s="11"/>
    </row>
    <row r="252" spans="1:19" ht="15.75">
      <c r="A252" s="13">
        <v>48792</v>
      </c>
      <c r="B252" s="8">
        <f>CHOOSE( CONTROL!$C$36, 8.1403, 8.1387) * CHOOSE(CONTROL!$C$19, $D$11, 100%, $F$11)</f>
        <v>8.1402999999999999</v>
      </c>
      <c r="C252" s="8">
        <f>CHOOSE( CONTROL!$C$36, 8.1483, 8.1467) * CHOOSE(CONTROL!$C$19, $D$11, 100%, $F$11)</f>
        <v>8.1483000000000008</v>
      </c>
      <c r="D252" s="8">
        <f>CHOOSE( CONTROL!$C$36, 8.163, 8.1614) * CHOOSE( CONTROL!$C$19, $D$11, 100%, $F$11)</f>
        <v>8.1630000000000003</v>
      </c>
      <c r="E252" s="12">
        <f>CHOOSE( CONTROL!$C$36, 8.1565, 8.1549) * CHOOSE( CONTROL!$C$19, $D$11, 100%, $F$11)</f>
        <v>8.1564999999999994</v>
      </c>
      <c r="F252" s="4">
        <f>CHOOSE( CONTROL!$C$36, 8.8734, 8.8717) * CHOOSE(CONTROL!$C$19, $D$11, 100%, $F$11)</f>
        <v>8.8734000000000002</v>
      </c>
      <c r="G252" s="8">
        <f>CHOOSE( CONTROL!$C$36, 8.0793, 8.0777) * CHOOSE( CONTROL!$C$19, $D$11, 100%, $F$11)</f>
        <v>8.0792999999999999</v>
      </c>
      <c r="H252" s="4">
        <f>CHOOSE( CONTROL!$C$36, 9.0234, 9.0218) * CHOOSE(CONTROL!$C$19, $D$11, 100%, $F$11)</f>
        <v>9.0234000000000005</v>
      </c>
      <c r="I252" s="8">
        <f>CHOOSE( CONTROL!$C$36, 8.0331, 8.0315) * CHOOSE(CONTROL!$C$19, $D$11, 100%, $F$11)</f>
        <v>8.0330999999999992</v>
      </c>
      <c r="J252" s="4">
        <f>CHOOSE( CONTROL!$C$36, 7.8969, 7.8953) * CHOOSE(CONTROL!$C$19, $D$11, 100%, $F$11)</f>
        <v>7.8968999999999996</v>
      </c>
      <c r="K252" s="4"/>
      <c r="L252" s="9">
        <v>30.7165</v>
      </c>
      <c r="M252" s="9">
        <v>12.063700000000001</v>
      </c>
      <c r="N252" s="9">
        <v>4.9444999999999997</v>
      </c>
      <c r="O252" s="9">
        <v>0.37409999999999999</v>
      </c>
      <c r="P252" s="9">
        <v>1.2927</v>
      </c>
      <c r="Q252" s="9">
        <v>30.773700000000002</v>
      </c>
      <c r="R252" s="9"/>
      <c r="S252" s="11"/>
    </row>
    <row r="253" spans="1:19" ht="15.75">
      <c r="A253" s="13">
        <v>48823</v>
      </c>
      <c r="B253" s="8">
        <f>CHOOSE( CONTROL!$C$36, 7.9695, 7.9679) * CHOOSE(CONTROL!$C$19, $D$11, 100%, $F$11)</f>
        <v>7.9695</v>
      </c>
      <c r="C253" s="8">
        <f>CHOOSE( CONTROL!$C$36, 7.9775, 7.9759) * CHOOSE(CONTROL!$C$19, $D$11, 100%, $F$11)</f>
        <v>7.9775</v>
      </c>
      <c r="D253" s="8">
        <f>CHOOSE( CONTROL!$C$36, 7.9921, 7.9905) * CHOOSE( CONTROL!$C$19, $D$11, 100%, $F$11)</f>
        <v>7.9920999999999998</v>
      </c>
      <c r="E253" s="12">
        <f>CHOOSE( CONTROL!$C$36, 7.9856, 7.984) * CHOOSE( CONTROL!$C$19, $D$11, 100%, $F$11)</f>
        <v>7.9855999999999998</v>
      </c>
      <c r="F253" s="4">
        <f>CHOOSE( CONTROL!$C$36, 8.7026, 8.7009) * CHOOSE(CONTROL!$C$19, $D$11, 100%, $F$11)</f>
        <v>8.7026000000000003</v>
      </c>
      <c r="G253" s="8">
        <f>CHOOSE( CONTROL!$C$36, 7.9109, 7.9092) * CHOOSE( CONTROL!$C$19, $D$11, 100%, $F$11)</f>
        <v>7.9108999999999998</v>
      </c>
      <c r="H253" s="4">
        <f>CHOOSE( CONTROL!$C$36, 8.855, 8.8534) * CHOOSE(CONTROL!$C$19, $D$11, 100%, $F$11)</f>
        <v>8.8550000000000004</v>
      </c>
      <c r="I253" s="8">
        <f>CHOOSE( CONTROL!$C$36, 7.8673, 7.8656) * CHOOSE(CONTROL!$C$19, $D$11, 100%, $F$11)</f>
        <v>7.8673000000000002</v>
      </c>
      <c r="J253" s="4">
        <f>CHOOSE( CONTROL!$C$36, 7.7315, 7.7299) * CHOOSE(CONTROL!$C$19, $D$11, 100%, $F$11)</f>
        <v>7.7314999999999996</v>
      </c>
      <c r="K253" s="4"/>
      <c r="L253" s="9">
        <v>29.7257</v>
      </c>
      <c r="M253" s="9">
        <v>11.6745</v>
      </c>
      <c r="N253" s="9">
        <v>4.7850000000000001</v>
      </c>
      <c r="O253" s="9">
        <v>0.36199999999999999</v>
      </c>
      <c r="P253" s="9">
        <v>1.2509999999999999</v>
      </c>
      <c r="Q253" s="9">
        <v>29.780999999999999</v>
      </c>
      <c r="R253" s="9"/>
      <c r="S253" s="11"/>
    </row>
    <row r="254" spans="1:19" ht="15.75">
      <c r="A254" s="13">
        <v>48853</v>
      </c>
      <c r="B254" s="8">
        <f>CHOOSE( CONTROL!$C$36, 8.3219, 8.3208) * CHOOSE(CONTROL!$C$19, $D$11, 100%, $F$11)</f>
        <v>8.3218999999999994</v>
      </c>
      <c r="C254" s="8">
        <f>CHOOSE( CONTROL!$C$36, 8.3272, 8.3261) * CHOOSE(CONTROL!$C$19, $D$11, 100%, $F$11)</f>
        <v>8.3271999999999995</v>
      </c>
      <c r="D254" s="8">
        <f>CHOOSE( CONTROL!$C$36, 8.3477, 8.3466) * CHOOSE( CONTROL!$C$19, $D$11, 100%, $F$11)</f>
        <v>8.3476999999999997</v>
      </c>
      <c r="E254" s="12">
        <f>CHOOSE( CONTROL!$C$36, 8.3404, 8.3393) * CHOOSE( CONTROL!$C$19, $D$11, 100%, $F$11)</f>
        <v>8.3404000000000007</v>
      </c>
      <c r="F254" s="4">
        <f>CHOOSE( CONTROL!$C$36, 9.0566, 9.0555) * CHOOSE(CONTROL!$C$19, $D$11, 100%, $F$11)</f>
        <v>9.0565999999999995</v>
      </c>
      <c r="G254" s="8">
        <f>CHOOSE( CONTROL!$C$36, 8.2602, 8.2591) * CHOOSE( CONTROL!$C$19, $D$11, 100%, $F$11)</f>
        <v>8.2601999999999993</v>
      </c>
      <c r="H254" s="4">
        <f>CHOOSE( CONTROL!$C$36, 9.2041, 9.2031) * CHOOSE(CONTROL!$C$19, $D$11, 100%, $F$11)</f>
        <v>9.2041000000000004</v>
      </c>
      <c r="I254" s="8">
        <f>CHOOSE( CONTROL!$C$36, 8.2113, 8.2102) * CHOOSE(CONTROL!$C$19, $D$11, 100%, $F$11)</f>
        <v>8.2112999999999996</v>
      </c>
      <c r="J254" s="4">
        <f>CHOOSE( CONTROL!$C$36, 8.0743, 8.0733) * CHOOSE(CONTROL!$C$19, $D$11, 100%, $F$11)</f>
        <v>8.0742999999999991</v>
      </c>
      <c r="K254" s="4"/>
      <c r="L254" s="9">
        <v>31.095300000000002</v>
      </c>
      <c r="M254" s="9">
        <v>12.063700000000001</v>
      </c>
      <c r="N254" s="9">
        <v>4.9444999999999997</v>
      </c>
      <c r="O254" s="9">
        <v>0.37409999999999999</v>
      </c>
      <c r="P254" s="9">
        <v>1.2927</v>
      </c>
      <c r="Q254" s="9">
        <v>30.773700000000002</v>
      </c>
      <c r="R254" s="9"/>
      <c r="S254" s="11"/>
    </row>
    <row r="255" spans="1:19" ht="15.75">
      <c r="A255" s="13">
        <v>48884</v>
      </c>
      <c r="B255" s="8">
        <f>CHOOSE( CONTROL!$C$36, 8.976, 8.975) * CHOOSE(CONTROL!$C$19, $D$11, 100%, $F$11)</f>
        <v>8.9760000000000009</v>
      </c>
      <c r="C255" s="8">
        <f>CHOOSE( CONTROL!$C$36, 8.9811, 8.9801) * CHOOSE(CONTROL!$C$19, $D$11, 100%, $F$11)</f>
        <v>8.9810999999999996</v>
      </c>
      <c r="D255" s="8">
        <f>CHOOSE( CONTROL!$C$36, 8.9604, 8.9593) * CHOOSE( CONTROL!$C$19, $D$11, 100%, $F$11)</f>
        <v>8.9603999999999999</v>
      </c>
      <c r="E255" s="12">
        <f>CHOOSE( CONTROL!$C$36, 8.9674, 8.9664) * CHOOSE( CONTROL!$C$19, $D$11, 100%, $F$11)</f>
        <v>8.9673999999999996</v>
      </c>
      <c r="F255" s="4">
        <f>CHOOSE( CONTROL!$C$36, 9.6353, 9.6342) * CHOOSE(CONTROL!$C$19, $D$11, 100%, $F$11)</f>
        <v>9.6353000000000009</v>
      </c>
      <c r="G255" s="8">
        <f>CHOOSE( CONTROL!$C$36, 8.8856, 8.8845) * CHOOSE( CONTROL!$C$19, $D$11, 100%, $F$11)</f>
        <v>8.8856000000000002</v>
      </c>
      <c r="H255" s="4">
        <f>CHOOSE( CONTROL!$C$36, 9.7747, 9.7737) * CHOOSE(CONTROL!$C$19, $D$11, 100%, $F$11)</f>
        <v>9.7746999999999993</v>
      </c>
      <c r="I255" s="8">
        <f>CHOOSE( CONTROL!$C$36, 8.8946, 8.8935) * CHOOSE(CONTROL!$C$19, $D$11, 100%, $F$11)</f>
        <v>8.8946000000000005</v>
      </c>
      <c r="J255" s="4">
        <f>CHOOSE( CONTROL!$C$36, 8.7082, 8.7071) * CHOOSE(CONTROL!$C$19, $D$11, 100%, $F$11)</f>
        <v>8.7081999999999997</v>
      </c>
      <c r="K255" s="4"/>
      <c r="L255" s="9">
        <v>28.360600000000002</v>
      </c>
      <c r="M255" s="9">
        <v>11.6745</v>
      </c>
      <c r="N255" s="9">
        <v>4.7850000000000001</v>
      </c>
      <c r="O255" s="9">
        <v>0.36199999999999999</v>
      </c>
      <c r="P255" s="9">
        <v>1.2509999999999999</v>
      </c>
      <c r="Q255" s="9">
        <v>29.780999999999999</v>
      </c>
      <c r="R255" s="9"/>
      <c r="S255" s="11"/>
    </row>
    <row r="256" spans="1:19" ht="15.75">
      <c r="A256" s="13">
        <v>48914</v>
      </c>
      <c r="B256" s="8">
        <f>CHOOSE( CONTROL!$C$36, 8.9597, 8.9586) * CHOOSE(CONTROL!$C$19, $D$11, 100%, $F$11)</f>
        <v>8.9596999999999998</v>
      </c>
      <c r="C256" s="8">
        <f>CHOOSE( CONTROL!$C$36, 8.9648, 8.9637) * CHOOSE(CONTROL!$C$19, $D$11, 100%, $F$11)</f>
        <v>8.9648000000000003</v>
      </c>
      <c r="D256" s="8">
        <f>CHOOSE( CONTROL!$C$36, 8.9454, 8.9443) * CHOOSE( CONTROL!$C$19, $D$11, 100%, $F$11)</f>
        <v>8.9453999999999994</v>
      </c>
      <c r="E256" s="12">
        <f>CHOOSE( CONTROL!$C$36, 8.952, 8.9509) * CHOOSE( CONTROL!$C$19, $D$11, 100%, $F$11)</f>
        <v>8.952</v>
      </c>
      <c r="F256" s="4">
        <f>CHOOSE( CONTROL!$C$36, 9.6189, 9.6179) * CHOOSE(CONTROL!$C$19, $D$11, 100%, $F$11)</f>
        <v>9.6189</v>
      </c>
      <c r="G256" s="8">
        <f>CHOOSE( CONTROL!$C$36, 8.8704, 8.8694) * CHOOSE( CONTROL!$C$19, $D$11, 100%, $F$11)</f>
        <v>8.8704000000000001</v>
      </c>
      <c r="H256" s="4">
        <f>CHOOSE( CONTROL!$C$36, 9.7586, 9.7575) * CHOOSE(CONTROL!$C$19, $D$11, 100%, $F$11)</f>
        <v>9.7585999999999995</v>
      </c>
      <c r="I256" s="8">
        <f>CHOOSE( CONTROL!$C$36, 8.883, 8.8819) * CHOOSE(CONTROL!$C$19, $D$11, 100%, $F$11)</f>
        <v>8.8829999999999991</v>
      </c>
      <c r="J256" s="4">
        <f>CHOOSE( CONTROL!$C$36, 8.6923, 8.6913) * CHOOSE(CONTROL!$C$19, $D$11, 100%, $F$11)</f>
        <v>8.6922999999999995</v>
      </c>
      <c r="K256" s="4"/>
      <c r="L256" s="9">
        <v>29.306000000000001</v>
      </c>
      <c r="M256" s="9">
        <v>12.063700000000001</v>
      </c>
      <c r="N256" s="9">
        <v>4.9444999999999997</v>
      </c>
      <c r="O256" s="9">
        <v>0.37409999999999999</v>
      </c>
      <c r="P256" s="9">
        <v>1.2927</v>
      </c>
      <c r="Q256" s="9">
        <v>30.773700000000002</v>
      </c>
      <c r="R256" s="9"/>
      <c r="S256" s="11"/>
    </row>
    <row r="257" spans="1:19" ht="15.75">
      <c r="A257" s="13">
        <v>48945</v>
      </c>
      <c r="B257" s="8">
        <f>CHOOSE( CONTROL!$C$36, 9.2245, 9.2234) * CHOOSE(CONTROL!$C$19, $D$11, 100%, $F$11)</f>
        <v>9.2245000000000008</v>
      </c>
      <c r="C257" s="8">
        <f>CHOOSE( CONTROL!$C$36, 9.2295, 9.2285) * CHOOSE(CONTROL!$C$19, $D$11, 100%, $F$11)</f>
        <v>9.2294999999999998</v>
      </c>
      <c r="D257" s="8">
        <f>CHOOSE( CONTROL!$C$36, 9.2308, 9.2298) * CHOOSE( CONTROL!$C$19, $D$11, 100%, $F$11)</f>
        <v>9.2308000000000003</v>
      </c>
      <c r="E257" s="12">
        <f>CHOOSE( CONTROL!$C$36, 9.2298, 9.2288) * CHOOSE( CONTROL!$C$19, $D$11, 100%, $F$11)</f>
        <v>9.2297999999999991</v>
      </c>
      <c r="F257" s="4">
        <f>CHOOSE( CONTROL!$C$36, 9.8837, 9.8826) * CHOOSE(CONTROL!$C$19, $D$11, 100%, $F$11)</f>
        <v>9.8836999999999993</v>
      </c>
      <c r="G257" s="8">
        <f>CHOOSE( CONTROL!$C$36, 9.1425, 9.1415) * CHOOSE( CONTROL!$C$19, $D$11, 100%, $F$11)</f>
        <v>9.1425000000000001</v>
      </c>
      <c r="H257" s="4">
        <f>CHOOSE( CONTROL!$C$36, 10.0197, 10.0186) * CHOOSE(CONTROL!$C$19, $D$11, 100%, $F$11)</f>
        <v>10.0197</v>
      </c>
      <c r="I257" s="8">
        <f>CHOOSE( CONTROL!$C$36, 9.117, 9.1159) * CHOOSE(CONTROL!$C$19, $D$11, 100%, $F$11)</f>
        <v>9.1170000000000009</v>
      </c>
      <c r="J257" s="4">
        <f>CHOOSE( CONTROL!$C$36, 8.9487, 8.9476) * CHOOSE(CONTROL!$C$19, $D$11, 100%, $F$11)</f>
        <v>8.9487000000000005</v>
      </c>
      <c r="K257" s="4"/>
      <c r="L257" s="9">
        <v>29.306000000000001</v>
      </c>
      <c r="M257" s="9">
        <v>12.063700000000001</v>
      </c>
      <c r="N257" s="9">
        <v>4.9444999999999997</v>
      </c>
      <c r="O257" s="9">
        <v>0.37409999999999999</v>
      </c>
      <c r="P257" s="9">
        <v>1.2927</v>
      </c>
      <c r="Q257" s="9">
        <v>30.7105</v>
      </c>
      <c r="R257" s="9"/>
      <c r="S257" s="11"/>
    </row>
    <row r="258" spans="1:19" ht="15.75">
      <c r="A258" s="13">
        <v>48976</v>
      </c>
      <c r="B258" s="8">
        <f>CHOOSE( CONTROL!$C$36, 8.6271, 8.626) * CHOOSE(CONTROL!$C$19, $D$11, 100%, $F$11)</f>
        <v>8.6271000000000004</v>
      </c>
      <c r="C258" s="8">
        <f>CHOOSE( CONTROL!$C$36, 8.6322, 8.6311) * CHOOSE(CONTROL!$C$19, $D$11, 100%, $F$11)</f>
        <v>8.6321999999999992</v>
      </c>
      <c r="D258" s="8">
        <f>CHOOSE( CONTROL!$C$36, 8.6333, 8.6322) * CHOOSE( CONTROL!$C$19, $D$11, 100%, $F$11)</f>
        <v>8.6333000000000002</v>
      </c>
      <c r="E258" s="12">
        <f>CHOOSE( CONTROL!$C$36, 8.6324, 8.6313) * CHOOSE( CONTROL!$C$19, $D$11, 100%, $F$11)</f>
        <v>8.6324000000000005</v>
      </c>
      <c r="F258" s="4">
        <f>CHOOSE( CONTROL!$C$36, 9.2863, 9.2852) * CHOOSE(CONTROL!$C$19, $D$11, 100%, $F$11)</f>
        <v>9.2863000000000007</v>
      </c>
      <c r="G258" s="8">
        <f>CHOOSE( CONTROL!$C$36, 8.5534, 8.5523) * CHOOSE( CONTROL!$C$19, $D$11, 100%, $F$11)</f>
        <v>8.5533999999999999</v>
      </c>
      <c r="H258" s="4">
        <f>CHOOSE( CONTROL!$C$36, 9.4306, 9.4295) * CHOOSE(CONTROL!$C$19, $D$11, 100%, $F$11)</f>
        <v>9.4306000000000001</v>
      </c>
      <c r="I258" s="8">
        <f>CHOOSE( CONTROL!$C$36, 8.5378, 8.5368) * CHOOSE(CONTROL!$C$19, $D$11, 100%, $F$11)</f>
        <v>8.5378000000000007</v>
      </c>
      <c r="J258" s="4">
        <f>CHOOSE( CONTROL!$C$36, 8.3702, 8.3692) * CHOOSE(CONTROL!$C$19, $D$11, 100%, $F$11)</f>
        <v>8.3702000000000005</v>
      </c>
      <c r="K258" s="4"/>
      <c r="L258" s="9">
        <v>26.469899999999999</v>
      </c>
      <c r="M258" s="9">
        <v>10.8962</v>
      </c>
      <c r="N258" s="9">
        <v>4.4660000000000002</v>
      </c>
      <c r="O258" s="9">
        <v>0.33789999999999998</v>
      </c>
      <c r="P258" s="9">
        <v>1.1676</v>
      </c>
      <c r="Q258" s="9">
        <v>27.738499999999998</v>
      </c>
      <c r="R258" s="9"/>
      <c r="S258" s="11"/>
    </row>
    <row r="259" spans="1:19" ht="15.75">
      <c r="A259" s="13">
        <v>49004</v>
      </c>
      <c r="B259" s="8">
        <f>CHOOSE( CONTROL!$C$36, 8.4431, 8.442) * CHOOSE(CONTROL!$C$19, $D$11, 100%, $F$11)</f>
        <v>8.4430999999999994</v>
      </c>
      <c r="C259" s="8">
        <f>CHOOSE( CONTROL!$C$36, 8.4482, 8.4471) * CHOOSE(CONTROL!$C$19, $D$11, 100%, $F$11)</f>
        <v>8.4481999999999999</v>
      </c>
      <c r="D259" s="8">
        <f>CHOOSE( CONTROL!$C$36, 8.4487, 8.4476) * CHOOSE( CONTROL!$C$19, $D$11, 100%, $F$11)</f>
        <v>8.4487000000000005</v>
      </c>
      <c r="E259" s="12">
        <f>CHOOSE( CONTROL!$C$36, 8.448, 8.4469) * CHOOSE( CONTROL!$C$19, $D$11, 100%, $F$11)</f>
        <v>8.4480000000000004</v>
      </c>
      <c r="F259" s="4">
        <f>CHOOSE( CONTROL!$C$36, 9.1023, 9.1012) * CHOOSE(CONTROL!$C$19, $D$11, 100%, $F$11)</f>
        <v>9.1022999999999996</v>
      </c>
      <c r="G259" s="8">
        <f>CHOOSE( CONTROL!$C$36, 8.3715, 8.3704) * CHOOSE( CONTROL!$C$19, $D$11, 100%, $F$11)</f>
        <v>8.3714999999999993</v>
      </c>
      <c r="H259" s="4">
        <f>CHOOSE( CONTROL!$C$36, 9.2492, 9.2481) * CHOOSE(CONTROL!$C$19, $D$11, 100%, $F$11)</f>
        <v>9.2492000000000001</v>
      </c>
      <c r="I259" s="8">
        <f>CHOOSE( CONTROL!$C$36, 8.3576, 8.3566) * CHOOSE(CONTROL!$C$19, $D$11, 100%, $F$11)</f>
        <v>8.3575999999999997</v>
      </c>
      <c r="J259" s="4">
        <f>CHOOSE( CONTROL!$C$36, 8.1921, 8.191) * CHOOSE(CONTROL!$C$19, $D$11, 100%, $F$11)</f>
        <v>8.1920999999999999</v>
      </c>
      <c r="K259" s="4"/>
      <c r="L259" s="9">
        <v>29.306000000000001</v>
      </c>
      <c r="M259" s="9">
        <v>12.063700000000001</v>
      </c>
      <c r="N259" s="9">
        <v>4.9444999999999997</v>
      </c>
      <c r="O259" s="9">
        <v>0.37409999999999999</v>
      </c>
      <c r="P259" s="9">
        <v>1.2927</v>
      </c>
      <c r="Q259" s="9">
        <v>30.7105</v>
      </c>
      <c r="R259" s="9"/>
      <c r="S259" s="11"/>
    </row>
    <row r="260" spans="1:19" ht="15.75">
      <c r="A260" s="13">
        <v>49035</v>
      </c>
      <c r="B260" s="8">
        <f>CHOOSE( CONTROL!$C$36, 8.5724, 8.5713) * CHOOSE(CONTROL!$C$19, $D$11, 100%, $F$11)</f>
        <v>8.5724</v>
      </c>
      <c r="C260" s="8">
        <f>CHOOSE( CONTROL!$C$36, 8.5769, 8.5758) * CHOOSE(CONTROL!$C$19, $D$11, 100%, $F$11)</f>
        <v>8.5769000000000002</v>
      </c>
      <c r="D260" s="8">
        <f>CHOOSE( CONTROL!$C$36, 8.5973, 8.5962) * CHOOSE( CONTROL!$C$19, $D$11, 100%, $F$11)</f>
        <v>8.5973000000000006</v>
      </c>
      <c r="E260" s="12">
        <f>CHOOSE( CONTROL!$C$36, 8.59, 8.5889) * CHOOSE( CONTROL!$C$19, $D$11, 100%, $F$11)</f>
        <v>8.59</v>
      </c>
      <c r="F260" s="4">
        <f>CHOOSE( CONTROL!$C$36, 9.3068, 9.3057) * CHOOSE(CONTROL!$C$19, $D$11, 100%, $F$11)</f>
        <v>9.3068000000000008</v>
      </c>
      <c r="G260" s="8">
        <f>CHOOSE( CONTROL!$C$36, 8.5064, 8.5053) * CHOOSE( CONTROL!$C$19, $D$11, 100%, $F$11)</f>
        <v>8.5063999999999993</v>
      </c>
      <c r="H260" s="4">
        <f>CHOOSE( CONTROL!$C$36, 9.4508, 9.4497) * CHOOSE(CONTROL!$C$19, $D$11, 100%, $F$11)</f>
        <v>9.4507999999999992</v>
      </c>
      <c r="I260" s="8">
        <f>CHOOSE( CONTROL!$C$36, 8.4517, 8.4506) * CHOOSE(CONTROL!$C$19, $D$11, 100%, $F$11)</f>
        <v>8.4517000000000007</v>
      </c>
      <c r="J260" s="4">
        <f>CHOOSE( CONTROL!$C$36, 8.3166, 8.3155) * CHOOSE(CONTROL!$C$19, $D$11, 100%, $F$11)</f>
        <v>8.3165999999999993</v>
      </c>
      <c r="K260" s="4"/>
      <c r="L260" s="9">
        <v>30.092199999999998</v>
      </c>
      <c r="M260" s="9">
        <v>11.6745</v>
      </c>
      <c r="N260" s="9">
        <v>4.7850000000000001</v>
      </c>
      <c r="O260" s="9">
        <v>0.36199999999999999</v>
      </c>
      <c r="P260" s="9">
        <v>1.2509999999999999</v>
      </c>
      <c r="Q260" s="9">
        <v>29.719799999999999</v>
      </c>
      <c r="R260" s="9"/>
      <c r="S260" s="11"/>
    </row>
    <row r="261" spans="1:19" ht="15.75">
      <c r="A261" s="13">
        <v>49065</v>
      </c>
      <c r="B261" s="8">
        <f>CHOOSE( CONTROL!$C$36, 8.8032, 8.8015) * CHOOSE(CONTROL!$C$19, $D$11, 100%, $F$11)</f>
        <v>8.8032000000000004</v>
      </c>
      <c r="C261" s="8">
        <f>CHOOSE( CONTROL!$C$36, 8.8112, 8.8095) * CHOOSE(CONTROL!$C$19, $D$11, 100%, $F$11)</f>
        <v>8.8111999999999995</v>
      </c>
      <c r="D261" s="8">
        <f>CHOOSE( CONTROL!$C$36, 8.8254, 8.8237) * CHOOSE( CONTROL!$C$19, $D$11, 100%, $F$11)</f>
        <v>8.8254000000000001</v>
      </c>
      <c r="E261" s="12">
        <f>CHOOSE( CONTROL!$C$36, 8.819, 8.8173) * CHOOSE( CONTROL!$C$19, $D$11, 100%, $F$11)</f>
        <v>8.8190000000000008</v>
      </c>
      <c r="F261" s="4">
        <f>CHOOSE( CONTROL!$C$36, 9.5362, 9.5345) * CHOOSE(CONTROL!$C$19, $D$11, 100%, $F$11)</f>
        <v>9.5361999999999991</v>
      </c>
      <c r="G261" s="8">
        <f>CHOOSE( CONTROL!$C$36, 8.7325, 8.7309) * CHOOSE( CONTROL!$C$19, $D$11, 100%, $F$11)</f>
        <v>8.7324999999999999</v>
      </c>
      <c r="H261" s="4">
        <f>CHOOSE( CONTROL!$C$36, 9.677, 9.6754) * CHOOSE(CONTROL!$C$19, $D$11, 100%, $F$11)</f>
        <v>9.6769999999999996</v>
      </c>
      <c r="I261" s="8">
        <f>CHOOSE( CONTROL!$C$36, 8.6735, 8.6719) * CHOOSE(CONTROL!$C$19, $D$11, 100%, $F$11)</f>
        <v>8.6735000000000007</v>
      </c>
      <c r="J261" s="4">
        <f>CHOOSE( CONTROL!$C$36, 8.5387, 8.5371) * CHOOSE(CONTROL!$C$19, $D$11, 100%, $F$11)</f>
        <v>8.5387000000000004</v>
      </c>
      <c r="K261" s="4"/>
      <c r="L261" s="9">
        <v>30.7165</v>
      </c>
      <c r="M261" s="9">
        <v>12.063700000000001</v>
      </c>
      <c r="N261" s="9">
        <v>4.9444999999999997</v>
      </c>
      <c r="O261" s="9">
        <v>0.37409999999999999</v>
      </c>
      <c r="P261" s="9">
        <v>1.2927</v>
      </c>
      <c r="Q261" s="9">
        <v>30.7105</v>
      </c>
      <c r="R261" s="9"/>
      <c r="S261" s="11"/>
    </row>
    <row r="262" spans="1:19" ht="15.75">
      <c r="A262" s="13">
        <v>49096</v>
      </c>
      <c r="B262" s="8">
        <f>CHOOSE( CONTROL!$C$36, 8.6614, 8.6598) * CHOOSE(CONTROL!$C$19, $D$11, 100%, $F$11)</f>
        <v>8.6614000000000004</v>
      </c>
      <c r="C262" s="8">
        <f>CHOOSE( CONTROL!$C$36, 8.6694, 8.6678) * CHOOSE(CONTROL!$C$19, $D$11, 100%, $F$11)</f>
        <v>8.6693999999999996</v>
      </c>
      <c r="D262" s="8">
        <f>CHOOSE( CONTROL!$C$36, 8.6838, 8.6821) * CHOOSE( CONTROL!$C$19, $D$11, 100%, $F$11)</f>
        <v>8.6837999999999997</v>
      </c>
      <c r="E262" s="12">
        <f>CHOOSE( CONTROL!$C$36, 8.6774, 8.6757) * CHOOSE( CONTROL!$C$19, $D$11, 100%, $F$11)</f>
        <v>8.6774000000000004</v>
      </c>
      <c r="F262" s="4">
        <f>CHOOSE( CONTROL!$C$36, 9.3945, 9.3928) * CHOOSE(CONTROL!$C$19, $D$11, 100%, $F$11)</f>
        <v>9.3945000000000007</v>
      </c>
      <c r="G262" s="8">
        <f>CHOOSE( CONTROL!$C$36, 8.5929, 8.5913) * CHOOSE( CONTROL!$C$19, $D$11, 100%, $F$11)</f>
        <v>8.5929000000000002</v>
      </c>
      <c r="H262" s="4">
        <f>CHOOSE( CONTROL!$C$36, 9.5372, 9.5356) * CHOOSE(CONTROL!$C$19, $D$11, 100%, $F$11)</f>
        <v>9.5372000000000003</v>
      </c>
      <c r="I262" s="8">
        <f>CHOOSE( CONTROL!$C$36, 8.5368, 8.5352) * CHOOSE(CONTROL!$C$19, $D$11, 100%, $F$11)</f>
        <v>8.5367999999999995</v>
      </c>
      <c r="J262" s="4">
        <f>CHOOSE( CONTROL!$C$36, 8.4015, 8.3998) * CHOOSE(CONTROL!$C$19, $D$11, 100%, $F$11)</f>
        <v>8.4015000000000004</v>
      </c>
      <c r="K262" s="4"/>
      <c r="L262" s="9">
        <v>29.7257</v>
      </c>
      <c r="M262" s="9">
        <v>11.6745</v>
      </c>
      <c r="N262" s="9">
        <v>4.7850000000000001</v>
      </c>
      <c r="O262" s="9">
        <v>0.36199999999999999</v>
      </c>
      <c r="P262" s="9">
        <v>1.2509999999999999</v>
      </c>
      <c r="Q262" s="9">
        <v>29.719799999999999</v>
      </c>
      <c r="R262" s="9"/>
      <c r="S262" s="11"/>
    </row>
    <row r="263" spans="1:19" ht="15.75">
      <c r="A263" s="13">
        <v>49126</v>
      </c>
      <c r="B263" s="8">
        <f>CHOOSE( CONTROL!$C$36, 9.0347, 9.033) * CHOOSE(CONTROL!$C$19, $D$11, 100%, $F$11)</f>
        <v>9.0347000000000008</v>
      </c>
      <c r="C263" s="8">
        <f>CHOOSE( CONTROL!$C$36, 9.0427, 9.041) * CHOOSE(CONTROL!$C$19, $D$11, 100%, $F$11)</f>
        <v>9.0427</v>
      </c>
      <c r="D263" s="8">
        <f>CHOOSE( CONTROL!$C$36, 9.0573, 9.0557) * CHOOSE( CONTROL!$C$19, $D$11, 100%, $F$11)</f>
        <v>9.0572999999999997</v>
      </c>
      <c r="E263" s="12">
        <f>CHOOSE( CONTROL!$C$36, 9.0508, 9.0492) * CHOOSE( CONTROL!$C$19, $D$11, 100%, $F$11)</f>
        <v>9.0508000000000006</v>
      </c>
      <c r="F263" s="4">
        <f>CHOOSE( CONTROL!$C$36, 9.7677, 9.7661) * CHOOSE(CONTROL!$C$19, $D$11, 100%, $F$11)</f>
        <v>9.7676999999999996</v>
      </c>
      <c r="G263" s="8">
        <f>CHOOSE( CONTROL!$C$36, 8.9612, 8.9595) * CHOOSE( CONTROL!$C$19, $D$11, 100%, $F$11)</f>
        <v>8.9611999999999998</v>
      </c>
      <c r="H263" s="4">
        <f>CHOOSE( CONTROL!$C$36, 9.9053, 9.9037) * CHOOSE(CONTROL!$C$19, $D$11, 100%, $F$11)</f>
        <v>9.9053000000000004</v>
      </c>
      <c r="I263" s="8">
        <f>CHOOSE( CONTROL!$C$36, 8.8993, 8.8977) * CHOOSE(CONTROL!$C$19, $D$11, 100%, $F$11)</f>
        <v>8.8993000000000002</v>
      </c>
      <c r="J263" s="4">
        <f>CHOOSE( CONTROL!$C$36, 8.7629, 8.7613) * CHOOSE(CONTROL!$C$19, $D$11, 100%, $F$11)</f>
        <v>8.7629000000000001</v>
      </c>
      <c r="K263" s="4"/>
      <c r="L263" s="9">
        <v>30.7165</v>
      </c>
      <c r="M263" s="9">
        <v>12.063700000000001</v>
      </c>
      <c r="N263" s="9">
        <v>4.9444999999999997</v>
      </c>
      <c r="O263" s="9">
        <v>0.37409999999999999</v>
      </c>
      <c r="P263" s="9">
        <v>1.2927</v>
      </c>
      <c r="Q263" s="9">
        <v>30.7105</v>
      </c>
      <c r="R263" s="9"/>
      <c r="S263" s="11"/>
    </row>
    <row r="264" spans="1:19" ht="15.75">
      <c r="A264" s="13">
        <v>49157</v>
      </c>
      <c r="B264" s="8">
        <f>CHOOSE( CONTROL!$C$36, 8.3363, 8.3346) * CHOOSE(CONTROL!$C$19, $D$11, 100%, $F$11)</f>
        <v>8.3362999999999996</v>
      </c>
      <c r="C264" s="8">
        <f>CHOOSE( CONTROL!$C$36, 8.3443, 8.3426) * CHOOSE(CONTROL!$C$19, $D$11, 100%, $F$11)</f>
        <v>8.3443000000000005</v>
      </c>
      <c r="D264" s="8">
        <f>CHOOSE( CONTROL!$C$36, 8.3589, 8.3573) * CHOOSE( CONTROL!$C$19, $D$11, 100%, $F$11)</f>
        <v>8.3589000000000002</v>
      </c>
      <c r="E264" s="12">
        <f>CHOOSE( CONTROL!$C$36, 8.3524, 8.3508) * CHOOSE( CONTROL!$C$19, $D$11, 100%, $F$11)</f>
        <v>8.3523999999999994</v>
      </c>
      <c r="F264" s="4">
        <f>CHOOSE( CONTROL!$C$36, 9.0693, 9.0676) * CHOOSE(CONTROL!$C$19, $D$11, 100%, $F$11)</f>
        <v>9.0693000000000001</v>
      </c>
      <c r="G264" s="8">
        <f>CHOOSE( CONTROL!$C$36, 8.2725, 8.2709) * CHOOSE( CONTROL!$C$19, $D$11, 100%, $F$11)</f>
        <v>8.2725000000000009</v>
      </c>
      <c r="H264" s="4">
        <f>CHOOSE( CONTROL!$C$36, 9.2166, 9.215) * CHOOSE(CONTROL!$C$19, $D$11, 100%, $F$11)</f>
        <v>9.2165999999999997</v>
      </c>
      <c r="I264" s="8">
        <f>CHOOSE( CONTROL!$C$36, 8.2229, 8.2212) * CHOOSE(CONTROL!$C$19, $D$11, 100%, $F$11)</f>
        <v>8.2228999999999992</v>
      </c>
      <c r="J264" s="4">
        <f>CHOOSE( CONTROL!$C$36, 8.0866, 8.085) * CHOOSE(CONTROL!$C$19, $D$11, 100%, $F$11)</f>
        <v>8.0866000000000007</v>
      </c>
      <c r="K264" s="4"/>
      <c r="L264" s="9">
        <v>30.7165</v>
      </c>
      <c r="M264" s="9">
        <v>12.063700000000001</v>
      </c>
      <c r="N264" s="9">
        <v>4.9444999999999997</v>
      </c>
      <c r="O264" s="9">
        <v>0.37409999999999999</v>
      </c>
      <c r="P264" s="9">
        <v>1.2927</v>
      </c>
      <c r="Q264" s="9">
        <v>30.7105</v>
      </c>
      <c r="R264" s="9"/>
      <c r="S264" s="11"/>
    </row>
    <row r="265" spans="1:19" ht="15.75">
      <c r="A265" s="13">
        <v>49188</v>
      </c>
      <c r="B265" s="8">
        <f>CHOOSE( CONTROL!$C$36, 8.1614, 8.1597) * CHOOSE(CONTROL!$C$19, $D$11, 100%, $F$11)</f>
        <v>8.1614000000000004</v>
      </c>
      <c r="C265" s="8">
        <f>CHOOSE( CONTROL!$C$36, 8.1694, 8.1677) * CHOOSE(CONTROL!$C$19, $D$11, 100%, $F$11)</f>
        <v>8.1693999999999996</v>
      </c>
      <c r="D265" s="8">
        <f>CHOOSE( CONTROL!$C$36, 8.1839, 8.1823) * CHOOSE( CONTROL!$C$19, $D$11, 100%, $F$11)</f>
        <v>8.1838999999999995</v>
      </c>
      <c r="E265" s="12">
        <f>CHOOSE( CONTROL!$C$36, 8.1774, 8.1758) * CHOOSE( CONTROL!$C$19, $D$11, 100%, $F$11)</f>
        <v>8.1774000000000004</v>
      </c>
      <c r="F265" s="4">
        <f>CHOOSE( CONTROL!$C$36, 8.8944, 8.8927) * CHOOSE(CONTROL!$C$19, $D$11, 100%, $F$11)</f>
        <v>8.8943999999999992</v>
      </c>
      <c r="G265" s="8">
        <f>CHOOSE( CONTROL!$C$36, 8.1, 8.0983) * CHOOSE( CONTROL!$C$19, $D$11, 100%, $F$11)</f>
        <v>8.1</v>
      </c>
      <c r="H265" s="4">
        <f>CHOOSE( CONTROL!$C$36, 9.0441, 9.0425) * CHOOSE(CONTROL!$C$19, $D$11, 100%, $F$11)</f>
        <v>9.0441000000000003</v>
      </c>
      <c r="I265" s="8">
        <f>CHOOSE( CONTROL!$C$36, 8.0531, 8.0515) * CHOOSE(CONTROL!$C$19, $D$11, 100%, $F$11)</f>
        <v>8.0531000000000006</v>
      </c>
      <c r="J265" s="4">
        <f>CHOOSE( CONTROL!$C$36, 7.9172, 7.9156) * CHOOSE(CONTROL!$C$19, $D$11, 100%, $F$11)</f>
        <v>7.9172000000000002</v>
      </c>
      <c r="K265" s="4"/>
      <c r="L265" s="9">
        <v>29.7257</v>
      </c>
      <c r="M265" s="9">
        <v>11.6745</v>
      </c>
      <c r="N265" s="9">
        <v>4.7850000000000001</v>
      </c>
      <c r="O265" s="9">
        <v>0.36199999999999999</v>
      </c>
      <c r="P265" s="9">
        <v>1.2509999999999999</v>
      </c>
      <c r="Q265" s="9">
        <v>29.719799999999999</v>
      </c>
      <c r="R265" s="9"/>
      <c r="S265" s="11"/>
    </row>
    <row r="266" spans="1:19" ht="15.75">
      <c r="A266" s="13">
        <v>49218</v>
      </c>
      <c r="B266" s="8">
        <f>CHOOSE( CONTROL!$C$36, 8.5222, 8.5211) * CHOOSE(CONTROL!$C$19, $D$11, 100%, $F$11)</f>
        <v>8.5221999999999998</v>
      </c>
      <c r="C266" s="8">
        <f>CHOOSE( CONTROL!$C$36, 8.5276, 8.5265) * CHOOSE(CONTROL!$C$19, $D$11, 100%, $F$11)</f>
        <v>8.5275999999999996</v>
      </c>
      <c r="D266" s="8">
        <f>CHOOSE( CONTROL!$C$36, 8.548, 8.547) * CHOOSE( CONTROL!$C$19, $D$11, 100%, $F$11)</f>
        <v>8.548</v>
      </c>
      <c r="E266" s="12">
        <f>CHOOSE( CONTROL!$C$36, 8.5407, 8.5397) * CHOOSE( CONTROL!$C$19, $D$11, 100%, $F$11)</f>
        <v>8.5406999999999993</v>
      </c>
      <c r="F266" s="4">
        <f>CHOOSE( CONTROL!$C$36, 9.257, 9.2559) * CHOOSE(CONTROL!$C$19, $D$11, 100%, $F$11)</f>
        <v>9.2569999999999997</v>
      </c>
      <c r="G266" s="8">
        <f>CHOOSE( CONTROL!$C$36, 8.4577, 8.4566) * CHOOSE( CONTROL!$C$19, $D$11, 100%, $F$11)</f>
        <v>8.4577000000000009</v>
      </c>
      <c r="H266" s="4">
        <f>CHOOSE( CONTROL!$C$36, 9.4017, 9.4006) * CHOOSE(CONTROL!$C$19, $D$11, 100%, $F$11)</f>
        <v>9.4016999999999999</v>
      </c>
      <c r="I266" s="8">
        <f>CHOOSE( CONTROL!$C$36, 8.4054, 8.4043) * CHOOSE(CONTROL!$C$19, $D$11, 100%, $F$11)</f>
        <v>8.4054000000000002</v>
      </c>
      <c r="J266" s="4">
        <f>CHOOSE( CONTROL!$C$36, 8.2683, 8.2673) * CHOOSE(CONTROL!$C$19, $D$11, 100%, $F$11)</f>
        <v>8.2683</v>
      </c>
      <c r="K266" s="4"/>
      <c r="L266" s="9">
        <v>31.095300000000002</v>
      </c>
      <c r="M266" s="9">
        <v>12.063700000000001</v>
      </c>
      <c r="N266" s="9">
        <v>4.9444999999999997</v>
      </c>
      <c r="O266" s="9">
        <v>0.37409999999999999</v>
      </c>
      <c r="P266" s="9">
        <v>1.2927</v>
      </c>
      <c r="Q266" s="9">
        <v>30.7105</v>
      </c>
      <c r="R266" s="9"/>
      <c r="S266" s="11"/>
    </row>
    <row r="267" spans="1:19" ht="15.75">
      <c r="A267" s="13">
        <v>49249</v>
      </c>
      <c r="B267" s="8">
        <f>CHOOSE( CONTROL!$C$36, 9.1921, 9.191) * CHOOSE(CONTROL!$C$19, $D$11, 100%, $F$11)</f>
        <v>9.1920999999999999</v>
      </c>
      <c r="C267" s="8">
        <f>CHOOSE( CONTROL!$C$36, 9.1972, 9.1961) * CHOOSE(CONTROL!$C$19, $D$11, 100%, $F$11)</f>
        <v>9.1972000000000005</v>
      </c>
      <c r="D267" s="8">
        <f>CHOOSE( CONTROL!$C$36, 9.1764, 9.1753) * CHOOSE( CONTROL!$C$19, $D$11, 100%, $F$11)</f>
        <v>9.1763999999999992</v>
      </c>
      <c r="E267" s="12">
        <f>CHOOSE( CONTROL!$C$36, 9.1835, 9.1824) * CHOOSE( CONTROL!$C$19, $D$11, 100%, $F$11)</f>
        <v>9.1835000000000004</v>
      </c>
      <c r="F267" s="4">
        <f>CHOOSE( CONTROL!$C$36, 9.8514, 9.8503) * CHOOSE(CONTROL!$C$19, $D$11, 100%, $F$11)</f>
        <v>9.8513999999999999</v>
      </c>
      <c r="G267" s="8">
        <f>CHOOSE( CONTROL!$C$36, 9.0986, 9.0975) * CHOOSE( CONTROL!$C$19, $D$11, 100%, $F$11)</f>
        <v>9.0985999999999994</v>
      </c>
      <c r="H267" s="4">
        <f>CHOOSE( CONTROL!$C$36, 9.9878, 9.9867) * CHOOSE(CONTROL!$C$19, $D$11, 100%, $F$11)</f>
        <v>9.9878</v>
      </c>
      <c r="I267" s="8">
        <f>CHOOSE( CONTROL!$C$36, 9.1039, 9.1028) * CHOOSE(CONTROL!$C$19, $D$11, 100%, $F$11)</f>
        <v>9.1038999999999994</v>
      </c>
      <c r="J267" s="4">
        <f>CHOOSE( CONTROL!$C$36, 8.9174, 8.9163) * CHOOSE(CONTROL!$C$19, $D$11, 100%, $F$11)</f>
        <v>8.9174000000000007</v>
      </c>
      <c r="K267" s="4"/>
      <c r="L267" s="9">
        <v>28.360600000000002</v>
      </c>
      <c r="M267" s="9">
        <v>11.6745</v>
      </c>
      <c r="N267" s="9">
        <v>4.7850000000000001</v>
      </c>
      <c r="O267" s="9">
        <v>0.36199999999999999</v>
      </c>
      <c r="P267" s="9">
        <v>1.2509999999999999</v>
      </c>
      <c r="Q267" s="9">
        <v>29.719799999999999</v>
      </c>
      <c r="R267" s="9"/>
      <c r="S267" s="11"/>
    </row>
    <row r="268" spans="1:19" ht="15.75">
      <c r="A268" s="13">
        <v>49279</v>
      </c>
      <c r="B268" s="8">
        <f>CHOOSE( CONTROL!$C$36, 9.1754, 9.1743) * CHOOSE(CONTROL!$C$19, $D$11, 100%, $F$11)</f>
        <v>9.1753999999999998</v>
      </c>
      <c r="C268" s="8">
        <f>CHOOSE( CONTROL!$C$36, 9.1805, 9.1794) * CHOOSE(CONTROL!$C$19, $D$11, 100%, $F$11)</f>
        <v>9.1805000000000003</v>
      </c>
      <c r="D268" s="8">
        <f>CHOOSE( CONTROL!$C$36, 9.1611, 9.16) * CHOOSE( CONTROL!$C$19, $D$11, 100%, $F$11)</f>
        <v>9.1610999999999994</v>
      </c>
      <c r="E268" s="12">
        <f>CHOOSE( CONTROL!$C$36, 9.1677, 9.1666) * CHOOSE( CONTROL!$C$19, $D$11, 100%, $F$11)</f>
        <v>9.1677</v>
      </c>
      <c r="F268" s="4">
        <f>CHOOSE( CONTROL!$C$36, 9.8346, 9.8335) * CHOOSE(CONTROL!$C$19, $D$11, 100%, $F$11)</f>
        <v>9.8346</v>
      </c>
      <c r="G268" s="8">
        <f>CHOOSE( CONTROL!$C$36, 9.0831, 9.082) * CHOOSE( CONTROL!$C$19, $D$11, 100%, $F$11)</f>
        <v>9.0831</v>
      </c>
      <c r="H268" s="4">
        <f>CHOOSE( CONTROL!$C$36, 9.9713, 9.9702) * CHOOSE(CONTROL!$C$19, $D$11, 100%, $F$11)</f>
        <v>9.9712999999999994</v>
      </c>
      <c r="I268" s="8">
        <f>CHOOSE( CONTROL!$C$36, 9.0919, 9.0909) * CHOOSE(CONTROL!$C$19, $D$11, 100%, $F$11)</f>
        <v>9.0919000000000008</v>
      </c>
      <c r="J268" s="4">
        <f>CHOOSE( CONTROL!$C$36, 8.9012, 8.9001) * CHOOSE(CONTROL!$C$19, $D$11, 100%, $F$11)</f>
        <v>8.9011999999999993</v>
      </c>
      <c r="K268" s="4"/>
      <c r="L268" s="9">
        <v>29.306000000000001</v>
      </c>
      <c r="M268" s="9">
        <v>12.063700000000001</v>
      </c>
      <c r="N268" s="9">
        <v>4.9444999999999997</v>
      </c>
      <c r="O268" s="9">
        <v>0.37409999999999999</v>
      </c>
      <c r="P268" s="9">
        <v>1.2927</v>
      </c>
      <c r="Q268" s="9">
        <v>30.7105</v>
      </c>
      <c r="R268" s="9"/>
      <c r="S268" s="11"/>
    </row>
    <row r="269" spans="1:19" ht="15.75">
      <c r="A269" s="13">
        <v>49310</v>
      </c>
      <c r="B269" s="8">
        <f>CHOOSE( CONTROL!$C$36, 9.4465, 9.4454) * CHOOSE(CONTROL!$C$19, $D$11, 100%, $F$11)</f>
        <v>9.4465000000000003</v>
      </c>
      <c r="C269" s="8">
        <f>CHOOSE( CONTROL!$C$36, 9.4516, 9.4505) * CHOOSE(CONTROL!$C$19, $D$11, 100%, $F$11)</f>
        <v>9.4515999999999991</v>
      </c>
      <c r="D269" s="8">
        <f>CHOOSE( CONTROL!$C$36, 9.4529, 9.4518) * CHOOSE( CONTROL!$C$19, $D$11, 100%, $F$11)</f>
        <v>9.4528999999999996</v>
      </c>
      <c r="E269" s="12">
        <f>CHOOSE( CONTROL!$C$36, 9.4519, 9.4508) * CHOOSE( CONTROL!$C$19, $D$11, 100%, $F$11)</f>
        <v>9.4519000000000002</v>
      </c>
      <c r="F269" s="4">
        <f>CHOOSE( CONTROL!$C$36, 10.1057, 10.1046) * CHOOSE(CONTROL!$C$19, $D$11, 100%, $F$11)</f>
        <v>10.105700000000001</v>
      </c>
      <c r="G269" s="8">
        <f>CHOOSE( CONTROL!$C$36, 9.3615, 9.3604) * CHOOSE( CONTROL!$C$19, $D$11, 100%, $F$11)</f>
        <v>9.3614999999999995</v>
      </c>
      <c r="H269" s="4">
        <f>CHOOSE( CONTROL!$C$36, 10.2386, 10.2375) * CHOOSE(CONTROL!$C$19, $D$11, 100%, $F$11)</f>
        <v>10.2386</v>
      </c>
      <c r="I269" s="8">
        <f>CHOOSE( CONTROL!$C$36, 9.3321, 9.331) * CHOOSE(CONTROL!$C$19, $D$11, 100%, $F$11)</f>
        <v>9.3321000000000005</v>
      </c>
      <c r="J269" s="4">
        <f>CHOOSE( CONTROL!$C$36, 9.1637, 9.1626) * CHOOSE(CONTROL!$C$19, $D$11, 100%, $F$11)</f>
        <v>9.1637000000000004</v>
      </c>
      <c r="K269" s="4"/>
      <c r="L269" s="9">
        <v>29.306000000000001</v>
      </c>
      <c r="M269" s="9">
        <v>12.063700000000001</v>
      </c>
      <c r="N269" s="9">
        <v>4.9444999999999997</v>
      </c>
      <c r="O269" s="9">
        <v>0.37409999999999999</v>
      </c>
      <c r="P269" s="9">
        <v>1.2927</v>
      </c>
      <c r="Q269" s="9">
        <v>30.645399999999999</v>
      </c>
      <c r="R269" s="9"/>
      <c r="S269" s="11"/>
    </row>
    <row r="270" spans="1:19" ht="15.75">
      <c r="A270" s="13">
        <v>49341</v>
      </c>
      <c r="B270" s="8">
        <f>CHOOSE( CONTROL!$C$36, 8.8347, 8.8337) * CHOOSE(CONTROL!$C$19, $D$11, 100%, $F$11)</f>
        <v>8.8346999999999998</v>
      </c>
      <c r="C270" s="8">
        <f>CHOOSE( CONTROL!$C$36, 8.8398, 8.8387) * CHOOSE(CONTROL!$C$19, $D$11, 100%, $F$11)</f>
        <v>8.8398000000000003</v>
      </c>
      <c r="D270" s="8">
        <f>CHOOSE( CONTROL!$C$36, 8.841, 8.8399) * CHOOSE( CONTROL!$C$19, $D$11, 100%, $F$11)</f>
        <v>8.8409999999999993</v>
      </c>
      <c r="E270" s="12">
        <f>CHOOSE( CONTROL!$C$36, 8.84, 8.8389) * CHOOSE( CONTROL!$C$19, $D$11, 100%, $F$11)</f>
        <v>8.84</v>
      </c>
      <c r="F270" s="4">
        <f>CHOOSE( CONTROL!$C$36, 9.494, 9.4929) * CHOOSE(CONTROL!$C$19, $D$11, 100%, $F$11)</f>
        <v>9.4939999999999998</v>
      </c>
      <c r="G270" s="8">
        <f>CHOOSE( CONTROL!$C$36, 8.7582, 8.7571) * CHOOSE( CONTROL!$C$19, $D$11, 100%, $F$11)</f>
        <v>8.7582000000000004</v>
      </c>
      <c r="H270" s="4">
        <f>CHOOSE( CONTROL!$C$36, 9.6354, 9.6343) * CHOOSE(CONTROL!$C$19, $D$11, 100%, $F$11)</f>
        <v>9.6354000000000006</v>
      </c>
      <c r="I270" s="8">
        <f>CHOOSE( CONTROL!$C$36, 8.739, 8.738) * CHOOSE(CONTROL!$C$19, $D$11, 100%, $F$11)</f>
        <v>8.7390000000000008</v>
      </c>
      <c r="J270" s="4">
        <f>CHOOSE( CONTROL!$C$36, 8.5713, 8.5703) * CHOOSE(CONTROL!$C$19, $D$11, 100%, $F$11)</f>
        <v>8.5713000000000008</v>
      </c>
      <c r="K270" s="4"/>
      <c r="L270" s="9">
        <v>26.469899999999999</v>
      </c>
      <c r="M270" s="9">
        <v>10.8962</v>
      </c>
      <c r="N270" s="9">
        <v>4.4660000000000002</v>
      </c>
      <c r="O270" s="9">
        <v>0.33789999999999998</v>
      </c>
      <c r="P270" s="9">
        <v>1.1676</v>
      </c>
      <c r="Q270" s="9">
        <v>27.6797</v>
      </c>
      <c r="R270" s="9"/>
      <c r="S270" s="11"/>
    </row>
    <row r="271" spans="1:19" ht="15.75">
      <c r="A271" s="13">
        <v>49369</v>
      </c>
      <c r="B271" s="8">
        <f>CHOOSE( CONTROL!$C$36, 8.6463, 8.6452) * CHOOSE(CONTROL!$C$19, $D$11, 100%, $F$11)</f>
        <v>8.6463000000000001</v>
      </c>
      <c r="C271" s="8">
        <f>CHOOSE( CONTROL!$C$36, 8.6514, 8.6503) * CHOOSE(CONTROL!$C$19, $D$11, 100%, $F$11)</f>
        <v>8.6514000000000006</v>
      </c>
      <c r="D271" s="8">
        <f>CHOOSE( CONTROL!$C$36, 8.6519, 8.6509) * CHOOSE( CONTROL!$C$19, $D$11, 100%, $F$11)</f>
        <v>8.6518999999999995</v>
      </c>
      <c r="E271" s="12">
        <f>CHOOSE( CONTROL!$C$36, 8.6512, 8.6501) * CHOOSE( CONTROL!$C$19, $D$11, 100%, $F$11)</f>
        <v>8.6511999999999993</v>
      </c>
      <c r="F271" s="4">
        <f>CHOOSE( CONTROL!$C$36, 9.3056, 9.3045) * CHOOSE(CONTROL!$C$19, $D$11, 100%, $F$11)</f>
        <v>9.3056000000000001</v>
      </c>
      <c r="G271" s="8">
        <f>CHOOSE( CONTROL!$C$36, 8.5719, 8.5709) * CHOOSE( CONTROL!$C$19, $D$11, 100%, $F$11)</f>
        <v>8.5718999999999994</v>
      </c>
      <c r="H271" s="4">
        <f>CHOOSE( CONTROL!$C$36, 9.4496, 9.4485) * CHOOSE(CONTROL!$C$19, $D$11, 100%, $F$11)</f>
        <v>9.4496000000000002</v>
      </c>
      <c r="I271" s="8">
        <f>CHOOSE( CONTROL!$C$36, 8.5545, 8.5535) * CHOOSE(CONTROL!$C$19, $D$11, 100%, $F$11)</f>
        <v>8.5545000000000009</v>
      </c>
      <c r="J271" s="4">
        <f>CHOOSE( CONTROL!$C$36, 8.3889, 8.3878) * CHOOSE(CONTROL!$C$19, $D$11, 100%, $F$11)</f>
        <v>8.3888999999999996</v>
      </c>
      <c r="K271" s="4"/>
      <c r="L271" s="9">
        <v>29.306000000000001</v>
      </c>
      <c r="M271" s="9">
        <v>12.063700000000001</v>
      </c>
      <c r="N271" s="9">
        <v>4.9444999999999997</v>
      </c>
      <c r="O271" s="9">
        <v>0.37409999999999999</v>
      </c>
      <c r="P271" s="9">
        <v>1.2927</v>
      </c>
      <c r="Q271" s="9">
        <v>30.645399999999999</v>
      </c>
      <c r="R271" s="9"/>
      <c r="S271" s="11"/>
    </row>
    <row r="272" spans="1:19" ht="15.75">
      <c r="A272" s="13">
        <v>49400</v>
      </c>
      <c r="B272" s="8">
        <f>CHOOSE( CONTROL!$C$36, 8.7787, 8.7777) * CHOOSE(CONTROL!$C$19, $D$11, 100%, $F$11)</f>
        <v>8.7787000000000006</v>
      </c>
      <c r="C272" s="8">
        <f>CHOOSE( CONTROL!$C$36, 8.7833, 8.7822) * CHOOSE(CONTROL!$C$19, $D$11, 100%, $F$11)</f>
        <v>8.7833000000000006</v>
      </c>
      <c r="D272" s="8">
        <f>CHOOSE( CONTROL!$C$36, 8.8037, 8.8026) * CHOOSE( CONTROL!$C$19, $D$11, 100%, $F$11)</f>
        <v>8.8036999999999992</v>
      </c>
      <c r="E272" s="12">
        <f>CHOOSE( CONTROL!$C$36, 8.7964, 8.7953) * CHOOSE( CONTROL!$C$19, $D$11, 100%, $F$11)</f>
        <v>8.7964000000000002</v>
      </c>
      <c r="F272" s="4">
        <f>CHOOSE( CONTROL!$C$36, 9.5131, 9.5121) * CHOOSE(CONTROL!$C$19, $D$11, 100%, $F$11)</f>
        <v>9.5130999999999997</v>
      </c>
      <c r="G272" s="8">
        <f>CHOOSE( CONTROL!$C$36, 8.7099, 8.7088) * CHOOSE( CONTROL!$C$19, $D$11, 100%, $F$11)</f>
        <v>8.7098999999999993</v>
      </c>
      <c r="H272" s="4">
        <f>CHOOSE( CONTROL!$C$36, 9.6543, 9.6532) * CHOOSE(CONTROL!$C$19, $D$11, 100%, $F$11)</f>
        <v>9.6542999999999992</v>
      </c>
      <c r="I272" s="8">
        <f>CHOOSE( CONTROL!$C$36, 8.6516, 8.6505) * CHOOSE(CONTROL!$C$19, $D$11, 100%, $F$11)</f>
        <v>8.6516000000000002</v>
      </c>
      <c r="J272" s="4">
        <f>CHOOSE( CONTROL!$C$36, 8.5164, 8.5153) * CHOOSE(CONTROL!$C$19, $D$11, 100%, $F$11)</f>
        <v>8.5164000000000009</v>
      </c>
      <c r="K272" s="4"/>
      <c r="L272" s="9">
        <v>30.092199999999998</v>
      </c>
      <c r="M272" s="9">
        <v>11.6745</v>
      </c>
      <c r="N272" s="9">
        <v>4.7850000000000001</v>
      </c>
      <c r="O272" s="9">
        <v>0.36199999999999999</v>
      </c>
      <c r="P272" s="9">
        <v>1.2509999999999999</v>
      </c>
      <c r="Q272" s="9">
        <v>29.6568</v>
      </c>
      <c r="R272" s="9"/>
      <c r="S272" s="11"/>
    </row>
    <row r="273" spans="1:19" ht="15.75">
      <c r="A273" s="13">
        <v>49430</v>
      </c>
      <c r="B273" s="8">
        <f>CHOOSE( CONTROL!$C$36, 9.015, 9.0134) * CHOOSE(CONTROL!$C$19, $D$11, 100%, $F$11)</f>
        <v>9.0150000000000006</v>
      </c>
      <c r="C273" s="8">
        <f>CHOOSE( CONTROL!$C$36, 9.023, 9.0213) * CHOOSE(CONTROL!$C$19, $D$11, 100%, $F$11)</f>
        <v>9.0229999999999997</v>
      </c>
      <c r="D273" s="8">
        <f>CHOOSE( CONTROL!$C$36, 9.0372, 9.0355) * CHOOSE( CONTROL!$C$19, $D$11, 100%, $F$11)</f>
        <v>9.0372000000000003</v>
      </c>
      <c r="E273" s="12">
        <f>CHOOSE( CONTROL!$C$36, 9.0308, 9.0291) * CHOOSE( CONTROL!$C$19, $D$11, 100%, $F$11)</f>
        <v>9.0307999999999993</v>
      </c>
      <c r="F273" s="4">
        <f>CHOOSE( CONTROL!$C$36, 9.748, 9.7464) * CHOOSE(CONTROL!$C$19, $D$11, 100%, $F$11)</f>
        <v>9.7479999999999993</v>
      </c>
      <c r="G273" s="8">
        <f>CHOOSE( CONTROL!$C$36, 8.9414, 8.9398) * CHOOSE( CONTROL!$C$19, $D$11, 100%, $F$11)</f>
        <v>8.9413999999999998</v>
      </c>
      <c r="H273" s="4">
        <f>CHOOSE( CONTROL!$C$36, 9.8859, 9.8843) * CHOOSE(CONTROL!$C$19, $D$11, 100%, $F$11)</f>
        <v>9.8858999999999995</v>
      </c>
      <c r="I273" s="8">
        <f>CHOOSE( CONTROL!$C$36, 8.8787, 8.8771) * CHOOSE(CONTROL!$C$19, $D$11, 100%, $F$11)</f>
        <v>8.8787000000000003</v>
      </c>
      <c r="J273" s="4">
        <f>CHOOSE( CONTROL!$C$36, 8.7438, 8.7422) * CHOOSE(CONTROL!$C$19, $D$11, 100%, $F$11)</f>
        <v>8.7438000000000002</v>
      </c>
      <c r="K273" s="4"/>
      <c r="L273" s="9">
        <v>30.7165</v>
      </c>
      <c r="M273" s="9">
        <v>12.063700000000001</v>
      </c>
      <c r="N273" s="9">
        <v>4.9444999999999997</v>
      </c>
      <c r="O273" s="9">
        <v>0.37409999999999999</v>
      </c>
      <c r="P273" s="9">
        <v>1.2927</v>
      </c>
      <c r="Q273" s="9">
        <v>30.645399999999999</v>
      </c>
      <c r="R273" s="9"/>
      <c r="S273" s="11"/>
    </row>
    <row r="274" spans="1:19" ht="15.75">
      <c r="A274" s="14">
        <v>49461</v>
      </c>
      <c r="B274" s="8">
        <f>CHOOSE( CONTROL!$C$36, 8.8699, 8.8682) * CHOOSE(CONTROL!$C$19, $D$11, 100%, $F$11)</f>
        <v>8.8698999999999995</v>
      </c>
      <c r="C274" s="8">
        <f>CHOOSE( CONTROL!$C$36, 8.8779, 8.8762) * CHOOSE(CONTROL!$C$19, $D$11, 100%, $F$11)</f>
        <v>8.8779000000000003</v>
      </c>
      <c r="D274" s="8">
        <f>CHOOSE( CONTROL!$C$36, 8.8922, 8.8906) * CHOOSE( CONTROL!$C$19, $D$11, 100%, $F$11)</f>
        <v>8.8922000000000008</v>
      </c>
      <c r="E274" s="12">
        <f>CHOOSE( CONTROL!$C$36, 8.8858, 8.8842) * CHOOSE( CONTROL!$C$19, $D$11, 100%, $F$11)</f>
        <v>8.8857999999999997</v>
      </c>
      <c r="F274" s="4">
        <f>CHOOSE( CONTROL!$C$36, 9.6029, 9.6012) * CHOOSE(CONTROL!$C$19, $D$11, 100%, $F$11)</f>
        <v>9.6029</v>
      </c>
      <c r="G274" s="8">
        <f>CHOOSE( CONTROL!$C$36, 8.7984, 8.7968) * CHOOSE( CONTROL!$C$19, $D$11, 100%, $F$11)</f>
        <v>8.7984000000000009</v>
      </c>
      <c r="H274" s="4">
        <f>CHOOSE( CONTROL!$C$36, 9.7428, 9.7411) * CHOOSE(CONTROL!$C$19, $D$11, 100%, $F$11)</f>
        <v>9.7428000000000008</v>
      </c>
      <c r="I274" s="8">
        <f>CHOOSE( CONTROL!$C$36, 8.7388, 8.7372) * CHOOSE(CONTROL!$C$19, $D$11, 100%, $F$11)</f>
        <v>8.7387999999999995</v>
      </c>
      <c r="J274" s="4">
        <f>CHOOSE( CONTROL!$C$36, 8.6033, 8.6017) * CHOOSE(CONTROL!$C$19, $D$11, 100%, $F$11)</f>
        <v>8.6033000000000008</v>
      </c>
      <c r="K274" s="4"/>
      <c r="L274" s="9">
        <v>29.7257</v>
      </c>
      <c r="M274" s="9">
        <v>11.6745</v>
      </c>
      <c r="N274" s="9">
        <v>4.7850000000000001</v>
      </c>
      <c r="O274" s="9">
        <v>0.36199999999999999</v>
      </c>
      <c r="P274" s="9">
        <v>1.2509999999999999</v>
      </c>
      <c r="Q274" s="9">
        <v>29.6568</v>
      </c>
      <c r="R274" s="9"/>
      <c r="S274" s="11"/>
    </row>
    <row r="275" spans="1:19" ht="15.75">
      <c r="A275" s="14">
        <v>49491</v>
      </c>
      <c r="B275" s="8">
        <f>CHOOSE( CONTROL!$C$36, 9.2521, 9.2504) * CHOOSE(CONTROL!$C$19, $D$11, 100%, $F$11)</f>
        <v>9.2521000000000004</v>
      </c>
      <c r="C275" s="8">
        <f>CHOOSE( CONTROL!$C$36, 9.2601, 9.2584) * CHOOSE(CONTROL!$C$19, $D$11, 100%, $F$11)</f>
        <v>9.2600999999999996</v>
      </c>
      <c r="D275" s="8">
        <f>CHOOSE( CONTROL!$C$36, 9.2747, 9.2731) * CHOOSE( CONTROL!$C$19, $D$11, 100%, $F$11)</f>
        <v>9.2746999999999993</v>
      </c>
      <c r="E275" s="12">
        <f>CHOOSE( CONTROL!$C$36, 9.2682, 9.2666) * CHOOSE( CONTROL!$C$19, $D$11, 100%, $F$11)</f>
        <v>9.2682000000000002</v>
      </c>
      <c r="F275" s="4">
        <f>CHOOSE( CONTROL!$C$36, 9.9851, 9.9835) * CHOOSE(CONTROL!$C$19, $D$11, 100%, $F$11)</f>
        <v>9.9850999999999992</v>
      </c>
      <c r="G275" s="8">
        <f>CHOOSE( CONTROL!$C$36, 9.1756, 9.1739) * CHOOSE( CONTROL!$C$19, $D$11, 100%, $F$11)</f>
        <v>9.1755999999999993</v>
      </c>
      <c r="H275" s="4">
        <f>CHOOSE( CONTROL!$C$36, 10.1197, 10.118) * CHOOSE(CONTROL!$C$19, $D$11, 100%, $F$11)</f>
        <v>10.1197</v>
      </c>
      <c r="I275" s="8">
        <f>CHOOSE( CONTROL!$C$36, 9.1099, 9.1083) * CHOOSE(CONTROL!$C$19, $D$11, 100%, $F$11)</f>
        <v>9.1098999999999997</v>
      </c>
      <c r="J275" s="4">
        <f>CHOOSE( CONTROL!$C$36, 8.9734, 8.9718) * CHOOSE(CONTROL!$C$19, $D$11, 100%, $F$11)</f>
        <v>8.9733999999999998</v>
      </c>
      <c r="K275" s="4"/>
      <c r="L275" s="9">
        <v>30.7165</v>
      </c>
      <c r="M275" s="9">
        <v>12.063700000000001</v>
      </c>
      <c r="N275" s="9">
        <v>4.9444999999999997</v>
      </c>
      <c r="O275" s="9">
        <v>0.37409999999999999</v>
      </c>
      <c r="P275" s="9">
        <v>1.2927</v>
      </c>
      <c r="Q275" s="9">
        <v>30.645399999999999</v>
      </c>
      <c r="R275" s="9"/>
      <c r="S275" s="11"/>
    </row>
    <row r="276" spans="1:19" ht="15.75">
      <c r="A276" s="14">
        <v>49522</v>
      </c>
      <c r="B276" s="8">
        <f>CHOOSE( CONTROL!$C$36, 8.5369, 8.5352) * CHOOSE(CONTROL!$C$19, $D$11, 100%, $F$11)</f>
        <v>8.5368999999999993</v>
      </c>
      <c r="C276" s="8">
        <f>CHOOSE( CONTROL!$C$36, 8.5449, 8.5432) * CHOOSE(CONTROL!$C$19, $D$11, 100%, $F$11)</f>
        <v>8.5449000000000002</v>
      </c>
      <c r="D276" s="8">
        <f>CHOOSE( CONTROL!$C$36, 8.5596, 8.5579) * CHOOSE( CONTROL!$C$19, $D$11, 100%, $F$11)</f>
        <v>8.5595999999999997</v>
      </c>
      <c r="E276" s="12">
        <f>CHOOSE( CONTROL!$C$36, 8.5531, 8.5514) * CHOOSE( CONTROL!$C$19, $D$11, 100%, $F$11)</f>
        <v>8.5531000000000006</v>
      </c>
      <c r="F276" s="4">
        <f>CHOOSE( CONTROL!$C$36, 9.2699, 9.2682) * CHOOSE(CONTROL!$C$19, $D$11, 100%, $F$11)</f>
        <v>9.2698999999999998</v>
      </c>
      <c r="G276" s="8">
        <f>CHOOSE( CONTROL!$C$36, 8.4703, 8.4687) * CHOOSE( CONTROL!$C$19, $D$11, 100%, $F$11)</f>
        <v>8.4702999999999999</v>
      </c>
      <c r="H276" s="4">
        <f>CHOOSE( CONTROL!$C$36, 9.4144, 9.4128) * CHOOSE(CONTROL!$C$19, $D$11, 100%, $F$11)</f>
        <v>9.4144000000000005</v>
      </c>
      <c r="I276" s="8">
        <f>CHOOSE( CONTROL!$C$36, 8.4172, 8.4156) * CHOOSE(CONTROL!$C$19, $D$11, 100%, $F$11)</f>
        <v>8.4171999999999993</v>
      </c>
      <c r="J276" s="4">
        <f>CHOOSE( CONTROL!$C$36, 8.2809, 8.2792) * CHOOSE(CONTROL!$C$19, $D$11, 100%, $F$11)</f>
        <v>8.2809000000000008</v>
      </c>
      <c r="K276" s="4"/>
      <c r="L276" s="9">
        <v>30.7165</v>
      </c>
      <c r="M276" s="9">
        <v>12.063700000000001</v>
      </c>
      <c r="N276" s="9">
        <v>4.9444999999999997</v>
      </c>
      <c r="O276" s="9">
        <v>0.37409999999999999</v>
      </c>
      <c r="P276" s="9">
        <v>1.2927</v>
      </c>
      <c r="Q276" s="9">
        <v>30.645399999999999</v>
      </c>
      <c r="R276" s="9"/>
      <c r="S276" s="11"/>
    </row>
    <row r="277" spans="1:19" ht="15.75">
      <c r="A277" s="14">
        <v>49553</v>
      </c>
      <c r="B277" s="8">
        <f>CHOOSE( CONTROL!$C$36, 8.3578, 8.3561) * CHOOSE(CONTROL!$C$19, $D$11, 100%, $F$11)</f>
        <v>8.3577999999999992</v>
      </c>
      <c r="C277" s="8">
        <f>CHOOSE( CONTROL!$C$36, 8.3658, 8.3641) * CHOOSE(CONTROL!$C$19, $D$11, 100%, $F$11)</f>
        <v>8.3658000000000001</v>
      </c>
      <c r="D277" s="8">
        <f>CHOOSE( CONTROL!$C$36, 8.3804, 8.3787) * CHOOSE( CONTROL!$C$19, $D$11, 100%, $F$11)</f>
        <v>8.3803999999999998</v>
      </c>
      <c r="E277" s="12">
        <f>CHOOSE( CONTROL!$C$36, 8.3739, 8.3722) * CHOOSE( CONTROL!$C$19, $D$11, 100%, $F$11)</f>
        <v>8.3739000000000008</v>
      </c>
      <c r="F277" s="4">
        <f>CHOOSE( CONTROL!$C$36, 9.0908, 9.0891) * CHOOSE(CONTROL!$C$19, $D$11, 100%, $F$11)</f>
        <v>9.0907999999999998</v>
      </c>
      <c r="G277" s="8">
        <f>CHOOSE( CONTROL!$C$36, 8.2937, 8.292) * CHOOSE( CONTROL!$C$19, $D$11, 100%, $F$11)</f>
        <v>8.2936999999999994</v>
      </c>
      <c r="H277" s="4">
        <f>CHOOSE( CONTROL!$C$36, 9.2378, 9.2362) * CHOOSE(CONTROL!$C$19, $D$11, 100%, $F$11)</f>
        <v>9.2378</v>
      </c>
      <c r="I277" s="8">
        <f>CHOOSE( CONTROL!$C$36, 8.2434, 8.2418) * CHOOSE(CONTROL!$C$19, $D$11, 100%, $F$11)</f>
        <v>8.2433999999999994</v>
      </c>
      <c r="J277" s="4">
        <f>CHOOSE( CONTROL!$C$36, 8.1074, 8.1058) * CHOOSE(CONTROL!$C$19, $D$11, 100%, $F$11)</f>
        <v>8.1074000000000002</v>
      </c>
      <c r="K277" s="4"/>
      <c r="L277" s="9">
        <v>29.7257</v>
      </c>
      <c r="M277" s="9">
        <v>11.6745</v>
      </c>
      <c r="N277" s="9">
        <v>4.7850000000000001</v>
      </c>
      <c r="O277" s="9">
        <v>0.36199999999999999</v>
      </c>
      <c r="P277" s="9">
        <v>1.2509999999999999</v>
      </c>
      <c r="Q277" s="9">
        <v>29.6568</v>
      </c>
      <c r="R277" s="9"/>
      <c r="S277" s="11"/>
    </row>
    <row r="278" spans="1:19" ht="15.75">
      <c r="A278" s="14">
        <v>49583</v>
      </c>
      <c r="B278" s="8">
        <f>CHOOSE( CONTROL!$C$36, 8.7274, 8.7263) * CHOOSE(CONTROL!$C$19, $D$11, 100%, $F$11)</f>
        <v>8.7273999999999994</v>
      </c>
      <c r="C278" s="8">
        <f>CHOOSE( CONTROL!$C$36, 8.7327, 8.7316) * CHOOSE(CONTROL!$C$19, $D$11, 100%, $F$11)</f>
        <v>8.7326999999999995</v>
      </c>
      <c r="D278" s="8">
        <f>CHOOSE( CONTROL!$C$36, 8.7532, 8.7521) * CHOOSE( CONTROL!$C$19, $D$11, 100%, $F$11)</f>
        <v>8.7531999999999996</v>
      </c>
      <c r="E278" s="12">
        <f>CHOOSE( CONTROL!$C$36, 8.7459, 8.7448) * CHOOSE( CONTROL!$C$19, $D$11, 100%, $F$11)</f>
        <v>8.7459000000000007</v>
      </c>
      <c r="F278" s="4">
        <f>CHOOSE( CONTROL!$C$36, 9.4621, 9.461) * CHOOSE(CONTROL!$C$19, $D$11, 100%, $F$11)</f>
        <v>9.4620999999999995</v>
      </c>
      <c r="G278" s="8">
        <f>CHOOSE( CONTROL!$C$36, 8.66, 8.6589) * CHOOSE( CONTROL!$C$19, $D$11, 100%, $F$11)</f>
        <v>8.66</v>
      </c>
      <c r="H278" s="4">
        <f>CHOOSE( CONTROL!$C$36, 9.6039, 9.6029) * CHOOSE(CONTROL!$C$19, $D$11, 100%, $F$11)</f>
        <v>9.6038999999999994</v>
      </c>
      <c r="I278" s="8">
        <f>CHOOSE( CONTROL!$C$36, 8.6041, 8.6031) * CHOOSE(CONTROL!$C$19, $D$11, 100%, $F$11)</f>
        <v>8.6041000000000007</v>
      </c>
      <c r="J278" s="4">
        <f>CHOOSE( CONTROL!$C$36, 8.467, 8.4659) * CHOOSE(CONTROL!$C$19, $D$11, 100%, $F$11)</f>
        <v>8.4670000000000005</v>
      </c>
      <c r="K278" s="4"/>
      <c r="L278" s="9">
        <v>31.095300000000002</v>
      </c>
      <c r="M278" s="9">
        <v>12.063700000000001</v>
      </c>
      <c r="N278" s="9">
        <v>4.9444999999999997</v>
      </c>
      <c r="O278" s="9">
        <v>0.37409999999999999</v>
      </c>
      <c r="P278" s="9">
        <v>1.2927</v>
      </c>
      <c r="Q278" s="9">
        <v>30.645399999999999</v>
      </c>
      <c r="R278" s="9"/>
      <c r="S278" s="11"/>
    </row>
    <row r="279" spans="1:19" ht="15.75">
      <c r="A279" s="14">
        <v>49614</v>
      </c>
      <c r="B279" s="8">
        <f>CHOOSE( CONTROL!$C$36, 9.4134, 9.4123) * CHOOSE(CONTROL!$C$19, $D$11, 100%, $F$11)</f>
        <v>9.4133999999999993</v>
      </c>
      <c r="C279" s="8">
        <f>CHOOSE( CONTROL!$C$36, 9.4185, 9.4174) * CHOOSE(CONTROL!$C$19, $D$11, 100%, $F$11)</f>
        <v>9.4184999999999999</v>
      </c>
      <c r="D279" s="8">
        <f>CHOOSE( CONTROL!$C$36, 9.3977, 9.3966) * CHOOSE( CONTROL!$C$19, $D$11, 100%, $F$11)</f>
        <v>9.3977000000000004</v>
      </c>
      <c r="E279" s="12">
        <f>CHOOSE( CONTROL!$C$36, 9.4048, 9.4037) * CHOOSE( CONTROL!$C$19, $D$11, 100%, $F$11)</f>
        <v>9.4047999999999998</v>
      </c>
      <c r="F279" s="4">
        <f>CHOOSE( CONTROL!$C$36, 10.0726, 10.0715) * CHOOSE(CONTROL!$C$19, $D$11, 100%, $F$11)</f>
        <v>10.0726</v>
      </c>
      <c r="G279" s="8">
        <f>CHOOSE( CONTROL!$C$36, 9.3168, 9.3157) * CHOOSE( CONTROL!$C$19, $D$11, 100%, $F$11)</f>
        <v>9.3168000000000006</v>
      </c>
      <c r="H279" s="4">
        <f>CHOOSE( CONTROL!$C$36, 10.2059, 10.2049) * CHOOSE(CONTROL!$C$19, $D$11, 100%, $F$11)</f>
        <v>10.2059</v>
      </c>
      <c r="I279" s="8">
        <f>CHOOSE( CONTROL!$C$36, 9.3182, 9.3172) * CHOOSE(CONTROL!$C$19, $D$11, 100%, $F$11)</f>
        <v>9.3181999999999992</v>
      </c>
      <c r="J279" s="4">
        <f>CHOOSE( CONTROL!$C$36, 9.1316, 9.1306) * CHOOSE(CONTROL!$C$19, $D$11, 100%, $F$11)</f>
        <v>9.1316000000000006</v>
      </c>
      <c r="K279" s="4"/>
      <c r="L279" s="9">
        <v>28.360600000000002</v>
      </c>
      <c r="M279" s="9">
        <v>11.6745</v>
      </c>
      <c r="N279" s="9">
        <v>4.7850000000000001</v>
      </c>
      <c r="O279" s="9">
        <v>0.36199999999999999</v>
      </c>
      <c r="P279" s="9">
        <v>1.2509999999999999</v>
      </c>
      <c r="Q279" s="9">
        <v>29.6568</v>
      </c>
      <c r="R279" s="9"/>
      <c r="S279" s="11"/>
    </row>
    <row r="280" spans="1:19" ht="15.75">
      <c r="A280" s="14">
        <v>49644</v>
      </c>
      <c r="B280" s="8">
        <f>CHOOSE( CONTROL!$C$36, 9.3962, 9.3951) * CHOOSE(CONTROL!$C$19, $D$11, 100%, $F$11)</f>
        <v>9.3962000000000003</v>
      </c>
      <c r="C280" s="8">
        <f>CHOOSE( CONTROL!$C$36, 9.4013, 9.4002) * CHOOSE(CONTROL!$C$19, $D$11, 100%, $F$11)</f>
        <v>9.4013000000000009</v>
      </c>
      <c r="D280" s="8">
        <f>CHOOSE( CONTROL!$C$36, 9.3819, 9.3808) * CHOOSE( CONTROL!$C$19, $D$11, 100%, $F$11)</f>
        <v>9.3818999999999999</v>
      </c>
      <c r="E280" s="12">
        <f>CHOOSE( CONTROL!$C$36, 9.3885, 9.3874) * CHOOSE( CONTROL!$C$19, $D$11, 100%, $F$11)</f>
        <v>9.3885000000000005</v>
      </c>
      <c r="F280" s="4">
        <f>CHOOSE( CONTROL!$C$36, 10.0555, 10.0544) * CHOOSE(CONTROL!$C$19, $D$11, 100%, $F$11)</f>
        <v>10.0555</v>
      </c>
      <c r="G280" s="8">
        <f>CHOOSE( CONTROL!$C$36, 9.3009, 9.2998) * CHOOSE( CONTROL!$C$19, $D$11, 100%, $F$11)</f>
        <v>9.3009000000000004</v>
      </c>
      <c r="H280" s="4">
        <f>CHOOSE( CONTROL!$C$36, 10.189, 10.1879) * CHOOSE(CONTROL!$C$19, $D$11, 100%, $F$11)</f>
        <v>10.189</v>
      </c>
      <c r="I280" s="8">
        <f>CHOOSE( CONTROL!$C$36, 9.3059, 9.3048) * CHOOSE(CONTROL!$C$19, $D$11, 100%, $F$11)</f>
        <v>9.3058999999999994</v>
      </c>
      <c r="J280" s="4">
        <f>CHOOSE( CONTROL!$C$36, 9.115, 9.114) * CHOOSE(CONTROL!$C$19, $D$11, 100%, $F$11)</f>
        <v>9.1150000000000002</v>
      </c>
      <c r="K280" s="4"/>
      <c r="L280" s="9">
        <v>29.306000000000001</v>
      </c>
      <c r="M280" s="9">
        <v>12.063700000000001</v>
      </c>
      <c r="N280" s="9">
        <v>4.9444999999999997</v>
      </c>
      <c r="O280" s="9">
        <v>0.37409999999999999</v>
      </c>
      <c r="P280" s="9">
        <v>1.2927</v>
      </c>
      <c r="Q280" s="9">
        <v>30.645399999999999</v>
      </c>
      <c r="R280" s="9"/>
      <c r="S280" s="11"/>
    </row>
    <row r="281" spans="1:19" ht="15.75">
      <c r="A281" s="14">
        <v>49675</v>
      </c>
      <c r="B281" s="8">
        <f>CHOOSE( CONTROL!$C$36, 9.6738, 9.6728) * CHOOSE(CONTROL!$C$19, $D$11, 100%, $F$11)</f>
        <v>9.6738</v>
      </c>
      <c r="C281" s="8">
        <f>CHOOSE( CONTROL!$C$36, 9.6789, 9.6779) * CHOOSE(CONTROL!$C$19, $D$11, 100%, $F$11)</f>
        <v>9.6789000000000005</v>
      </c>
      <c r="D281" s="8">
        <f>CHOOSE( CONTROL!$C$36, 9.6802, 9.6791) * CHOOSE( CONTROL!$C$19, $D$11, 100%, $F$11)</f>
        <v>9.6801999999999992</v>
      </c>
      <c r="E281" s="12">
        <f>CHOOSE( CONTROL!$C$36, 9.6792, 9.6781) * CHOOSE( CONTROL!$C$19, $D$11, 100%, $F$11)</f>
        <v>9.6791999999999998</v>
      </c>
      <c r="F281" s="4">
        <f>CHOOSE( CONTROL!$C$36, 10.3331, 10.332) * CHOOSE(CONTROL!$C$19, $D$11, 100%, $F$11)</f>
        <v>10.3331</v>
      </c>
      <c r="G281" s="8">
        <f>CHOOSE( CONTROL!$C$36, 9.5857, 9.5846) * CHOOSE( CONTROL!$C$19, $D$11, 100%, $F$11)</f>
        <v>9.5856999999999992</v>
      </c>
      <c r="H281" s="4">
        <f>CHOOSE( CONTROL!$C$36, 10.4628, 10.4617) * CHOOSE(CONTROL!$C$19, $D$11, 100%, $F$11)</f>
        <v>10.4628</v>
      </c>
      <c r="I281" s="8">
        <f>CHOOSE( CONTROL!$C$36, 9.5524, 9.5513) * CHOOSE(CONTROL!$C$19, $D$11, 100%, $F$11)</f>
        <v>9.5524000000000004</v>
      </c>
      <c r="J281" s="4">
        <f>CHOOSE( CONTROL!$C$36, 9.3838, 9.3828) * CHOOSE(CONTROL!$C$19, $D$11, 100%, $F$11)</f>
        <v>9.3838000000000008</v>
      </c>
      <c r="K281" s="4"/>
      <c r="L281" s="9">
        <v>29.306000000000001</v>
      </c>
      <c r="M281" s="9">
        <v>12.063700000000001</v>
      </c>
      <c r="N281" s="9">
        <v>4.9444999999999997</v>
      </c>
      <c r="O281" s="9">
        <v>0.37409999999999999</v>
      </c>
      <c r="P281" s="9">
        <v>1.2927</v>
      </c>
      <c r="Q281" s="9">
        <v>30.580300000000001</v>
      </c>
      <c r="R281" s="9"/>
      <c r="S281" s="11"/>
    </row>
    <row r="282" spans="1:19" ht="15.75">
      <c r="A282" s="14">
        <v>49706</v>
      </c>
      <c r="B282" s="8">
        <f>CHOOSE( CONTROL!$C$36, 9.0474, 9.0463) * CHOOSE(CONTROL!$C$19, $D$11, 100%, $F$11)</f>
        <v>9.0473999999999997</v>
      </c>
      <c r="C282" s="8">
        <f>CHOOSE( CONTROL!$C$36, 9.0525, 9.0514) * CHOOSE(CONTROL!$C$19, $D$11, 100%, $F$11)</f>
        <v>9.0525000000000002</v>
      </c>
      <c r="D282" s="8">
        <f>CHOOSE( CONTROL!$C$36, 9.0537, 9.0526) * CHOOSE( CONTROL!$C$19, $D$11, 100%, $F$11)</f>
        <v>9.0536999999999992</v>
      </c>
      <c r="E282" s="12">
        <f>CHOOSE( CONTROL!$C$36, 9.0527, 9.0516) * CHOOSE( CONTROL!$C$19, $D$11, 100%, $F$11)</f>
        <v>9.0526999999999997</v>
      </c>
      <c r="F282" s="4">
        <f>CHOOSE( CONTROL!$C$36, 9.7067, 9.7056) * CHOOSE(CONTROL!$C$19, $D$11, 100%, $F$11)</f>
        <v>9.7066999999999997</v>
      </c>
      <c r="G282" s="8">
        <f>CHOOSE( CONTROL!$C$36, 8.9679, 8.9668) * CHOOSE( CONTROL!$C$19, $D$11, 100%, $F$11)</f>
        <v>8.9679000000000002</v>
      </c>
      <c r="H282" s="4">
        <f>CHOOSE( CONTROL!$C$36, 9.8451, 9.844) * CHOOSE(CONTROL!$C$19, $D$11, 100%, $F$11)</f>
        <v>9.8451000000000004</v>
      </c>
      <c r="I282" s="8">
        <f>CHOOSE( CONTROL!$C$36, 8.9451, 8.944) * CHOOSE(CONTROL!$C$19, $D$11, 100%, $F$11)</f>
        <v>8.9451000000000001</v>
      </c>
      <c r="J282" s="4">
        <f>CHOOSE( CONTROL!$C$36, 8.7773, 8.7762) * CHOOSE(CONTROL!$C$19, $D$11, 100%, $F$11)</f>
        <v>8.7773000000000003</v>
      </c>
      <c r="K282" s="4"/>
      <c r="L282" s="9">
        <v>27.415299999999998</v>
      </c>
      <c r="M282" s="9">
        <v>11.285299999999999</v>
      </c>
      <c r="N282" s="9">
        <v>4.6254999999999997</v>
      </c>
      <c r="O282" s="9">
        <v>0.34989999999999999</v>
      </c>
      <c r="P282" s="9">
        <v>1.2093</v>
      </c>
      <c r="Q282" s="9">
        <v>28.607299999999999</v>
      </c>
      <c r="R282" s="9"/>
      <c r="S282" s="11"/>
    </row>
    <row r="283" spans="1:19" ht="15.75">
      <c r="A283" s="14">
        <v>49735</v>
      </c>
      <c r="B283" s="8">
        <f>CHOOSE( CONTROL!$C$36, 8.8545, 8.8534) * CHOOSE(CONTROL!$C$19, $D$11, 100%, $F$11)</f>
        <v>8.8544999999999998</v>
      </c>
      <c r="C283" s="8">
        <f>CHOOSE( CONTROL!$C$36, 8.8596, 8.8585) * CHOOSE(CONTROL!$C$19, $D$11, 100%, $F$11)</f>
        <v>8.8596000000000004</v>
      </c>
      <c r="D283" s="8">
        <f>CHOOSE( CONTROL!$C$36, 8.8601, 8.859) * CHOOSE( CONTROL!$C$19, $D$11, 100%, $F$11)</f>
        <v>8.8600999999999992</v>
      </c>
      <c r="E283" s="12">
        <f>CHOOSE( CONTROL!$C$36, 8.8594, 8.8583) * CHOOSE( CONTROL!$C$19, $D$11, 100%, $F$11)</f>
        <v>8.8594000000000008</v>
      </c>
      <c r="F283" s="4">
        <f>CHOOSE( CONTROL!$C$36, 9.5137, 9.5126) * CHOOSE(CONTROL!$C$19, $D$11, 100%, $F$11)</f>
        <v>9.5137</v>
      </c>
      <c r="G283" s="8">
        <f>CHOOSE( CONTROL!$C$36, 8.7772, 8.7761) * CHOOSE( CONTROL!$C$19, $D$11, 100%, $F$11)</f>
        <v>8.7772000000000006</v>
      </c>
      <c r="H283" s="4">
        <f>CHOOSE( CONTROL!$C$36, 9.6548, 9.6538) * CHOOSE(CONTROL!$C$19, $D$11, 100%, $F$11)</f>
        <v>9.6547999999999998</v>
      </c>
      <c r="I283" s="8">
        <f>CHOOSE( CONTROL!$C$36, 8.7562, 8.7551) * CHOOSE(CONTROL!$C$19, $D$11, 100%, $F$11)</f>
        <v>8.7561999999999998</v>
      </c>
      <c r="J283" s="4">
        <f>CHOOSE( CONTROL!$C$36, 8.5904, 8.5894) * CHOOSE(CONTROL!$C$19, $D$11, 100%, $F$11)</f>
        <v>8.5904000000000007</v>
      </c>
      <c r="K283" s="4"/>
      <c r="L283" s="9">
        <v>29.306000000000001</v>
      </c>
      <c r="M283" s="9">
        <v>12.063700000000001</v>
      </c>
      <c r="N283" s="9">
        <v>4.9444999999999997</v>
      </c>
      <c r="O283" s="9">
        <v>0.37409999999999999</v>
      </c>
      <c r="P283" s="9">
        <v>1.2927</v>
      </c>
      <c r="Q283" s="9">
        <v>30.580300000000001</v>
      </c>
      <c r="R283" s="9"/>
      <c r="S283" s="11"/>
    </row>
    <row r="284" spans="1:19" ht="15.75">
      <c r="A284" s="14">
        <v>49766</v>
      </c>
      <c r="B284" s="8">
        <f>CHOOSE( CONTROL!$C$36, 8.99, 8.989) * CHOOSE(CONTROL!$C$19, $D$11, 100%, $F$11)</f>
        <v>8.99</v>
      </c>
      <c r="C284" s="8">
        <f>CHOOSE( CONTROL!$C$36, 8.9946, 8.9935) * CHOOSE(CONTROL!$C$19, $D$11, 100%, $F$11)</f>
        <v>8.9946000000000002</v>
      </c>
      <c r="D284" s="8">
        <f>CHOOSE( CONTROL!$C$36, 9.015, 9.0139) * CHOOSE( CONTROL!$C$19, $D$11, 100%, $F$11)</f>
        <v>9.0150000000000006</v>
      </c>
      <c r="E284" s="12">
        <f>CHOOSE( CONTROL!$C$36, 9.0077, 9.0066) * CHOOSE( CONTROL!$C$19, $D$11, 100%, $F$11)</f>
        <v>9.0076999999999998</v>
      </c>
      <c r="F284" s="4">
        <f>CHOOSE( CONTROL!$C$36, 9.7244, 9.7234) * CHOOSE(CONTROL!$C$19, $D$11, 100%, $F$11)</f>
        <v>9.7243999999999993</v>
      </c>
      <c r="G284" s="8">
        <f>CHOOSE( CONTROL!$C$36, 8.9182, 8.9171) * CHOOSE( CONTROL!$C$19, $D$11, 100%, $F$11)</f>
        <v>8.9182000000000006</v>
      </c>
      <c r="H284" s="4">
        <f>CHOOSE( CONTROL!$C$36, 9.8626, 9.8615) * CHOOSE(CONTROL!$C$19, $D$11, 100%, $F$11)</f>
        <v>9.8626000000000005</v>
      </c>
      <c r="I284" s="8">
        <f>CHOOSE( CONTROL!$C$36, 8.8563, 8.8552) * CHOOSE(CONTROL!$C$19, $D$11, 100%, $F$11)</f>
        <v>8.8562999999999992</v>
      </c>
      <c r="J284" s="4">
        <f>CHOOSE( CONTROL!$C$36, 8.721, 8.7199) * CHOOSE(CONTROL!$C$19, $D$11, 100%, $F$11)</f>
        <v>8.7210000000000001</v>
      </c>
      <c r="K284" s="4"/>
      <c r="L284" s="9">
        <v>30.092199999999998</v>
      </c>
      <c r="M284" s="9">
        <v>11.6745</v>
      </c>
      <c r="N284" s="9">
        <v>4.7850000000000001</v>
      </c>
      <c r="O284" s="9">
        <v>0.36199999999999999</v>
      </c>
      <c r="P284" s="9">
        <v>1.2509999999999999</v>
      </c>
      <c r="Q284" s="9">
        <v>29.593800000000002</v>
      </c>
      <c r="R284" s="9"/>
      <c r="S284" s="11"/>
    </row>
    <row r="285" spans="1:19" ht="15.75">
      <c r="A285" s="14">
        <v>49796</v>
      </c>
      <c r="B285" s="8">
        <f>CHOOSE( CONTROL!$C$36, 9.2319, 9.2303) * CHOOSE(CONTROL!$C$19, $D$11, 100%, $F$11)</f>
        <v>9.2318999999999996</v>
      </c>
      <c r="C285" s="8">
        <f>CHOOSE( CONTROL!$C$36, 9.2399, 9.2383) * CHOOSE(CONTROL!$C$19, $D$11, 100%, $F$11)</f>
        <v>9.2399000000000004</v>
      </c>
      <c r="D285" s="8">
        <f>CHOOSE( CONTROL!$C$36, 9.2541, 9.2525) * CHOOSE( CONTROL!$C$19, $D$11, 100%, $F$11)</f>
        <v>9.2540999999999993</v>
      </c>
      <c r="E285" s="12">
        <f>CHOOSE( CONTROL!$C$36, 9.2477, 9.2461) * CHOOSE( CONTROL!$C$19, $D$11, 100%, $F$11)</f>
        <v>9.2477</v>
      </c>
      <c r="F285" s="4">
        <f>CHOOSE( CONTROL!$C$36, 9.965, 9.9633) * CHOOSE(CONTROL!$C$19, $D$11, 100%, $F$11)</f>
        <v>9.9649999999999999</v>
      </c>
      <c r="G285" s="8">
        <f>CHOOSE( CONTROL!$C$36, 9.1553, 9.1537) * CHOOSE( CONTROL!$C$19, $D$11, 100%, $F$11)</f>
        <v>9.1553000000000004</v>
      </c>
      <c r="H285" s="4">
        <f>CHOOSE( CONTROL!$C$36, 10.0998, 10.0982) * CHOOSE(CONTROL!$C$19, $D$11, 100%, $F$11)</f>
        <v>10.0998</v>
      </c>
      <c r="I285" s="8">
        <f>CHOOSE( CONTROL!$C$36, 9.0889, 9.0873) * CHOOSE(CONTROL!$C$19, $D$11, 100%, $F$11)</f>
        <v>9.0889000000000006</v>
      </c>
      <c r="J285" s="4">
        <f>CHOOSE( CONTROL!$C$36, 8.9539, 8.9523) * CHOOSE(CONTROL!$C$19, $D$11, 100%, $F$11)</f>
        <v>8.9539000000000009</v>
      </c>
      <c r="K285" s="4"/>
      <c r="L285" s="9">
        <v>30.7165</v>
      </c>
      <c r="M285" s="9">
        <v>12.063700000000001</v>
      </c>
      <c r="N285" s="9">
        <v>4.9444999999999997</v>
      </c>
      <c r="O285" s="9">
        <v>0.37409999999999999</v>
      </c>
      <c r="P285" s="9">
        <v>1.2927</v>
      </c>
      <c r="Q285" s="9">
        <v>30.580300000000001</v>
      </c>
      <c r="R285" s="9"/>
      <c r="S285" s="11"/>
    </row>
    <row r="286" spans="1:19" ht="15.75">
      <c r="A286" s="14">
        <v>49827</v>
      </c>
      <c r="B286" s="8">
        <f>CHOOSE( CONTROL!$C$36, 9.0833, 9.0816) * CHOOSE(CONTROL!$C$19, $D$11, 100%, $F$11)</f>
        <v>9.0832999999999995</v>
      </c>
      <c r="C286" s="8">
        <f>CHOOSE( CONTROL!$C$36, 9.0913, 9.0896) * CHOOSE(CONTROL!$C$19, $D$11, 100%, $F$11)</f>
        <v>9.0913000000000004</v>
      </c>
      <c r="D286" s="8">
        <f>CHOOSE( CONTROL!$C$36, 9.1057, 9.104) * CHOOSE( CONTROL!$C$19, $D$11, 100%, $F$11)</f>
        <v>9.1057000000000006</v>
      </c>
      <c r="E286" s="12">
        <f>CHOOSE( CONTROL!$C$36, 9.0993, 9.0976) * CHOOSE( CONTROL!$C$19, $D$11, 100%, $F$11)</f>
        <v>9.0992999999999995</v>
      </c>
      <c r="F286" s="4">
        <f>CHOOSE( CONTROL!$C$36, 9.8163, 9.8147) * CHOOSE(CONTROL!$C$19, $D$11, 100%, $F$11)</f>
        <v>9.8163</v>
      </c>
      <c r="G286" s="8">
        <f>CHOOSE( CONTROL!$C$36, 9.0089, 9.0073) * CHOOSE( CONTROL!$C$19, $D$11, 100%, $F$11)</f>
        <v>9.0089000000000006</v>
      </c>
      <c r="H286" s="4">
        <f>CHOOSE( CONTROL!$C$36, 9.9532, 9.9516) * CHOOSE(CONTROL!$C$19, $D$11, 100%, $F$11)</f>
        <v>9.9532000000000007</v>
      </c>
      <c r="I286" s="8">
        <f>CHOOSE( CONTROL!$C$36, 8.9455, 8.9439) * CHOOSE(CONTROL!$C$19, $D$11, 100%, $F$11)</f>
        <v>8.9454999999999991</v>
      </c>
      <c r="J286" s="4">
        <f>CHOOSE( CONTROL!$C$36, 8.81, 8.8083) * CHOOSE(CONTROL!$C$19, $D$11, 100%, $F$11)</f>
        <v>8.81</v>
      </c>
      <c r="K286" s="4"/>
      <c r="L286" s="9">
        <v>29.7257</v>
      </c>
      <c r="M286" s="9">
        <v>11.6745</v>
      </c>
      <c r="N286" s="9">
        <v>4.7850000000000001</v>
      </c>
      <c r="O286" s="9">
        <v>0.36199999999999999</v>
      </c>
      <c r="P286" s="9">
        <v>1.2509999999999999</v>
      </c>
      <c r="Q286" s="9">
        <v>29.593800000000002</v>
      </c>
      <c r="R286" s="9"/>
      <c r="S286" s="11"/>
    </row>
    <row r="287" spans="1:19" ht="15.75">
      <c r="A287" s="14">
        <v>49857</v>
      </c>
      <c r="B287" s="8">
        <f>CHOOSE( CONTROL!$C$36, 9.4747, 9.4731) * CHOOSE(CONTROL!$C$19, $D$11, 100%, $F$11)</f>
        <v>9.4747000000000003</v>
      </c>
      <c r="C287" s="8">
        <f>CHOOSE( CONTROL!$C$36, 9.4827, 9.4811) * CHOOSE(CONTROL!$C$19, $D$11, 100%, $F$11)</f>
        <v>9.4826999999999995</v>
      </c>
      <c r="D287" s="8">
        <f>CHOOSE( CONTROL!$C$36, 9.4974, 9.4957) * CHOOSE( CONTROL!$C$19, $D$11, 100%, $F$11)</f>
        <v>9.4974000000000007</v>
      </c>
      <c r="E287" s="12">
        <f>CHOOSE( CONTROL!$C$36, 9.4909, 9.4892) * CHOOSE( CONTROL!$C$19, $D$11, 100%, $F$11)</f>
        <v>9.4908999999999999</v>
      </c>
      <c r="F287" s="4">
        <f>CHOOSE( CONTROL!$C$36, 10.2078, 10.2061) * CHOOSE(CONTROL!$C$19, $D$11, 100%, $F$11)</f>
        <v>10.207800000000001</v>
      </c>
      <c r="G287" s="8">
        <f>CHOOSE( CONTROL!$C$36, 9.3951, 9.3934) * CHOOSE( CONTROL!$C$19, $D$11, 100%, $F$11)</f>
        <v>9.3950999999999993</v>
      </c>
      <c r="H287" s="4">
        <f>CHOOSE( CONTROL!$C$36, 10.3392, 10.3376) * CHOOSE(CONTROL!$C$19, $D$11, 100%, $F$11)</f>
        <v>10.3392</v>
      </c>
      <c r="I287" s="8">
        <f>CHOOSE( CONTROL!$C$36, 9.3256, 9.324) * CHOOSE(CONTROL!$C$19, $D$11, 100%, $F$11)</f>
        <v>9.3255999999999997</v>
      </c>
      <c r="J287" s="4">
        <f>CHOOSE( CONTROL!$C$36, 9.189, 9.1874) * CHOOSE(CONTROL!$C$19, $D$11, 100%, $F$11)</f>
        <v>9.1890000000000001</v>
      </c>
      <c r="K287" s="4"/>
      <c r="L287" s="9">
        <v>30.7165</v>
      </c>
      <c r="M287" s="9">
        <v>12.063700000000001</v>
      </c>
      <c r="N287" s="9">
        <v>4.9444999999999997</v>
      </c>
      <c r="O287" s="9">
        <v>0.37409999999999999</v>
      </c>
      <c r="P287" s="9">
        <v>1.2927</v>
      </c>
      <c r="Q287" s="9">
        <v>30.580300000000001</v>
      </c>
      <c r="R287" s="9"/>
      <c r="S287" s="11"/>
    </row>
    <row r="288" spans="1:19" ht="15.75">
      <c r="A288" s="14">
        <v>49888</v>
      </c>
      <c r="B288" s="8">
        <f>CHOOSE( CONTROL!$C$36, 8.7423, 8.7407) * CHOOSE(CONTROL!$C$19, $D$11, 100%, $F$11)</f>
        <v>8.7423000000000002</v>
      </c>
      <c r="C288" s="8">
        <f>CHOOSE( CONTROL!$C$36, 8.7503, 8.7487) * CHOOSE(CONTROL!$C$19, $D$11, 100%, $F$11)</f>
        <v>8.7502999999999993</v>
      </c>
      <c r="D288" s="8">
        <f>CHOOSE( CONTROL!$C$36, 8.765, 8.7633) * CHOOSE( CONTROL!$C$19, $D$11, 100%, $F$11)</f>
        <v>8.7650000000000006</v>
      </c>
      <c r="E288" s="12">
        <f>CHOOSE( CONTROL!$C$36, 8.7585, 8.7568) * CHOOSE( CONTROL!$C$19, $D$11, 100%, $F$11)</f>
        <v>8.7584999999999997</v>
      </c>
      <c r="F288" s="4">
        <f>CHOOSE( CONTROL!$C$36, 9.4753, 9.4737) * CHOOSE(CONTROL!$C$19, $D$11, 100%, $F$11)</f>
        <v>9.4753000000000007</v>
      </c>
      <c r="G288" s="8">
        <f>CHOOSE( CONTROL!$C$36, 8.6729, 8.6713) * CHOOSE( CONTROL!$C$19, $D$11, 100%, $F$11)</f>
        <v>8.6729000000000003</v>
      </c>
      <c r="H288" s="4">
        <f>CHOOSE( CONTROL!$C$36, 9.617, 9.6154) * CHOOSE(CONTROL!$C$19, $D$11, 100%, $F$11)</f>
        <v>9.6170000000000009</v>
      </c>
      <c r="I288" s="8">
        <f>CHOOSE( CONTROL!$C$36, 8.6162, 8.6146) * CHOOSE(CONTROL!$C$19, $D$11, 100%, $F$11)</f>
        <v>8.6161999999999992</v>
      </c>
      <c r="J288" s="4">
        <f>CHOOSE( CONTROL!$C$36, 8.4798, 8.4782) * CHOOSE(CONTROL!$C$19, $D$11, 100%, $F$11)</f>
        <v>8.4797999999999991</v>
      </c>
      <c r="K288" s="4"/>
      <c r="L288" s="9">
        <v>30.7165</v>
      </c>
      <c r="M288" s="9">
        <v>12.063700000000001</v>
      </c>
      <c r="N288" s="9">
        <v>4.9444999999999997</v>
      </c>
      <c r="O288" s="9">
        <v>0.37409999999999999</v>
      </c>
      <c r="P288" s="9">
        <v>1.2927</v>
      </c>
      <c r="Q288" s="9">
        <v>30.580300000000001</v>
      </c>
      <c r="R288" s="9"/>
      <c r="S288" s="11"/>
    </row>
    <row r="289" spans="1:19" ht="15.75">
      <c r="A289" s="14">
        <v>49919</v>
      </c>
      <c r="B289" s="8">
        <f>CHOOSE( CONTROL!$C$36, 8.5589, 8.5573) * CHOOSE(CONTROL!$C$19, $D$11, 100%, $F$11)</f>
        <v>8.5588999999999995</v>
      </c>
      <c r="C289" s="8">
        <f>CHOOSE( CONTROL!$C$36, 8.5669, 8.5652) * CHOOSE(CONTROL!$C$19, $D$11, 100%, $F$11)</f>
        <v>8.5669000000000004</v>
      </c>
      <c r="D289" s="8">
        <f>CHOOSE( CONTROL!$C$36, 8.5815, 8.5798) * CHOOSE( CONTROL!$C$19, $D$11, 100%, $F$11)</f>
        <v>8.5815000000000001</v>
      </c>
      <c r="E289" s="12">
        <f>CHOOSE( CONTROL!$C$36, 8.575, 8.5733) * CHOOSE( CONTROL!$C$19, $D$11, 100%, $F$11)</f>
        <v>8.5749999999999993</v>
      </c>
      <c r="F289" s="4">
        <f>CHOOSE( CONTROL!$C$36, 9.2919, 9.2903) * CHOOSE(CONTROL!$C$19, $D$11, 100%, $F$11)</f>
        <v>9.2919</v>
      </c>
      <c r="G289" s="8">
        <f>CHOOSE( CONTROL!$C$36, 8.492, 8.4904) * CHOOSE( CONTROL!$C$19, $D$11, 100%, $F$11)</f>
        <v>8.4920000000000009</v>
      </c>
      <c r="H289" s="4">
        <f>CHOOSE( CONTROL!$C$36, 9.4362, 9.4345) * CHOOSE(CONTROL!$C$19, $D$11, 100%, $F$11)</f>
        <v>9.4361999999999995</v>
      </c>
      <c r="I289" s="8">
        <f>CHOOSE( CONTROL!$C$36, 8.4382, 8.4366) * CHOOSE(CONTROL!$C$19, $D$11, 100%, $F$11)</f>
        <v>8.4382000000000001</v>
      </c>
      <c r="J289" s="4">
        <f>CHOOSE( CONTROL!$C$36, 8.3022, 8.3006) * CHOOSE(CONTROL!$C$19, $D$11, 100%, $F$11)</f>
        <v>8.3021999999999991</v>
      </c>
      <c r="K289" s="4"/>
      <c r="L289" s="9">
        <v>29.7257</v>
      </c>
      <c r="M289" s="9">
        <v>11.6745</v>
      </c>
      <c r="N289" s="9">
        <v>4.7850000000000001</v>
      </c>
      <c r="O289" s="9">
        <v>0.36199999999999999</v>
      </c>
      <c r="P289" s="9">
        <v>1.2509999999999999</v>
      </c>
      <c r="Q289" s="9">
        <v>29.593800000000002</v>
      </c>
      <c r="R289" s="9"/>
      <c r="S289" s="11"/>
    </row>
    <row r="290" spans="1:19" ht="15.75">
      <c r="A290" s="14">
        <v>49949</v>
      </c>
      <c r="B290" s="8">
        <f>CHOOSE( CONTROL!$C$36, 8.9374, 8.9363) * CHOOSE(CONTROL!$C$19, $D$11, 100%, $F$11)</f>
        <v>8.9374000000000002</v>
      </c>
      <c r="C290" s="8">
        <f>CHOOSE( CONTROL!$C$36, 8.9428, 8.9417) * CHOOSE(CONTROL!$C$19, $D$11, 100%, $F$11)</f>
        <v>8.9428000000000001</v>
      </c>
      <c r="D290" s="8">
        <f>CHOOSE( CONTROL!$C$36, 8.9633, 8.9622) * CHOOSE( CONTROL!$C$19, $D$11, 100%, $F$11)</f>
        <v>8.9633000000000003</v>
      </c>
      <c r="E290" s="12">
        <f>CHOOSE( CONTROL!$C$36, 8.956, 8.9549) * CHOOSE( CONTROL!$C$19, $D$11, 100%, $F$11)</f>
        <v>8.9559999999999995</v>
      </c>
      <c r="F290" s="4">
        <f>CHOOSE( CONTROL!$C$36, 9.6722, 9.6711) * CHOOSE(CONTROL!$C$19, $D$11, 100%, $F$11)</f>
        <v>9.6722000000000001</v>
      </c>
      <c r="G290" s="8">
        <f>CHOOSE( CONTROL!$C$36, 8.8671, 8.8661) * CHOOSE( CONTROL!$C$19, $D$11, 100%, $F$11)</f>
        <v>8.8671000000000006</v>
      </c>
      <c r="H290" s="4">
        <f>CHOOSE( CONTROL!$C$36, 9.8111, 9.81) * CHOOSE(CONTROL!$C$19, $D$11, 100%, $F$11)</f>
        <v>9.8110999999999997</v>
      </c>
      <c r="I290" s="8">
        <f>CHOOSE( CONTROL!$C$36, 8.8076, 8.8066) * CHOOSE(CONTROL!$C$19, $D$11, 100%, $F$11)</f>
        <v>8.8076000000000008</v>
      </c>
      <c r="J290" s="4">
        <f>CHOOSE( CONTROL!$C$36, 8.6704, 8.6693) * CHOOSE(CONTROL!$C$19, $D$11, 100%, $F$11)</f>
        <v>8.6704000000000008</v>
      </c>
      <c r="K290" s="4"/>
      <c r="L290" s="9">
        <v>31.095300000000002</v>
      </c>
      <c r="M290" s="9">
        <v>12.063700000000001</v>
      </c>
      <c r="N290" s="9">
        <v>4.9444999999999997</v>
      </c>
      <c r="O290" s="9">
        <v>0.37409999999999999</v>
      </c>
      <c r="P290" s="9">
        <v>1.2927</v>
      </c>
      <c r="Q290" s="9">
        <v>30.580300000000001</v>
      </c>
      <c r="R290" s="9"/>
      <c r="S290" s="11"/>
    </row>
    <row r="291" spans="1:19" ht="15.75">
      <c r="A291" s="14">
        <v>49980</v>
      </c>
      <c r="B291" s="8">
        <f>CHOOSE( CONTROL!$C$36, 9.6399, 9.6388) * CHOOSE(CONTROL!$C$19, $D$11, 100%, $F$11)</f>
        <v>9.6399000000000008</v>
      </c>
      <c r="C291" s="8">
        <f>CHOOSE( CONTROL!$C$36, 9.645, 9.6439) * CHOOSE(CONTROL!$C$19, $D$11, 100%, $F$11)</f>
        <v>9.6449999999999996</v>
      </c>
      <c r="D291" s="8">
        <f>CHOOSE( CONTROL!$C$36, 9.6242, 9.6232) * CHOOSE( CONTROL!$C$19, $D$11, 100%, $F$11)</f>
        <v>9.6242000000000001</v>
      </c>
      <c r="E291" s="12">
        <f>CHOOSE( CONTROL!$C$36, 9.6313, 9.6302) * CHOOSE( CONTROL!$C$19, $D$11, 100%, $F$11)</f>
        <v>9.6312999999999995</v>
      </c>
      <c r="F291" s="4">
        <f>CHOOSE( CONTROL!$C$36, 10.2992, 10.2981) * CHOOSE(CONTROL!$C$19, $D$11, 100%, $F$11)</f>
        <v>10.299200000000001</v>
      </c>
      <c r="G291" s="8">
        <f>CHOOSE( CONTROL!$C$36, 9.5402, 9.5391) * CHOOSE( CONTROL!$C$19, $D$11, 100%, $F$11)</f>
        <v>9.5402000000000005</v>
      </c>
      <c r="H291" s="4">
        <f>CHOOSE( CONTROL!$C$36, 10.4293, 10.4283) * CHOOSE(CONTROL!$C$19, $D$11, 100%, $F$11)</f>
        <v>10.4293</v>
      </c>
      <c r="I291" s="8">
        <f>CHOOSE( CONTROL!$C$36, 9.5377, 9.5367) * CHOOSE(CONTROL!$C$19, $D$11, 100%, $F$11)</f>
        <v>9.5376999999999992</v>
      </c>
      <c r="J291" s="4">
        <f>CHOOSE( CONTROL!$C$36, 9.351, 9.3499) * CHOOSE(CONTROL!$C$19, $D$11, 100%, $F$11)</f>
        <v>9.3510000000000009</v>
      </c>
      <c r="K291" s="4"/>
      <c r="L291" s="9">
        <v>28.360600000000002</v>
      </c>
      <c r="M291" s="9">
        <v>11.6745</v>
      </c>
      <c r="N291" s="9">
        <v>4.7850000000000001</v>
      </c>
      <c r="O291" s="9">
        <v>0.36199999999999999</v>
      </c>
      <c r="P291" s="9">
        <v>1.2509999999999999</v>
      </c>
      <c r="Q291" s="9">
        <v>29.593800000000002</v>
      </c>
      <c r="R291" s="9"/>
      <c r="S291" s="11"/>
    </row>
    <row r="292" spans="1:19" ht="15.75">
      <c r="A292" s="14">
        <v>50010</v>
      </c>
      <c r="B292" s="8">
        <f>CHOOSE( CONTROL!$C$36, 9.6224, 9.6213) * CHOOSE(CONTROL!$C$19, $D$11, 100%, $F$11)</f>
        <v>9.6224000000000007</v>
      </c>
      <c r="C292" s="8">
        <f>CHOOSE( CONTROL!$C$36, 9.6275, 9.6264) * CHOOSE(CONTROL!$C$19, $D$11, 100%, $F$11)</f>
        <v>9.6274999999999995</v>
      </c>
      <c r="D292" s="8">
        <f>CHOOSE( CONTROL!$C$36, 9.6081, 9.607) * CHOOSE( CONTROL!$C$19, $D$11, 100%, $F$11)</f>
        <v>9.6081000000000003</v>
      </c>
      <c r="E292" s="12">
        <f>CHOOSE( CONTROL!$C$36, 9.6147, 9.6136) * CHOOSE( CONTROL!$C$19, $D$11, 100%, $F$11)</f>
        <v>9.6146999999999991</v>
      </c>
      <c r="F292" s="4">
        <f>CHOOSE( CONTROL!$C$36, 10.2816, 10.2805) * CHOOSE(CONTROL!$C$19, $D$11, 100%, $F$11)</f>
        <v>10.281599999999999</v>
      </c>
      <c r="G292" s="8">
        <f>CHOOSE( CONTROL!$C$36, 9.5239, 9.5228) * CHOOSE( CONTROL!$C$19, $D$11, 100%, $F$11)</f>
        <v>9.5238999999999994</v>
      </c>
      <c r="H292" s="4">
        <f>CHOOSE( CONTROL!$C$36, 10.412, 10.4109) * CHOOSE(CONTROL!$C$19, $D$11, 100%, $F$11)</f>
        <v>10.412000000000001</v>
      </c>
      <c r="I292" s="8">
        <f>CHOOSE( CONTROL!$C$36, 9.525, 9.5239) * CHOOSE(CONTROL!$C$19, $D$11, 100%, $F$11)</f>
        <v>9.5250000000000004</v>
      </c>
      <c r="J292" s="4">
        <f>CHOOSE( CONTROL!$C$36, 9.334, 9.3329) * CHOOSE(CONTROL!$C$19, $D$11, 100%, $F$11)</f>
        <v>9.3339999999999996</v>
      </c>
      <c r="K292" s="4"/>
      <c r="L292" s="9">
        <v>29.306000000000001</v>
      </c>
      <c r="M292" s="9">
        <v>12.063700000000001</v>
      </c>
      <c r="N292" s="9">
        <v>4.9444999999999997</v>
      </c>
      <c r="O292" s="9">
        <v>0.37409999999999999</v>
      </c>
      <c r="P292" s="9">
        <v>1.2927</v>
      </c>
      <c r="Q292" s="9">
        <v>30.580300000000001</v>
      </c>
      <c r="R292" s="9"/>
      <c r="S292" s="11"/>
    </row>
    <row r="293" spans="1:19" ht="15.75">
      <c r="A293" s="14">
        <v>50041</v>
      </c>
      <c r="B293" s="8">
        <f>CHOOSE( CONTROL!$C$36, 9.9067, 9.9056) * CHOOSE(CONTROL!$C$19, $D$11, 100%, $F$11)</f>
        <v>9.9067000000000007</v>
      </c>
      <c r="C293" s="8">
        <f>CHOOSE( CONTROL!$C$36, 9.9118, 9.9107) * CHOOSE(CONTROL!$C$19, $D$11, 100%, $F$11)</f>
        <v>9.9117999999999995</v>
      </c>
      <c r="D293" s="8">
        <f>CHOOSE( CONTROL!$C$36, 9.9131, 9.912) * CHOOSE( CONTROL!$C$19, $D$11, 100%, $F$11)</f>
        <v>9.9131</v>
      </c>
      <c r="E293" s="12">
        <f>CHOOSE( CONTROL!$C$36, 9.9121, 9.911) * CHOOSE( CONTROL!$C$19, $D$11, 100%, $F$11)</f>
        <v>9.9121000000000006</v>
      </c>
      <c r="F293" s="4">
        <f>CHOOSE( CONTROL!$C$36, 10.5659, 10.5648) * CHOOSE(CONTROL!$C$19, $D$11, 100%, $F$11)</f>
        <v>10.565899999999999</v>
      </c>
      <c r="G293" s="8">
        <f>CHOOSE( CONTROL!$C$36, 9.8152, 9.8142) * CHOOSE( CONTROL!$C$19, $D$11, 100%, $F$11)</f>
        <v>9.8152000000000008</v>
      </c>
      <c r="H293" s="4">
        <f>CHOOSE( CONTROL!$C$36, 10.6924, 10.6913) * CHOOSE(CONTROL!$C$19, $D$11, 100%, $F$11)</f>
        <v>10.692399999999999</v>
      </c>
      <c r="I293" s="8">
        <f>CHOOSE( CONTROL!$C$36, 9.7779, 9.7769) * CHOOSE(CONTROL!$C$19, $D$11, 100%, $F$11)</f>
        <v>9.7779000000000007</v>
      </c>
      <c r="J293" s="4">
        <f>CHOOSE( CONTROL!$C$36, 9.6093, 9.6082) * CHOOSE(CONTROL!$C$19, $D$11, 100%, $F$11)</f>
        <v>9.6092999999999993</v>
      </c>
      <c r="K293" s="4"/>
      <c r="L293" s="9">
        <v>29.306000000000001</v>
      </c>
      <c r="M293" s="9">
        <v>12.063700000000001</v>
      </c>
      <c r="N293" s="9">
        <v>4.9444999999999997</v>
      </c>
      <c r="O293" s="9">
        <v>0.37409999999999999</v>
      </c>
      <c r="P293" s="9">
        <v>1.2927</v>
      </c>
      <c r="Q293" s="9">
        <v>30.5152</v>
      </c>
      <c r="R293" s="9"/>
      <c r="S293" s="11"/>
    </row>
    <row r="294" spans="1:19" ht="15.75">
      <c r="A294" s="14">
        <v>50072</v>
      </c>
      <c r="B294" s="8">
        <f>CHOOSE( CONTROL!$C$36, 9.2652, 9.2641) * CHOOSE(CONTROL!$C$19, $D$11, 100%, $F$11)</f>
        <v>9.2652000000000001</v>
      </c>
      <c r="C294" s="8">
        <f>CHOOSE( CONTROL!$C$36, 9.2703, 9.2692) * CHOOSE(CONTROL!$C$19, $D$11, 100%, $F$11)</f>
        <v>9.2703000000000007</v>
      </c>
      <c r="D294" s="8">
        <f>CHOOSE( CONTROL!$C$36, 9.2714, 9.2703) * CHOOSE( CONTROL!$C$19, $D$11, 100%, $F$11)</f>
        <v>9.2713999999999999</v>
      </c>
      <c r="E294" s="12">
        <f>CHOOSE( CONTROL!$C$36, 9.2705, 9.2694) * CHOOSE( CONTROL!$C$19, $D$11, 100%, $F$11)</f>
        <v>9.2705000000000002</v>
      </c>
      <c r="F294" s="4">
        <f>CHOOSE( CONTROL!$C$36, 9.9244, 9.9233) * CHOOSE(CONTROL!$C$19, $D$11, 100%, $F$11)</f>
        <v>9.9244000000000003</v>
      </c>
      <c r="G294" s="8">
        <f>CHOOSE( CONTROL!$C$36, 9.1826, 9.1815) * CHOOSE( CONTROL!$C$19, $D$11, 100%, $F$11)</f>
        <v>9.1826000000000008</v>
      </c>
      <c r="H294" s="4">
        <f>CHOOSE( CONTROL!$C$36, 10.0598, 10.0587) * CHOOSE(CONTROL!$C$19, $D$11, 100%, $F$11)</f>
        <v>10.059799999999999</v>
      </c>
      <c r="I294" s="8">
        <f>CHOOSE( CONTROL!$C$36, 9.156, 9.155) * CHOOSE(CONTROL!$C$19, $D$11, 100%, $F$11)</f>
        <v>9.1560000000000006</v>
      </c>
      <c r="J294" s="4">
        <f>CHOOSE( CONTROL!$C$36, 8.9881, 8.9871) * CHOOSE(CONTROL!$C$19, $D$11, 100%, $F$11)</f>
        <v>8.9880999999999993</v>
      </c>
      <c r="K294" s="4"/>
      <c r="L294" s="9">
        <v>26.469899999999999</v>
      </c>
      <c r="M294" s="9">
        <v>10.8962</v>
      </c>
      <c r="N294" s="9">
        <v>4.4660000000000002</v>
      </c>
      <c r="O294" s="9">
        <v>0.33789999999999998</v>
      </c>
      <c r="P294" s="9">
        <v>1.1676</v>
      </c>
      <c r="Q294" s="9">
        <v>27.562100000000001</v>
      </c>
      <c r="R294" s="9"/>
      <c r="S294" s="11"/>
    </row>
    <row r="295" spans="1:19" ht="15.75">
      <c r="A295" s="14">
        <v>50100</v>
      </c>
      <c r="B295" s="8">
        <f>CHOOSE( CONTROL!$C$36, 9.0676, 9.0665) * CHOOSE(CONTROL!$C$19, $D$11, 100%, $F$11)</f>
        <v>9.0676000000000005</v>
      </c>
      <c r="C295" s="8">
        <f>CHOOSE( CONTROL!$C$36, 9.0727, 9.0716) * CHOOSE(CONTROL!$C$19, $D$11, 100%, $F$11)</f>
        <v>9.0726999999999993</v>
      </c>
      <c r="D295" s="8">
        <f>CHOOSE( CONTROL!$C$36, 9.0732, 9.0721) * CHOOSE( CONTROL!$C$19, $D$11, 100%, $F$11)</f>
        <v>9.0731999999999999</v>
      </c>
      <c r="E295" s="12">
        <f>CHOOSE( CONTROL!$C$36, 9.0725, 9.0714) * CHOOSE( CONTROL!$C$19, $D$11, 100%, $F$11)</f>
        <v>9.0724999999999998</v>
      </c>
      <c r="F295" s="4">
        <f>CHOOSE( CONTROL!$C$36, 9.7269, 9.7258) * CHOOSE(CONTROL!$C$19, $D$11, 100%, $F$11)</f>
        <v>9.7269000000000005</v>
      </c>
      <c r="G295" s="8">
        <f>CHOOSE( CONTROL!$C$36, 8.9873, 8.9863) * CHOOSE( CONTROL!$C$19, $D$11, 100%, $F$11)</f>
        <v>8.9872999999999994</v>
      </c>
      <c r="H295" s="4">
        <f>CHOOSE( CONTROL!$C$36, 9.865, 9.8639) * CHOOSE(CONTROL!$C$19, $D$11, 100%, $F$11)</f>
        <v>9.8650000000000002</v>
      </c>
      <c r="I295" s="8">
        <f>CHOOSE( CONTROL!$C$36, 8.9626, 8.9616) * CHOOSE(CONTROL!$C$19, $D$11, 100%, $F$11)</f>
        <v>8.9626000000000001</v>
      </c>
      <c r="J295" s="4">
        <f>CHOOSE( CONTROL!$C$36, 8.7968, 8.7958) * CHOOSE(CONTROL!$C$19, $D$11, 100%, $F$11)</f>
        <v>8.7967999999999993</v>
      </c>
      <c r="K295" s="4"/>
      <c r="L295" s="9">
        <v>29.306000000000001</v>
      </c>
      <c r="M295" s="9">
        <v>12.063700000000001</v>
      </c>
      <c r="N295" s="9">
        <v>4.9444999999999997</v>
      </c>
      <c r="O295" s="9">
        <v>0.37409999999999999</v>
      </c>
      <c r="P295" s="9">
        <v>1.2927</v>
      </c>
      <c r="Q295" s="9">
        <v>30.5152</v>
      </c>
      <c r="R295" s="9"/>
      <c r="S295" s="11"/>
    </row>
    <row r="296" spans="1:19" ht="15.75">
      <c r="A296" s="14">
        <v>50131</v>
      </c>
      <c r="B296" s="8">
        <f>CHOOSE( CONTROL!$C$36, 9.2064, 9.2053) * CHOOSE(CONTROL!$C$19, $D$11, 100%, $F$11)</f>
        <v>9.2064000000000004</v>
      </c>
      <c r="C296" s="8">
        <f>CHOOSE( CONTROL!$C$36, 9.211, 9.2099) * CHOOSE(CONTROL!$C$19, $D$11, 100%, $F$11)</f>
        <v>9.2110000000000003</v>
      </c>
      <c r="D296" s="8">
        <f>CHOOSE( CONTROL!$C$36, 9.2313, 9.2303) * CHOOSE( CONTROL!$C$19, $D$11, 100%, $F$11)</f>
        <v>9.2312999999999992</v>
      </c>
      <c r="E296" s="12">
        <f>CHOOSE( CONTROL!$C$36, 9.2241, 9.223) * CHOOSE( CONTROL!$C$19, $D$11, 100%, $F$11)</f>
        <v>9.2241</v>
      </c>
      <c r="F296" s="4">
        <f>CHOOSE( CONTROL!$C$36, 9.9408, 9.9397) * CHOOSE(CONTROL!$C$19, $D$11, 100%, $F$11)</f>
        <v>9.9407999999999994</v>
      </c>
      <c r="G296" s="8">
        <f>CHOOSE( CONTROL!$C$36, 9.1316, 9.1305) * CHOOSE( CONTROL!$C$19, $D$11, 100%, $F$11)</f>
        <v>9.1316000000000006</v>
      </c>
      <c r="H296" s="4">
        <f>CHOOSE( CONTROL!$C$36, 10.076, 10.0749) * CHOOSE(CONTROL!$C$19, $D$11, 100%, $F$11)</f>
        <v>10.076000000000001</v>
      </c>
      <c r="I296" s="8">
        <f>CHOOSE( CONTROL!$C$36, 9.0659, 9.0648) * CHOOSE(CONTROL!$C$19, $D$11, 100%, $F$11)</f>
        <v>9.0658999999999992</v>
      </c>
      <c r="J296" s="4">
        <f>CHOOSE( CONTROL!$C$36, 8.9305, 8.9294) * CHOOSE(CONTROL!$C$19, $D$11, 100%, $F$11)</f>
        <v>8.9305000000000003</v>
      </c>
      <c r="K296" s="4"/>
      <c r="L296" s="9">
        <v>30.092199999999998</v>
      </c>
      <c r="M296" s="9">
        <v>11.6745</v>
      </c>
      <c r="N296" s="9">
        <v>4.7850000000000001</v>
      </c>
      <c r="O296" s="9">
        <v>0.36199999999999999</v>
      </c>
      <c r="P296" s="9">
        <v>1.2509999999999999</v>
      </c>
      <c r="Q296" s="9">
        <v>29.530799999999999</v>
      </c>
      <c r="R296" s="9"/>
      <c r="S296" s="11"/>
    </row>
    <row r="297" spans="1:19" ht="15.75">
      <c r="A297" s="14">
        <v>50161</v>
      </c>
      <c r="B297" s="8">
        <f>CHOOSE( CONTROL!$C$36, 9.4541, 9.4524) * CHOOSE(CONTROL!$C$19, $D$11, 100%, $F$11)</f>
        <v>9.4541000000000004</v>
      </c>
      <c r="C297" s="8">
        <f>CHOOSE( CONTROL!$C$36, 9.4621, 9.4604) * CHOOSE(CONTROL!$C$19, $D$11, 100%, $F$11)</f>
        <v>9.4620999999999995</v>
      </c>
      <c r="D297" s="8">
        <f>CHOOSE( CONTROL!$C$36, 9.4763, 9.4746) * CHOOSE( CONTROL!$C$19, $D$11, 100%, $F$11)</f>
        <v>9.4763000000000002</v>
      </c>
      <c r="E297" s="12">
        <f>CHOOSE( CONTROL!$C$36, 9.4699, 9.4682) * CHOOSE( CONTROL!$C$19, $D$11, 100%, $F$11)</f>
        <v>9.4699000000000009</v>
      </c>
      <c r="F297" s="4">
        <f>CHOOSE( CONTROL!$C$36, 10.1871, 10.1855) * CHOOSE(CONTROL!$C$19, $D$11, 100%, $F$11)</f>
        <v>10.187099999999999</v>
      </c>
      <c r="G297" s="8">
        <f>CHOOSE( CONTROL!$C$36, 9.3744, 9.3727) * CHOOSE( CONTROL!$C$19, $D$11, 100%, $F$11)</f>
        <v>9.3743999999999996</v>
      </c>
      <c r="H297" s="4">
        <f>CHOOSE( CONTROL!$C$36, 10.3188, 10.3172) * CHOOSE(CONTROL!$C$19, $D$11, 100%, $F$11)</f>
        <v>10.3188</v>
      </c>
      <c r="I297" s="8">
        <f>CHOOSE( CONTROL!$C$36, 9.3041, 9.3025) * CHOOSE(CONTROL!$C$19, $D$11, 100%, $F$11)</f>
        <v>9.3041</v>
      </c>
      <c r="J297" s="4">
        <f>CHOOSE( CONTROL!$C$36, 9.169, 9.1674) * CHOOSE(CONTROL!$C$19, $D$11, 100%, $F$11)</f>
        <v>9.1690000000000005</v>
      </c>
      <c r="K297" s="4"/>
      <c r="L297" s="9">
        <v>30.7165</v>
      </c>
      <c r="M297" s="9">
        <v>12.063700000000001</v>
      </c>
      <c r="N297" s="9">
        <v>4.9444999999999997</v>
      </c>
      <c r="O297" s="9">
        <v>0.37409999999999999</v>
      </c>
      <c r="P297" s="9">
        <v>1.2927</v>
      </c>
      <c r="Q297" s="9">
        <v>30.5152</v>
      </c>
      <c r="R297" s="9"/>
      <c r="S297" s="11"/>
    </row>
    <row r="298" spans="1:19" ht="15.75">
      <c r="A298" s="14">
        <v>50192</v>
      </c>
      <c r="B298" s="8">
        <f>CHOOSE( CONTROL!$C$36, 9.3019, 9.3002) * CHOOSE(CONTROL!$C$19, $D$11, 100%, $F$11)</f>
        <v>9.3018999999999998</v>
      </c>
      <c r="C298" s="8">
        <f>CHOOSE( CONTROL!$C$36, 9.3099, 9.3082) * CHOOSE(CONTROL!$C$19, $D$11, 100%, $F$11)</f>
        <v>9.3099000000000007</v>
      </c>
      <c r="D298" s="8">
        <f>CHOOSE( CONTROL!$C$36, 9.3243, 9.3226) * CHOOSE( CONTROL!$C$19, $D$11, 100%, $F$11)</f>
        <v>9.3242999999999991</v>
      </c>
      <c r="E298" s="12">
        <f>CHOOSE( CONTROL!$C$36, 9.3179, 9.3162) * CHOOSE( CONTROL!$C$19, $D$11, 100%, $F$11)</f>
        <v>9.3178999999999998</v>
      </c>
      <c r="F298" s="4">
        <f>CHOOSE( CONTROL!$C$36, 10.0349, 10.0332) * CHOOSE(CONTROL!$C$19, $D$11, 100%, $F$11)</f>
        <v>10.0349</v>
      </c>
      <c r="G298" s="8">
        <f>CHOOSE( CONTROL!$C$36, 9.2244, 9.2228) * CHOOSE( CONTROL!$C$19, $D$11, 100%, $F$11)</f>
        <v>9.2243999999999993</v>
      </c>
      <c r="H298" s="4">
        <f>CHOOSE( CONTROL!$C$36, 10.1687, 10.1671) * CHOOSE(CONTROL!$C$19, $D$11, 100%, $F$11)</f>
        <v>10.168699999999999</v>
      </c>
      <c r="I298" s="8">
        <f>CHOOSE( CONTROL!$C$36, 9.1573, 9.1557) * CHOOSE(CONTROL!$C$19, $D$11, 100%, $F$11)</f>
        <v>9.1572999999999993</v>
      </c>
      <c r="J298" s="4">
        <f>CHOOSE( CONTROL!$C$36, 9.0216, 9.02) * CHOOSE(CONTROL!$C$19, $D$11, 100%, $F$11)</f>
        <v>9.0215999999999994</v>
      </c>
      <c r="K298" s="4"/>
      <c r="L298" s="9">
        <v>29.7257</v>
      </c>
      <c r="M298" s="9">
        <v>11.6745</v>
      </c>
      <c r="N298" s="9">
        <v>4.7850000000000001</v>
      </c>
      <c r="O298" s="9">
        <v>0.36199999999999999</v>
      </c>
      <c r="P298" s="9">
        <v>1.2509999999999999</v>
      </c>
      <c r="Q298" s="9">
        <v>29.530799999999999</v>
      </c>
      <c r="R298" s="9"/>
      <c r="S298" s="11"/>
    </row>
    <row r="299" spans="1:19" ht="15.75">
      <c r="A299" s="14">
        <v>50222</v>
      </c>
      <c r="B299" s="8">
        <f>CHOOSE( CONTROL!$C$36, 9.7027, 9.701) * CHOOSE(CONTROL!$C$19, $D$11, 100%, $F$11)</f>
        <v>9.7027000000000001</v>
      </c>
      <c r="C299" s="8">
        <f>CHOOSE( CONTROL!$C$36, 9.7107, 9.709) * CHOOSE(CONTROL!$C$19, $D$11, 100%, $F$11)</f>
        <v>9.7106999999999992</v>
      </c>
      <c r="D299" s="8">
        <f>CHOOSE( CONTROL!$C$36, 9.7253, 9.7237) * CHOOSE( CONTROL!$C$19, $D$11, 100%, $F$11)</f>
        <v>9.7253000000000007</v>
      </c>
      <c r="E299" s="12">
        <f>CHOOSE( CONTROL!$C$36, 9.7188, 9.7172) * CHOOSE( CONTROL!$C$19, $D$11, 100%, $F$11)</f>
        <v>9.7187999999999999</v>
      </c>
      <c r="F299" s="4">
        <f>CHOOSE( CONTROL!$C$36, 10.4357, 10.4341) * CHOOSE(CONTROL!$C$19, $D$11, 100%, $F$11)</f>
        <v>10.435700000000001</v>
      </c>
      <c r="G299" s="8">
        <f>CHOOSE( CONTROL!$C$36, 9.6199, 9.6182) * CHOOSE( CONTROL!$C$19, $D$11, 100%, $F$11)</f>
        <v>9.6198999999999995</v>
      </c>
      <c r="H299" s="4">
        <f>CHOOSE( CONTROL!$C$36, 10.564, 10.5624) * CHOOSE(CONTROL!$C$19, $D$11, 100%, $F$11)</f>
        <v>10.564</v>
      </c>
      <c r="I299" s="8">
        <f>CHOOSE( CONTROL!$C$36, 9.5465, 9.5448) * CHOOSE(CONTROL!$C$19, $D$11, 100%, $F$11)</f>
        <v>9.5465</v>
      </c>
      <c r="J299" s="4">
        <f>CHOOSE( CONTROL!$C$36, 9.4097, 9.4081) * CHOOSE(CONTROL!$C$19, $D$11, 100%, $F$11)</f>
        <v>9.4097000000000008</v>
      </c>
      <c r="K299" s="4"/>
      <c r="L299" s="9">
        <v>30.7165</v>
      </c>
      <c r="M299" s="9">
        <v>12.063700000000001</v>
      </c>
      <c r="N299" s="9">
        <v>4.9444999999999997</v>
      </c>
      <c r="O299" s="9">
        <v>0.37409999999999999</v>
      </c>
      <c r="P299" s="9">
        <v>1.2927</v>
      </c>
      <c r="Q299" s="9">
        <v>30.5152</v>
      </c>
      <c r="R299" s="9"/>
      <c r="S299" s="11"/>
    </row>
    <row r="300" spans="1:19" ht="15.75">
      <c r="A300" s="14">
        <v>50253</v>
      </c>
      <c r="B300" s="8">
        <f>CHOOSE( CONTROL!$C$36, 8.9527, 8.951) * CHOOSE(CONTROL!$C$19, $D$11, 100%, $F$11)</f>
        <v>8.9527000000000001</v>
      </c>
      <c r="C300" s="8">
        <f>CHOOSE( CONTROL!$C$36, 8.9607, 8.959) * CHOOSE(CONTROL!$C$19, $D$11, 100%, $F$11)</f>
        <v>8.9606999999999992</v>
      </c>
      <c r="D300" s="8">
        <f>CHOOSE( CONTROL!$C$36, 8.9754, 8.9737) * CHOOSE( CONTROL!$C$19, $D$11, 100%, $F$11)</f>
        <v>8.9754000000000005</v>
      </c>
      <c r="E300" s="12">
        <f>CHOOSE( CONTROL!$C$36, 8.9689, 8.9672) * CHOOSE( CONTROL!$C$19, $D$11, 100%, $F$11)</f>
        <v>8.9688999999999997</v>
      </c>
      <c r="F300" s="4">
        <f>CHOOSE( CONTROL!$C$36, 9.6857, 9.6841) * CHOOSE(CONTROL!$C$19, $D$11, 100%, $F$11)</f>
        <v>9.6857000000000006</v>
      </c>
      <c r="G300" s="8">
        <f>CHOOSE( CONTROL!$C$36, 8.8804, 8.8787) * CHOOSE( CONTROL!$C$19, $D$11, 100%, $F$11)</f>
        <v>8.8803999999999998</v>
      </c>
      <c r="H300" s="4">
        <f>CHOOSE( CONTROL!$C$36, 9.8244, 9.8228) * CHOOSE(CONTROL!$C$19, $D$11, 100%, $F$11)</f>
        <v>9.8244000000000007</v>
      </c>
      <c r="I300" s="8">
        <f>CHOOSE( CONTROL!$C$36, 8.8201, 8.8184) * CHOOSE(CONTROL!$C$19, $D$11, 100%, $F$11)</f>
        <v>8.8201000000000001</v>
      </c>
      <c r="J300" s="4">
        <f>CHOOSE( CONTROL!$C$36, 8.6835, 8.6819) * CHOOSE(CONTROL!$C$19, $D$11, 100%, $F$11)</f>
        <v>8.6835000000000004</v>
      </c>
      <c r="K300" s="4"/>
      <c r="L300" s="9">
        <v>30.7165</v>
      </c>
      <c r="M300" s="9">
        <v>12.063700000000001</v>
      </c>
      <c r="N300" s="9">
        <v>4.9444999999999997</v>
      </c>
      <c r="O300" s="9">
        <v>0.37409999999999999</v>
      </c>
      <c r="P300" s="9">
        <v>1.2927</v>
      </c>
      <c r="Q300" s="9">
        <v>30.5152</v>
      </c>
      <c r="R300" s="9"/>
      <c r="S300" s="11"/>
    </row>
    <row r="301" spans="1:19" ht="15.75">
      <c r="A301" s="14">
        <v>50284</v>
      </c>
      <c r="B301" s="8">
        <f>CHOOSE( CONTROL!$C$36, 8.7649, 8.7632) * CHOOSE(CONTROL!$C$19, $D$11, 100%, $F$11)</f>
        <v>8.7649000000000008</v>
      </c>
      <c r="C301" s="8">
        <f>CHOOSE( CONTROL!$C$36, 8.7729, 8.7712) * CHOOSE(CONTROL!$C$19, $D$11, 100%, $F$11)</f>
        <v>8.7728999999999999</v>
      </c>
      <c r="D301" s="8">
        <f>CHOOSE( CONTROL!$C$36, 8.7875, 8.7858) * CHOOSE( CONTROL!$C$19, $D$11, 100%, $F$11)</f>
        <v>8.7874999999999996</v>
      </c>
      <c r="E301" s="12">
        <f>CHOOSE( CONTROL!$C$36, 8.781, 8.7793) * CHOOSE( CONTROL!$C$19, $D$11, 100%, $F$11)</f>
        <v>8.7810000000000006</v>
      </c>
      <c r="F301" s="4">
        <f>CHOOSE( CONTROL!$C$36, 9.4979, 9.4963) * CHOOSE(CONTROL!$C$19, $D$11, 100%, $F$11)</f>
        <v>9.4978999999999996</v>
      </c>
      <c r="G301" s="8">
        <f>CHOOSE( CONTROL!$C$36, 8.6951, 8.6935) * CHOOSE( CONTROL!$C$19, $D$11, 100%, $F$11)</f>
        <v>8.6951000000000001</v>
      </c>
      <c r="H301" s="4">
        <f>CHOOSE( CONTROL!$C$36, 9.6392, 9.6376) * CHOOSE(CONTROL!$C$19, $D$11, 100%, $F$11)</f>
        <v>9.6392000000000007</v>
      </c>
      <c r="I301" s="8">
        <f>CHOOSE( CONTROL!$C$36, 8.6378, 8.6362) * CHOOSE(CONTROL!$C$19, $D$11, 100%, $F$11)</f>
        <v>8.6378000000000004</v>
      </c>
      <c r="J301" s="4">
        <f>CHOOSE( CONTROL!$C$36, 8.5016, 8.5) * CHOOSE(CONTROL!$C$19, $D$11, 100%, $F$11)</f>
        <v>8.5015999999999998</v>
      </c>
      <c r="K301" s="4"/>
      <c r="L301" s="9">
        <v>29.7257</v>
      </c>
      <c r="M301" s="9">
        <v>11.6745</v>
      </c>
      <c r="N301" s="9">
        <v>4.7850000000000001</v>
      </c>
      <c r="O301" s="9">
        <v>0.36199999999999999</v>
      </c>
      <c r="P301" s="9">
        <v>1.2509999999999999</v>
      </c>
      <c r="Q301" s="9">
        <v>29.530799999999999</v>
      </c>
      <c r="R301" s="9"/>
      <c r="S301" s="11"/>
    </row>
    <row r="302" spans="1:19" ht="15.75">
      <c r="A302" s="14">
        <v>50314</v>
      </c>
      <c r="B302" s="8">
        <f>CHOOSE( CONTROL!$C$36, 9.1525, 9.1515) * CHOOSE(CONTROL!$C$19, $D$11, 100%, $F$11)</f>
        <v>9.1524999999999999</v>
      </c>
      <c r="C302" s="8">
        <f>CHOOSE( CONTROL!$C$36, 9.1579, 9.1568) * CHOOSE(CONTROL!$C$19, $D$11, 100%, $F$11)</f>
        <v>9.1578999999999997</v>
      </c>
      <c r="D302" s="8">
        <f>CHOOSE( CONTROL!$C$36, 9.1784, 9.1773) * CHOOSE( CONTROL!$C$19, $D$11, 100%, $F$11)</f>
        <v>9.1783999999999999</v>
      </c>
      <c r="E302" s="12">
        <f>CHOOSE( CONTROL!$C$36, 9.1711, 9.17) * CHOOSE( CONTROL!$C$19, $D$11, 100%, $F$11)</f>
        <v>9.1710999999999991</v>
      </c>
      <c r="F302" s="4">
        <f>CHOOSE( CONTROL!$C$36, 9.8873, 9.8862) * CHOOSE(CONTROL!$C$19, $D$11, 100%, $F$11)</f>
        <v>9.8872999999999998</v>
      </c>
      <c r="G302" s="8">
        <f>CHOOSE( CONTROL!$C$36, 9.0793, 9.0782) * CHOOSE( CONTROL!$C$19, $D$11, 100%, $F$11)</f>
        <v>9.0792999999999999</v>
      </c>
      <c r="H302" s="4">
        <f>CHOOSE( CONTROL!$C$36, 10.0232, 10.0221) * CHOOSE(CONTROL!$C$19, $D$11, 100%, $F$11)</f>
        <v>10.023199999999999</v>
      </c>
      <c r="I302" s="8">
        <f>CHOOSE( CONTROL!$C$36, 9.016, 9.015) * CHOOSE(CONTROL!$C$19, $D$11, 100%, $F$11)</f>
        <v>9.016</v>
      </c>
      <c r="J302" s="4">
        <f>CHOOSE( CONTROL!$C$36, 8.8787, 8.8776) * CHOOSE(CONTROL!$C$19, $D$11, 100%, $F$11)</f>
        <v>8.8787000000000003</v>
      </c>
      <c r="K302" s="4"/>
      <c r="L302" s="9">
        <v>31.095300000000002</v>
      </c>
      <c r="M302" s="9">
        <v>12.063700000000001</v>
      </c>
      <c r="N302" s="9">
        <v>4.9444999999999997</v>
      </c>
      <c r="O302" s="9">
        <v>0.37409999999999999</v>
      </c>
      <c r="P302" s="9">
        <v>1.2927</v>
      </c>
      <c r="Q302" s="9">
        <v>30.5152</v>
      </c>
      <c r="R302" s="9"/>
      <c r="S302" s="11"/>
    </row>
    <row r="303" spans="1:19" ht="15.75">
      <c r="A303" s="14">
        <v>50345</v>
      </c>
      <c r="B303" s="8">
        <f>CHOOSE( CONTROL!$C$36, 9.8719, 9.8708) * CHOOSE(CONTROL!$C$19, $D$11, 100%, $F$11)</f>
        <v>9.8719000000000001</v>
      </c>
      <c r="C303" s="8">
        <f>CHOOSE( CONTROL!$C$36, 9.877, 9.8759) * CHOOSE(CONTROL!$C$19, $D$11, 100%, $F$11)</f>
        <v>9.8770000000000007</v>
      </c>
      <c r="D303" s="8">
        <f>CHOOSE( CONTROL!$C$36, 9.8563, 9.8552) * CHOOSE( CONTROL!$C$19, $D$11, 100%, $F$11)</f>
        <v>9.8562999999999992</v>
      </c>
      <c r="E303" s="12">
        <f>CHOOSE( CONTROL!$C$36, 9.8633, 9.8622) * CHOOSE( CONTROL!$C$19, $D$11, 100%, $F$11)</f>
        <v>9.8633000000000006</v>
      </c>
      <c r="F303" s="4">
        <f>CHOOSE( CONTROL!$C$36, 10.5312, 10.5301) * CHOOSE(CONTROL!$C$19, $D$11, 100%, $F$11)</f>
        <v>10.5312</v>
      </c>
      <c r="G303" s="8">
        <f>CHOOSE( CONTROL!$C$36, 9.769, 9.7679) * CHOOSE( CONTROL!$C$19, $D$11, 100%, $F$11)</f>
        <v>9.7690000000000001</v>
      </c>
      <c r="H303" s="4">
        <f>CHOOSE( CONTROL!$C$36, 10.6581, 10.657) * CHOOSE(CONTROL!$C$19, $D$11, 100%, $F$11)</f>
        <v>10.658099999999999</v>
      </c>
      <c r="I303" s="8">
        <f>CHOOSE( CONTROL!$C$36, 9.7625, 9.7614) * CHOOSE(CONTROL!$C$19, $D$11, 100%, $F$11)</f>
        <v>9.7624999999999993</v>
      </c>
      <c r="J303" s="4">
        <f>CHOOSE( CONTROL!$C$36, 9.5757, 9.5746) * CHOOSE(CONTROL!$C$19, $D$11, 100%, $F$11)</f>
        <v>9.5756999999999994</v>
      </c>
      <c r="K303" s="4"/>
      <c r="L303" s="9">
        <v>28.360600000000002</v>
      </c>
      <c r="M303" s="9">
        <v>11.6745</v>
      </c>
      <c r="N303" s="9">
        <v>4.7850000000000001</v>
      </c>
      <c r="O303" s="9">
        <v>0.36199999999999999</v>
      </c>
      <c r="P303" s="9">
        <v>1.2509999999999999</v>
      </c>
      <c r="Q303" s="9">
        <v>29.530799999999999</v>
      </c>
      <c r="R303" s="9"/>
      <c r="S303" s="11"/>
    </row>
    <row r="304" spans="1:19" ht="15.75">
      <c r="A304" s="14">
        <v>50375</v>
      </c>
      <c r="B304" s="8">
        <f>CHOOSE( CONTROL!$C$36, 9.8539, 9.8529) * CHOOSE(CONTROL!$C$19, $D$11, 100%, $F$11)</f>
        <v>9.8538999999999994</v>
      </c>
      <c r="C304" s="8">
        <f>CHOOSE( CONTROL!$C$36, 9.859, 9.858) * CHOOSE(CONTROL!$C$19, $D$11, 100%, $F$11)</f>
        <v>9.859</v>
      </c>
      <c r="D304" s="8">
        <f>CHOOSE( CONTROL!$C$36, 9.8397, 9.8386) * CHOOSE( CONTROL!$C$19, $D$11, 100%, $F$11)</f>
        <v>9.8397000000000006</v>
      </c>
      <c r="E304" s="12">
        <f>CHOOSE( CONTROL!$C$36, 9.8462, 9.8452) * CHOOSE( CONTROL!$C$19, $D$11, 100%, $F$11)</f>
        <v>9.8461999999999996</v>
      </c>
      <c r="F304" s="4">
        <f>CHOOSE( CONTROL!$C$36, 10.5132, 10.5121) * CHOOSE(CONTROL!$C$19, $D$11, 100%, $F$11)</f>
        <v>10.513199999999999</v>
      </c>
      <c r="G304" s="8">
        <f>CHOOSE( CONTROL!$C$36, 9.7522, 9.7511) * CHOOSE( CONTROL!$C$19, $D$11, 100%, $F$11)</f>
        <v>9.7522000000000002</v>
      </c>
      <c r="H304" s="4">
        <f>CHOOSE( CONTROL!$C$36, 10.6404, 10.6393) * CHOOSE(CONTROL!$C$19, $D$11, 100%, $F$11)</f>
        <v>10.6404</v>
      </c>
      <c r="I304" s="8">
        <f>CHOOSE( CONTROL!$C$36, 9.7493, 9.7483) * CHOOSE(CONTROL!$C$19, $D$11, 100%, $F$11)</f>
        <v>9.7492999999999999</v>
      </c>
      <c r="J304" s="4">
        <f>CHOOSE( CONTROL!$C$36, 9.5582, 9.5572) * CHOOSE(CONTROL!$C$19, $D$11, 100%, $F$11)</f>
        <v>9.5581999999999994</v>
      </c>
      <c r="K304" s="4"/>
      <c r="L304" s="9">
        <v>29.306000000000001</v>
      </c>
      <c r="M304" s="9">
        <v>12.063700000000001</v>
      </c>
      <c r="N304" s="9">
        <v>4.9444999999999997</v>
      </c>
      <c r="O304" s="9">
        <v>0.37409999999999999</v>
      </c>
      <c r="P304" s="9">
        <v>1.2927</v>
      </c>
      <c r="Q304" s="9">
        <v>30.5152</v>
      </c>
      <c r="R304" s="9"/>
      <c r="S304" s="11"/>
    </row>
    <row r="305" spans="1:19" ht="15.75">
      <c r="A305" s="13">
        <v>50436</v>
      </c>
      <c r="B305" s="8">
        <f>CHOOSE( CONTROL!$C$36, 10.1451, 10.144) * CHOOSE(CONTROL!$C$19, $D$11, 100%, $F$11)</f>
        <v>10.145099999999999</v>
      </c>
      <c r="C305" s="8">
        <f>CHOOSE( CONTROL!$C$36, 10.1502, 10.1491) * CHOOSE(CONTROL!$C$19, $D$11, 100%, $F$11)</f>
        <v>10.1502</v>
      </c>
      <c r="D305" s="8">
        <f>CHOOSE( CONTROL!$C$36, 10.1515, 10.1504) * CHOOSE( CONTROL!$C$19, $D$11, 100%, $F$11)</f>
        <v>10.1515</v>
      </c>
      <c r="E305" s="12">
        <f>CHOOSE( CONTROL!$C$36, 10.1505, 10.1494) * CHOOSE( CONTROL!$C$19, $D$11, 100%, $F$11)</f>
        <v>10.150499999999999</v>
      </c>
      <c r="F305" s="4">
        <f>CHOOSE( CONTROL!$C$36, 10.8043, 10.8033) * CHOOSE(CONTROL!$C$19, $D$11, 100%, $F$11)</f>
        <v>10.8043</v>
      </c>
      <c r="G305" s="8">
        <f>CHOOSE( CONTROL!$C$36, 10.0503, 10.0493) * CHOOSE( CONTROL!$C$19, $D$11, 100%, $F$11)</f>
        <v>10.0503</v>
      </c>
      <c r="H305" s="4">
        <f>CHOOSE( CONTROL!$C$36, 10.9274, 10.9264) * CHOOSE(CONTROL!$C$19, $D$11, 100%, $F$11)</f>
        <v>10.9274</v>
      </c>
      <c r="I305" s="8">
        <f>CHOOSE( CONTROL!$C$36, 10.0089, 10.0078) * CHOOSE(CONTROL!$C$19, $D$11, 100%, $F$11)</f>
        <v>10.008900000000001</v>
      </c>
      <c r="J305" s="4">
        <f>CHOOSE( CONTROL!$C$36, 9.8401, 9.8391) * CHOOSE(CONTROL!$C$19, $D$11, 100%, $F$11)</f>
        <v>9.8400999999999996</v>
      </c>
      <c r="K305" s="4"/>
      <c r="L305" s="9">
        <v>29.306000000000001</v>
      </c>
      <c r="M305" s="9">
        <v>12.063700000000001</v>
      </c>
      <c r="N305" s="9">
        <v>4.9444999999999997</v>
      </c>
      <c r="O305" s="9">
        <v>0.37409999999999999</v>
      </c>
      <c r="P305" s="9">
        <v>1.2927</v>
      </c>
      <c r="Q305" s="9">
        <v>30.451899999999998</v>
      </c>
      <c r="R305" s="9"/>
      <c r="S305" s="11"/>
    </row>
    <row r="306" spans="1:19" ht="15.75">
      <c r="A306" s="13">
        <v>50464</v>
      </c>
      <c r="B306" s="8">
        <f>CHOOSE( CONTROL!$C$36, 9.4882, 9.4871) * CHOOSE(CONTROL!$C$19, $D$11, 100%, $F$11)</f>
        <v>9.4882000000000009</v>
      </c>
      <c r="C306" s="8">
        <f>CHOOSE( CONTROL!$C$36, 9.4933, 9.4922) * CHOOSE(CONTROL!$C$19, $D$11, 100%, $F$11)</f>
        <v>9.4932999999999996</v>
      </c>
      <c r="D306" s="8">
        <f>CHOOSE( CONTROL!$C$36, 9.4944, 9.4934) * CHOOSE( CONTROL!$C$19, $D$11, 100%, $F$11)</f>
        <v>9.4944000000000006</v>
      </c>
      <c r="E306" s="12">
        <f>CHOOSE( CONTROL!$C$36, 9.4935, 9.4924) * CHOOSE( CONTROL!$C$19, $D$11, 100%, $F$11)</f>
        <v>9.4934999999999992</v>
      </c>
      <c r="F306" s="4">
        <f>CHOOSE( CONTROL!$C$36, 10.1474, 10.1463) * CHOOSE(CONTROL!$C$19, $D$11, 100%, $F$11)</f>
        <v>10.147399999999999</v>
      </c>
      <c r="G306" s="8">
        <f>CHOOSE( CONTROL!$C$36, 9.4025, 9.4014) * CHOOSE( CONTROL!$C$19, $D$11, 100%, $F$11)</f>
        <v>9.4024999999999999</v>
      </c>
      <c r="H306" s="4">
        <f>CHOOSE( CONTROL!$C$36, 10.2797, 10.2786) * CHOOSE(CONTROL!$C$19, $D$11, 100%, $F$11)</f>
        <v>10.2797</v>
      </c>
      <c r="I306" s="8">
        <f>CHOOSE( CONTROL!$C$36, 9.3721, 9.371) * CHOOSE(CONTROL!$C$19, $D$11, 100%, $F$11)</f>
        <v>9.3720999999999997</v>
      </c>
      <c r="J306" s="4">
        <f>CHOOSE( CONTROL!$C$36, 9.2041, 9.203) * CHOOSE(CONTROL!$C$19, $D$11, 100%, $F$11)</f>
        <v>9.2041000000000004</v>
      </c>
      <c r="K306" s="4"/>
      <c r="L306" s="9">
        <v>26.469899999999999</v>
      </c>
      <c r="M306" s="9">
        <v>10.8962</v>
      </c>
      <c r="N306" s="9">
        <v>4.4660000000000002</v>
      </c>
      <c r="O306" s="9">
        <v>0.33789999999999998</v>
      </c>
      <c r="P306" s="9">
        <v>1.1676</v>
      </c>
      <c r="Q306" s="9">
        <v>27.504999999999999</v>
      </c>
      <c r="R306" s="9"/>
      <c r="S306" s="11"/>
    </row>
    <row r="307" spans="1:19" ht="15.75">
      <c r="A307" s="13">
        <v>50495</v>
      </c>
      <c r="B307" s="8">
        <f>CHOOSE( CONTROL!$C$36, 9.2859, 9.2848) * CHOOSE(CONTROL!$C$19, $D$11, 100%, $F$11)</f>
        <v>9.2858999999999998</v>
      </c>
      <c r="C307" s="8">
        <f>CHOOSE( CONTROL!$C$36, 9.291, 9.2899) * CHOOSE(CONTROL!$C$19, $D$11, 100%, $F$11)</f>
        <v>9.2910000000000004</v>
      </c>
      <c r="D307" s="8">
        <f>CHOOSE( CONTROL!$C$36, 9.2915, 9.2904) * CHOOSE( CONTROL!$C$19, $D$11, 100%, $F$11)</f>
        <v>9.2914999999999992</v>
      </c>
      <c r="E307" s="12">
        <f>CHOOSE( CONTROL!$C$36, 9.2908, 9.2897) * CHOOSE( CONTROL!$C$19, $D$11, 100%, $F$11)</f>
        <v>9.2908000000000008</v>
      </c>
      <c r="F307" s="4">
        <f>CHOOSE( CONTROL!$C$36, 9.9451, 9.944) * CHOOSE(CONTROL!$C$19, $D$11, 100%, $F$11)</f>
        <v>9.9451000000000001</v>
      </c>
      <c r="G307" s="8">
        <f>CHOOSE( CONTROL!$C$36, 9.2025, 9.2015) * CHOOSE( CONTROL!$C$19, $D$11, 100%, $F$11)</f>
        <v>9.2025000000000006</v>
      </c>
      <c r="H307" s="4">
        <f>CHOOSE( CONTROL!$C$36, 10.0802, 10.0791) * CHOOSE(CONTROL!$C$19, $D$11, 100%, $F$11)</f>
        <v>10.0802</v>
      </c>
      <c r="I307" s="8">
        <f>CHOOSE( CONTROL!$C$36, 9.1741, 9.173) * CHOOSE(CONTROL!$C$19, $D$11, 100%, $F$11)</f>
        <v>9.1740999999999993</v>
      </c>
      <c r="J307" s="4">
        <f>CHOOSE( CONTROL!$C$36, 9.0082, 9.0071) * CHOOSE(CONTROL!$C$19, $D$11, 100%, $F$11)</f>
        <v>9.0082000000000004</v>
      </c>
      <c r="K307" s="4"/>
      <c r="L307" s="9">
        <v>29.306000000000001</v>
      </c>
      <c r="M307" s="9">
        <v>12.063700000000001</v>
      </c>
      <c r="N307" s="9">
        <v>4.9444999999999997</v>
      </c>
      <c r="O307" s="9">
        <v>0.37409999999999999</v>
      </c>
      <c r="P307" s="9">
        <v>1.2927</v>
      </c>
      <c r="Q307" s="9">
        <v>30.451899999999998</v>
      </c>
      <c r="R307" s="9"/>
      <c r="S307" s="11"/>
    </row>
    <row r="308" spans="1:19" ht="15.75">
      <c r="A308" s="13">
        <v>50525</v>
      </c>
      <c r="B308" s="8">
        <f>CHOOSE( CONTROL!$C$36, 9.428, 9.4269) * CHOOSE(CONTROL!$C$19, $D$11, 100%, $F$11)</f>
        <v>9.4280000000000008</v>
      </c>
      <c r="C308" s="8">
        <f>CHOOSE( CONTROL!$C$36, 9.4325, 9.4314) * CHOOSE(CONTROL!$C$19, $D$11, 100%, $F$11)</f>
        <v>9.4324999999999992</v>
      </c>
      <c r="D308" s="8">
        <f>CHOOSE( CONTROL!$C$36, 9.4529, 9.4518) * CHOOSE( CONTROL!$C$19, $D$11, 100%, $F$11)</f>
        <v>9.4528999999999996</v>
      </c>
      <c r="E308" s="12">
        <f>CHOOSE( CONTROL!$C$36, 9.4456, 9.4445) * CHOOSE( CONTROL!$C$19, $D$11, 100%, $F$11)</f>
        <v>9.4456000000000007</v>
      </c>
      <c r="F308" s="4">
        <f>CHOOSE( CONTROL!$C$36, 10.1624, 10.1613) * CHOOSE(CONTROL!$C$19, $D$11, 100%, $F$11)</f>
        <v>10.1624</v>
      </c>
      <c r="G308" s="8">
        <f>CHOOSE( CONTROL!$C$36, 9.3501, 9.349) * CHOOSE( CONTROL!$C$19, $D$11, 100%, $F$11)</f>
        <v>9.3500999999999994</v>
      </c>
      <c r="H308" s="4">
        <f>CHOOSE( CONTROL!$C$36, 10.2945, 10.2934) * CHOOSE(CONTROL!$C$19, $D$11, 100%, $F$11)</f>
        <v>10.294499999999999</v>
      </c>
      <c r="I308" s="8">
        <f>CHOOSE( CONTROL!$C$36, 9.2806, 9.2795) * CHOOSE(CONTROL!$C$19, $D$11, 100%, $F$11)</f>
        <v>9.2805999999999997</v>
      </c>
      <c r="J308" s="4">
        <f>CHOOSE( CONTROL!$C$36, 9.1451, 9.144) * CHOOSE(CONTROL!$C$19, $D$11, 100%, $F$11)</f>
        <v>9.1450999999999993</v>
      </c>
      <c r="K308" s="4"/>
      <c r="L308" s="9">
        <v>30.092199999999998</v>
      </c>
      <c r="M308" s="9">
        <v>11.6745</v>
      </c>
      <c r="N308" s="9">
        <v>4.7850000000000001</v>
      </c>
      <c r="O308" s="9">
        <v>0.36199999999999999</v>
      </c>
      <c r="P308" s="9">
        <v>1.2509999999999999</v>
      </c>
      <c r="Q308" s="9">
        <v>29.4696</v>
      </c>
      <c r="R308" s="9"/>
      <c r="S308" s="11"/>
    </row>
    <row r="309" spans="1:19" ht="15.75">
      <c r="A309" s="13">
        <v>50556</v>
      </c>
      <c r="B309" s="8">
        <f>CHOOSE( CONTROL!$C$36, 9.6816, 9.6799) * CHOOSE(CONTROL!$C$19, $D$11, 100%, $F$11)</f>
        <v>9.6815999999999995</v>
      </c>
      <c r="C309" s="8">
        <f>CHOOSE( CONTROL!$C$36, 9.6896, 9.6879) * CHOOSE(CONTROL!$C$19, $D$11, 100%, $F$11)</f>
        <v>9.6896000000000004</v>
      </c>
      <c r="D309" s="8">
        <f>CHOOSE( CONTROL!$C$36, 9.7038, 9.7021) * CHOOSE( CONTROL!$C$19, $D$11, 100%, $F$11)</f>
        <v>9.7037999999999993</v>
      </c>
      <c r="E309" s="12">
        <f>CHOOSE( CONTROL!$C$36, 9.6974, 9.6957) * CHOOSE( CONTROL!$C$19, $D$11, 100%, $F$11)</f>
        <v>9.6974</v>
      </c>
      <c r="F309" s="4">
        <f>CHOOSE( CONTROL!$C$36, 10.4146, 10.4129) * CHOOSE(CONTROL!$C$19, $D$11, 100%, $F$11)</f>
        <v>10.4146</v>
      </c>
      <c r="G309" s="8">
        <f>CHOOSE( CONTROL!$C$36, 9.5987, 9.597) * CHOOSE( CONTROL!$C$19, $D$11, 100%, $F$11)</f>
        <v>9.5986999999999991</v>
      </c>
      <c r="H309" s="4">
        <f>CHOOSE( CONTROL!$C$36, 10.5431, 10.5415) * CHOOSE(CONTROL!$C$19, $D$11, 100%, $F$11)</f>
        <v>10.543100000000001</v>
      </c>
      <c r="I309" s="8">
        <f>CHOOSE( CONTROL!$C$36, 9.5245, 9.5229) * CHOOSE(CONTROL!$C$19, $D$11, 100%, $F$11)</f>
        <v>9.5244999999999997</v>
      </c>
      <c r="J309" s="4">
        <f>CHOOSE( CONTROL!$C$36, 9.3893, 9.3876) * CHOOSE(CONTROL!$C$19, $D$11, 100%, $F$11)</f>
        <v>9.3893000000000004</v>
      </c>
      <c r="K309" s="4"/>
      <c r="L309" s="9">
        <v>30.7165</v>
      </c>
      <c r="M309" s="9">
        <v>12.063700000000001</v>
      </c>
      <c r="N309" s="9">
        <v>4.9444999999999997</v>
      </c>
      <c r="O309" s="9">
        <v>0.37409999999999999</v>
      </c>
      <c r="P309" s="9">
        <v>1.2927</v>
      </c>
      <c r="Q309" s="9">
        <v>30.451899999999998</v>
      </c>
      <c r="R309" s="9"/>
      <c r="S309" s="11"/>
    </row>
    <row r="310" spans="1:19" ht="15.75">
      <c r="A310" s="13">
        <v>50586</v>
      </c>
      <c r="B310" s="8">
        <f>CHOOSE( CONTROL!$C$36, 9.5257, 9.524) * CHOOSE(CONTROL!$C$19, $D$11, 100%, $F$11)</f>
        <v>9.5257000000000005</v>
      </c>
      <c r="C310" s="8">
        <f>CHOOSE( CONTROL!$C$36, 9.5337, 9.532) * CHOOSE(CONTROL!$C$19, $D$11, 100%, $F$11)</f>
        <v>9.5336999999999996</v>
      </c>
      <c r="D310" s="8">
        <f>CHOOSE( CONTROL!$C$36, 9.5481, 9.5464) * CHOOSE( CONTROL!$C$19, $D$11, 100%, $F$11)</f>
        <v>9.5480999999999998</v>
      </c>
      <c r="E310" s="12">
        <f>CHOOSE( CONTROL!$C$36, 9.5417, 9.54) * CHOOSE( CONTROL!$C$19, $D$11, 100%, $F$11)</f>
        <v>9.5417000000000005</v>
      </c>
      <c r="F310" s="4">
        <f>CHOOSE( CONTROL!$C$36, 10.2587, 10.2571) * CHOOSE(CONTROL!$C$19, $D$11, 100%, $F$11)</f>
        <v>10.258699999999999</v>
      </c>
      <c r="G310" s="8">
        <f>CHOOSE( CONTROL!$C$36, 9.4451, 9.4435) * CHOOSE( CONTROL!$C$19, $D$11, 100%, $F$11)</f>
        <v>9.4451000000000001</v>
      </c>
      <c r="H310" s="4">
        <f>CHOOSE( CONTROL!$C$36, 10.3894, 10.3878) * CHOOSE(CONTROL!$C$19, $D$11, 100%, $F$11)</f>
        <v>10.3894</v>
      </c>
      <c r="I310" s="8">
        <f>CHOOSE( CONTROL!$C$36, 9.3741, 9.3725) * CHOOSE(CONTROL!$C$19, $D$11, 100%, $F$11)</f>
        <v>9.3741000000000003</v>
      </c>
      <c r="J310" s="4">
        <f>CHOOSE( CONTROL!$C$36, 9.2383, 9.2367) * CHOOSE(CONTROL!$C$19, $D$11, 100%, $F$11)</f>
        <v>9.2383000000000006</v>
      </c>
      <c r="K310" s="4"/>
      <c r="L310" s="9">
        <v>29.7257</v>
      </c>
      <c r="M310" s="9">
        <v>11.6745</v>
      </c>
      <c r="N310" s="9">
        <v>4.7850000000000001</v>
      </c>
      <c r="O310" s="9">
        <v>0.36199999999999999</v>
      </c>
      <c r="P310" s="9">
        <v>1.2509999999999999</v>
      </c>
      <c r="Q310" s="9">
        <v>29.4696</v>
      </c>
      <c r="R310" s="9"/>
      <c r="S310" s="11"/>
    </row>
    <row r="311" spans="1:19" ht="15.75">
      <c r="A311" s="13">
        <v>50617</v>
      </c>
      <c r="B311" s="8">
        <f>CHOOSE( CONTROL!$C$36, 9.9362, 9.9345) * CHOOSE(CONTROL!$C$19, $D$11, 100%, $F$11)</f>
        <v>9.9361999999999995</v>
      </c>
      <c r="C311" s="8">
        <f>CHOOSE( CONTROL!$C$36, 9.9442, 9.9425) * CHOOSE(CONTROL!$C$19, $D$11, 100%, $F$11)</f>
        <v>9.9442000000000004</v>
      </c>
      <c r="D311" s="8">
        <f>CHOOSE( CONTROL!$C$36, 9.9588, 9.9571) * CHOOSE( CONTROL!$C$19, $D$11, 100%, $F$11)</f>
        <v>9.9588000000000001</v>
      </c>
      <c r="E311" s="12">
        <f>CHOOSE( CONTROL!$C$36, 9.9523, 9.9506) * CHOOSE( CONTROL!$C$19, $D$11, 100%, $F$11)</f>
        <v>9.9522999999999993</v>
      </c>
      <c r="F311" s="4">
        <f>CHOOSE( CONTROL!$C$36, 10.6692, 10.6675) * CHOOSE(CONTROL!$C$19, $D$11, 100%, $F$11)</f>
        <v>10.6692</v>
      </c>
      <c r="G311" s="8">
        <f>CHOOSE( CONTROL!$C$36, 9.8501, 9.8484) * CHOOSE( CONTROL!$C$19, $D$11, 100%, $F$11)</f>
        <v>9.8500999999999994</v>
      </c>
      <c r="H311" s="4">
        <f>CHOOSE( CONTROL!$C$36, 10.7942, 10.7926) * CHOOSE(CONTROL!$C$19, $D$11, 100%, $F$11)</f>
        <v>10.7942</v>
      </c>
      <c r="I311" s="8">
        <f>CHOOSE( CONTROL!$C$36, 9.7726, 9.771) * CHOOSE(CONTROL!$C$19, $D$11, 100%, $F$11)</f>
        <v>9.7726000000000006</v>
      </c>
      <c r="J311" s="4">
        <f>CHOOSE( CONTROL!$C$36, 9.6358, 9.6342) * CHOOSE(CONTROL!$C$19, $D$11, 100%, $F$11)</f>
        <v>9.6357999999999997</v>
      </c>
      <c r="K311" s="4"/>
      <c r="L311" s="9">
        <v>30.7165</v>
      </c>
      <c r="M311" s="9">
        <v>12.063700000000001</v>
      </c>
      <c r="N311" s="9">
        <v>4.9444999999999997</v>
      </c>
      <c r="O311" s="9">
        <v>0.37409999999999999</v>
      </c>
      <c r="P311" s="9">
        <v>1.2927</v>
      </c>
      <c r="Q311" s="9">
        <v>30.451899999999998</v>
      </c>
      <c r="R311" s="9"/>
      <c r="S311" s="11"/>
    </row>
    <row r="312" spans="1:19" ht="15.75">
      <c r="A312" s="13">
        <v>50648</v>
      </c>
      <c r="B312" s="8">
        <f>CHOOSE( CONTROL!$C$36, 9.1681, 9.1665) * CHOOSE(CONTROL!$C$19, $D$11, 100%, $F$11)</f>
        <v>9.1681000000000008</v>
      </c>
      <c r="C312" s="8">
        <f>CHOOSE( CONTROL!$C$36, 9.1761, 9.1745) * CHOOSE(CONTROL!$C$19, $D$11, 100%, $F$11)</f>
        <v>9.1760999999999999</v>
      </c>
      <c r="D312" s="8">
        <f>CHOOSE( CONTROL!$C$36, 9.1908, 9.1892) * CHOOSE( CONTROL!$C$19, $D$11, 100%, $F$11)</f>
        <v>9.1907999999999994</v>
      </c>
      <c r="E312" s="12">
        <f>CHOOSE( CONTROL!$C$36, 9.1843, 9.1827) * CHOOSE( CONTROL!$C$19, $D$11, 100%, $F$11)</f>
        <v>9.1843000000000004</v>
      </c>
      <c r="F312" s="4">
        <f>CHOOSE( CONTROL!$C$36, 9.9012, 9.8995) * CHOOSE(CONTROL!$C$19, $D$11, 100%, $F$11)</f>
        <v>9.9011999999999993</v>
      </c>
      <c r="G312" s="8">
        <f>CHOOSE( CONTROL!$C$36, 9.0928, 9.0912) * CHOOSE( CONTROL!$C$19, $D$11, 100%, $F$11)</f>
        <v>9.0928000000000004</v>
      </c>
      <c r="H312" s="4">
        <f>CHOOSE( CONTROL!$C$36, 10.0369, 10.0352) * CHOOSE(CONTROL!$C$19, $D$11, 100%, $F$11)</f>
        <v>10.036899999999999</v>
      </c>
      <c r="I312" s="8">
        <f>CHOOSE( CONTROL!$C$36, 9.0288, 9.0272) * CHOOSE(CONTROL!$C$19, $D$11, 100%, $F$11)</f>
        <v>9.0288000000000004</v>
      </c>
      <c r="J312" s="4">
        <f>CHOOSE( CONTROL!$C$36, 8.8921, 8.8905) * CHOOSE(CONTROL!$C$19, $D$11, 100%, $F$11)</f>
        <v>8.8920999999999992</v>
      </c>
      <c r="K312" s="4"/>
      <c r="L312" s="9">
        <v>30.7165</v>
      </c>
      <c r="M312" s="9">
        <v>12.063700000000001</v>
      </c>
      <c r="N312" s="9">
        <v>4.9444999999999997</v>
      </c>
      <c r="O312" s="9">
        <v>0.37409999999999999</v>
      </c>
      <c r="P312" s="9">
        <v>1.2927</v>
      </c>
      <c r="Q312" s="9">
        <v>30.451899999999998</v>
      </c>
      <c r="R312" s="9"/>
      <c r="S312" s="11"/>
    </row>
    <row r="313" spans="1:19" ht="15.75">
      <c r="A313" s="13">
        <v>50678</v>
      </c>
      <c r="B313" s="8">
        <f>CHOOSE( CONTROL!$C$36, 8.9758, 8.9741) * CHOOSE(CONTROL!$C$19, $D$11, 100%, $F$11)</f>
        <v>8.9757999999999996</v>
      </c>
      <c r="C313" s="8">
        <f>CHOOSE( CONTROL!$C$36, 8.9838, 8.9821) * CHOOSE(CONTROL!$C$19, $D$11, 100%, $F$11)</f>
        <v>8.9838000000000005</v>
      </c>
      <c r="D313" s="8">
        <f>CHOOSE( CONTROL!$C$36, 8.9984, 8.9967) * CHOOSE( CONTROL!$C$19, $D$11, 100%, $F$11)</f>
        <v>8.9984000000000002</v>
      </c>
      <c r="E313" s="12">
        <f>CHOOSE( CONTROL!$C$36, 8.9919, 8.9902) * CHOOSE( CONTROL!$C$19, $D$11, 100%, $F$11)</f>
        <v>8.9918999999999993</v>
      </c>
      <c r="F313" s="4">
        <f>CHOOSE( CONTROL!$C$36, 9.7088, 9.7072) * CHOOSE(CONTROL!$C$19, $D$11, 100%, $F$11)</f>
        <v>9.7088000000000001</v>
      </c>
      <c r="G313" s="8">
        <f>CHOOSE( CONTROL!$C$36, 8.9031, 8.9014) * CHOOSE( CONTROL!$C$19, $D$11, 100%, $F$11)</f>
        <v>8.9031000000000002</v>
      </c>
      <c r="H313" s="4">
        <f>CHOOSE( CONTROL!$C$36, 9.8472, 9.8456) * CHOOSE(CONTROL!$C$19, $D$11, 100%, $F$11)</f>
        <v>9.8472000000000008</v>
      </c>
      <c r="I313" s="8">
        <f>CHOOSE( CONTROL!$C$36, 8.8421, 8.8405) * CHOOSE(CONTROL!$C$19, $D$11, 100%, $F$11)</f>
        <v>8.8421000000000003</v>
      </c>
      <c r="J313" s="4">
        <f>CHOOSE( CONTROL!$C$36, 8.7059, 8.7043) * CHOOSE(CONTROL!$C$19, $D$11, 100%, $F$11)</f>
        <v>8.7058999999999997</v>
      </c>
      <c r="K313" s="4"/>
      <c r="L313" s="9">
        <v>29.7257</v>
      </c>
      <c r="M313" s="9">
        <v>11.6745</v>
      </c>
      <c r="N313" s="9">
        <v>4.7850000000000001</v>
      </c>
      <c r="O313" s="9">
        <v>0.36199999999999999</v>
      </c>
      <c r="P313" s="9">
        <v>1.2509999999999999</v>
      </c>
      <c r="Q313" s="9">
        <v>29.4696</v>
      </c>
      <c r="R313" s="9"/>
      <c r="S313" s="11"/>
    </row>
    <row r="314" spans="1:19" ht="15.75">
      <c r="A314" s="13">
        <v>50709</v>
      </c>
      <c r="B314" s="8">
        <f>CHOOSE( CONTROL!$C$36, 9.3728, 9.3718) * CHOOSE(CONTROL!$C$19, $D$11, 100%, $F$11)</f>
        <v>9.3727999999999998</v>
      </c>
      <c r="C314" s="8">
        <f>CHOOSE( CONTROL!$C$36, 9.3782, 9.3771) * CHOOSE(CONTROL!$C$19, $D$11, 100%, $F$11)</f>
        <v>9.3781999999999996</v>
      </c>
      <c r="D314" s="8">
        <f>CHOOSE( CONTROL!$C$36, 9.3987, 9.3976) * CHOOSE( CONTROL!$C$19, $D$11, 100%, $F$11)</f>
        <v>9.3986999999999998</v>
      </c>
      <c r="E314" s="12">
        <f>CHOOSE( CONTROL!$C$36, 9.3914, 9.3903) * CHOOSE( CONTROL!$C$19, $D$11, 100%, $F$11)</f>
        <v>9.3914000000000009</v>
      </c>
      <c r="F314" s="4">
        <f>CHOOSE( CONTROL!$C$36, 10.1076, 10.1065) * CHOOSE(CONTROL!$C$19, $D$11, 100%, $F$11)</f>
        <v>10.1076</v>
      </c>
      <c r="G314" s="8">
        <f>CHOOSE( CONTROL!$C$36, 9.2965, 9.2954) * CHOOSE( CONTROL!$C$19, $D$11, 100%, $F$11)</f>
        <v>9.2965</v>
      </c>
      <c r="H314" s="4">
        <f>CHOOSE( CONTROL!$C$36, 10.2404, 10.2394) * CHOOSE(CONTROL!$C$19, $D$11, 100%, $F$11)</f>
        <v>10.240399999999999</v>
      </c>
      <c r="I314" s="8">
        <f>CHOOSE( CONTROL!$C$36, 9.2294, 9.2284) * CHOOSE(CONTROL!$C$19, $D$11, 100%, $F$11)</f>
        <v>9.2294</v>
      </c>
      <c r="J314" s="4">
        <f>CHOOSE( CONTROL!$C$36, 9.092, 9.0909) * CHOOSE(CONTROL!$C$19, $D$11, 100%, $F$11)</f>
        <v>9.0920000000000005</v>
      </c>
      <c r="K314" s="4"/>
      <c r="L314" s="9">
        <v>31.095300000000002</v>
      </c>
      <c r="M314" s="9">
        <v>12.063700000000001</v>
      </c>
      <c r="N314" s="9">
        <v>4.9444999999999997</v>
      </c>
      <c r="O314" s="9">
        <v>0.37409999999999999</v>
      </c>
      <c r="P314" s="9">
        <v>1.2927</v>
      </c>
      <c r="Q314" s="9">
        <v>30.451899999999998</v>
      </c>
      <c r="R314" s="9"/>
      <c r="S314" s="11"/>
    </row>
    <row r="315" spans="1:19" ht="15.75">
      <c r="A315" s="13">
        <v>50739</v>
      </c>
      <c r="B315" s="8">
        <f>CHOOSE( CONTROL!$C$36, 10.1095, 10.1084) * CHOOSE(CONTROL!$C$19, $D$11, 100%, $F$11)</f>
        <v>10.109500000000001</v>
      </c>
      <c r="C315" s="8">
        <f>CHOOSE( CONTROL!$C$36, 10.1146, 10.1135) * CHOOSE(CONTROL!$C$19, $D$11, 100%, $F$11)</f>
        <v>10.114599999999999</v>
      </c>
      <c r="D315" s="8">
        <f>CHOOSE( CONTROL!$C$36, 10.0938, 10.0928) * CHOOSE( CONTROL!$C$19, $D$11, 100%, $F$11)</f>
        <v>10.0938</v>
      </c>
      <c r="E315" s="12">
        <f>CHOOSE( CONTROL!$C$36, 10.1009, 10.0998) * CHOOSE( CONTROL!$C$19, $D$11, 100%, $F$11)</f>
        <v>10.100899999999999</v>
      </c>
      <c r="F315" s="4">
        <f>CHOOSE( CONTROL!$C$36, 10.7688, 10.7677) * CHOOSE(CONTROL!$C$19, $D$11, 100%, $F$11)</f>
        <v>10.768800000000001</v>
      </c>
      <c r="G315" s="8">
        <f>CHOOSE( CONTROL!$C$36, 10.0032, 10.0022) * CHOOSE( CONTROL!$C$19, $D$11, 100%, $F$11)</f>
        <v>10.0032</v>
      </c>
      <c r="H315" s="4">
        <f>CHOOSE( CONTROL!$C$36, 10.8924, 10.8913) * CHOOSE(CONTROL!$C$19, $D$11, 100%, $F$11)</f>
        <v>10.8924</v>
      </c>
      <c r="I315" s="8">
        <f>CHOOSE( CONTROL!$C$36, 9.9926, 9.9916) * CHOOSE(CONTROL!$C$19, $D$11, 100%, $F$11)</f>
        <v>9.9925999999999995</v>
      </c>
      <c r="J315" s="4">
        <f>CHOOSE( CONTROL!$C$36, 9.8057, 9.8047) * CHOOSE(CONTROL!$C$19, $D$11, 100%, $F$11)</f>
        <v>9.8056999999999999</v>
      </c>
      <c r="K315" s="4"/>
      <c r="L315" s="9">
        <v>28.360600000000002</v>
      </c>
      <c r="M315" s="9">
        <v>11.6745</v>
      </c>
      <c r="N315" s="9">
        <v>4.7850000000000001</v>
      </c>
      <c r="O315" s="9">
        <v>0.36199999999999999</v>
      </c>
      <c r="P315" s="9">
        <v>1.2509999999999999</v>
      </c>
      <c r="Q315" s="9">
        <v>29.4696</v>
      </c>
      <c r="R315" s="9"/>
      <c r="S315" s="11"/>
    </row>
    <row r="316" spans="1:19" ht="15.75">
      <c r="A316" s="13">
        <v>50770</v>
      </c>
      <c r="B316" s="8">
        <f>CHOOSE( CONTROL!$C$36, 10.0911, 10.09) * CHOOSE(CONTROL!$C$19, $D$11, 100%, $F$11)</f>
        <v>10.091100000000001</v>
      </c>
      <c r="C316" s="8">
        <f>CHOOSE( CONTROL!$C$36, 10.0962, 10.0951) * CHOOSE(CONTROL!$C$19, $D$11, 100%, $F$11)</f>
        <v>10.0962</v>
      </c>
      <c r="D316" s="8">
        <f>CHOOSE( CONTROL!$C$36, 10.0768, 10.0757) * CHOOSE( CONTROL!$C$19, $D$11, 100%, $F$11)</f>
        <v>10.0768</v>
      </c>
      <c r="E316" s="12">
        <f>CHOOSE( CONTROL!$C$36, 10.0834, 10.0823) * CHOOSE( CONTROL!$C$19, $D$11, 100%, $F$11)</f>
        <v>10.083399999999999</v>
      </c>
      <c r="F316" s="4">
        <f>CHOOSE( CONTROL!$C$36, 10.7504, 10.7493) * CHOOSE(CONTROL!$C$19, $D$11, 100%, $F$11)</f>
        <v>10.750400000000001</v>
      </c>
      <c r="G316" s="8">
        <f>CHOOSE( CONTROL!$C$36, 9.9861, 9.985) * CHOOSE( CONTROL!$C$19, $D$11, 100%, $F$11)</f>
        <v>9.9861000000000004</v>
      </c>
      <c r="H316" s="4">
        <f>CHOOSE( CONTROL!$C$36, 10.8742, 10.8731) * CHOOSE(CONTROL!$C$19, $D$11, 100%, $F$11)</f>
        <v>10.8742</v>
      </c>
      <c r="I316" s="8">
        <f>CHOOSE( CONTROL!$C$36, 9.9791, 9.978) * CHOOSE(CONTROL!$C$19, $D$11, 100%, $F$11)</f>
        <v>9.9791000000000007</v>
      </c>
      <c r="J316" s="4">
        <f>CHOOSE( CONTROL!$C$36, 9.7879, 9.7868) * CHOOSE(CONTROL!$C$19, $D$11, 100%, $F$11)</f>
        <v>9.7879000000000005</v>
      </c>
      <c r="K316" s="4"/>
      <c r="L316" s="9">
        <v>29.306000000000001</v>
      </c>
      <c r="M316" s="9">
        <v>12.063700000000001</v>
      </c>
      <c r="N316" s="9">
        <v>4.9444999999999997</v>
      </c>
      <c r="O316" s="9">
        <v>0.37409999999999999</v>
      </c>
      <c r="P316" s="9">
        <v>1.2927</v>
      </c>
      <c r="Q316" s="9">
        <v>30.451899999999998</v>
      </c>
      <c r="R316" s="9"/>
      <c r="S316" s="11"/>
    </row>
    <row r="317" spans="1:19" ht="15.75">
      <c r="A317" s="13">
        <v>50801</v>
      </c>
      <c r="B317" s="8">
        <f>CHOOSE( CONTROL!$C$36, 10.3892, 10.3881) * CHOOSE(CONTROL!$C$19, $D$11, 100%, $F$11)</f>
        <v>10.389200000000001</v>
      </c>
      <c r="C317" s="8">
        <f>CHOOSE( CONTROL!$C$36, 10.3943, 10.3932) * CHOOSE(CONTROL!$C$19, $D$11, 100%, $F$11)</f>
        <v>10.394299999999999</v>
      </c>
      <c r="D317" s="8">
        <f>CHOOSE( CONTROL!$C$36, 10.3956, 10.3945) * CHOOSE( CONTROL!$C$19, $D$11, 100%, $F$11)</f>
        <v>10.3956</v>
      </c>
      <c r="E317" s="12">
        <f>CHOOSE( CONTROL!$C$36, 10.3946, 10.3935) * CHOOSE( CONTROL!$C$19, $D$11, 100%, $F$11)</f>
        <v>10.394600000000001</v>
      </c>
      <c r="F317" s="4">
        <f>CHOOSE( CONTROL!$C$36, 11.0485, 11.0474) * CHOOSE(CONTROL!$C$19, $D$11, 100%, $F$11)</f>
        <v>11.048500000000001</v>
      </c>
      <c r="G317" s="8">
        <f>CHOOSE( CONTROL!$C$36, 10.2911, 10.29) * CHOOSE( CONTROL!$C$19, $D$11, 100%, $F$11)</f>
        <v>10.2911</v>
      </c>
      <c r="H317" s="4">
        <f>CHOOSE( CONTROL!$C$36, 11.1682, 11.1671) * CHOOSE(CONTROL!$C$19, $D$11, 100%, $F$11)</f>
        <v>11.168200000000001</v>
      </c>
      <c r="I317" s="8">
        <f>CHOOSE( CONTROL!$C$36, 10.2454, 10.2444) * CHOOSE(CONTROL!$C$19, $D$11, 100%, $F$11)</f>
        <v>10.2454</v>
      </c>
      <c r="J317" s="4">
        <f>CHOOSE( CONTROL!$C$36, 10.0766, 10.0755) * CHOOSE(CONTROL!$C$19, $D$11, 100%, $F$11)</f>
        <v>10.076599999999999</v>
      </c>
      <c r="K317" s="4"/>
      <c r="L317" s="9">
        <v>29.306000000000001</v>
      </c>
      <c r="M317" s="9">
        <v>12.063700000000001</v>
      </c>
      <c r="N317" s="9">
        <v>4.9444999999999997</v>
      </c>
      <c r="O317" s="9">
        <v>0.37409999999999999</v>
      </c>
      <c r="P317" s="9">
        <v>1.2927</v>
      </c>
      <c r="Q317" s="9">
        <v>30.386800000000001</v>
      </c>
      <c r="R317" s="9"/>
      <c r="S317" s="11"/>
    </row>
    <row r="318" spans="1:19" ht="15.75">
      <c r="A318" s="13">
        <v>50829</v>
      </c>
      <c r="B318" s="8">
        <f>CHOOSE( CONTROL!$C$36, 9.7165, 9.7155) * CHOOSE(CONTROL!$C$19, $D$11, 100%, $F$11)</f>
        <v>9.7164999999999999</v>
      </c>
      <c r="C318" s="8">
        <f>CHOOSE( CONTROL!$C$36, 9.7216, 9.7206) * CHOOSE(CONTROL!$C$19, $D$11, 100%, $F$11)</f>
        <v>9.7216000000000005</v>
      </c>
      <c r="D318" s="8">
        <f>CHOOSE( CONTROL!$C$36, 9.7228, 9.7217) * CHOOSE( CONTROL!$C$19, $D$11, 100%, $F$11)</f>
        <v>9.7227999999999994</v>
      </c>
      <c r="E318" s="12">
        <f>CHOOSE( CONTROL!$C$36, 9.7218, 9.7208) * CHOOSE( CONTROL!$C$19, $D$11, 100%, $F$11)</f>
        <v>9.7218</v>
      </c>
      <c r="F318" s="4">
        <f>CHOOSE( CONTROL!$C$36, 10.3758, 10.3747) * CHOOSE(CONTROL!$C$19, $D$11, 100%, $F$11)</f>
        <v>10.3758</v>
      </c>
      <c r="G318" s="8">
        <f>CHOOSE( CONTROL!$C$36, 9.6277, 9.6266) * CHOOSE( CONTROL!$C$19, $D$11, 100%, $F$11)</f>
        <v>9.6277000000000008</v>
      </c>
      <c r="H318" s="4">
        <f>CHOOSE( CONTROL!$C$36, 10.5049, 10.5038) * CHOOSE(CONTROL!$C$19, $D$11, 100%, $F$11)</f>
        <v>10.504899999999999</v>
      </c>
      <c r="I318" s="8">
        <f>CHOOSE( CONTROL!$C$36, 9.5933, 9.5923) * CHOOSE(CONTROL!$C$19, $D$11, 100%, $F$11)</f>
        <v>9.5932999999999993</v>
      </c>
      <c r="J318" s="4">
        <f>CHOOSE( CONTROL!$C$36, 9.4252, 9.4241) * CHOOSE(CONTROL!$C$19, $D$11, 100%, $F$11)</f>
        <v>9.4252000000000002</v>
      </c>
      <c r="K318" s="4"/>
      <c r="L318" s="9">
        <v>26.469899999999999</v>
      </c>
      <c r="M318" s="9">
        <v>10.8962</v>
      </c>
      <c r="N318" s="9">
        <v>4.4660000000000002</v>
      </c>
      <c r="O318" s="9">
        <v>0.33789999999999998</v>
      </c>
      <c r="P318" s="9">
        <v>1.1676</v>
      </c>
      <c r="Q318" s="9">
        <v>27.446200000000001</v>
      </c>
      <c r="R318" s="9"/>
      <c r="S318" s="11"/>
    </row>
    <row r="319" spans="1:19" ht="15.75">
      <c r="A319" s="13">
        <v>50860</v>
      </c>
      <c r="B319" s="8">
        <f>CHOOSE( CONTROL!$C$36, 9.5094, 9.5083) * CHOOSE(CONTROL!$C$19, $D$11, 100%, $F$11)</f>
        <v>9.5093999999999994</v>
      </c>
      <c r="C319" s="8">
        <f>CHOOSE( CONTROL!$C$36, 9.5145, 9.5134) * CHOOSE(CONTROL!$C$19, $D$11, 100%, $F$11)</f>
        <v>9.5145</v>
      </c>
      <c r="D319" s="8">
        <f>CHOOSE( CONTROL!$C$36, 9.515, 9.5139) * CHOOSE( CONTROL!$C$19, $D$11, 100%, $F$11)</f>
        <v>9.5150000000000006</v>
      </c>
      <c r="E319" s="12">
        <f>CHOOSE( CONTROL!$C$36, 9.5143, 9.5132) * CHOOSE( CONTROL!$C$19, $D$11, 100%, $F$11)</f>
        <v>9.5143000000000004</v>
      </c>
      <c r="F319" s="4">
        <f>CHOOSE( CONTROL!$C$36, 10.1686, 10.1675) * CHOOSE(CONTROL!$C$19, $D$11, 100%, $F$11)</f>
        <v>10.1686</v>
      </c>
      <c r="G319" s="8">
        <f>CHOOSE( CONTROL!$C$36, 9.4229, 9.4219) * CHOOSE( CONTROL!$C$19, $D$11, 100%, $F$11)</f>
        <v>9.4229000000000003</v>
      </c>
      <c r="H319" s="4">
        <f>CHOOSE( CONTROL!$C$36, 10.3006, 10.2995) * CHOOSE(CONTROL!$C$19, $D$11, 100%, $F$11)</f>
        <v>10.300599999999999</v>
      </c>
      <c r="I319" s="8">
        <f>CHOOSE( CONTROL!$C$36, 9.3906, 9.3896) * CHOOSE(CONTROL!$C$19, $D$11, 100%, $F$11)</f>
        <v>9.3905999999999992</v>
      </c>
      <c r="J319" s="4">
        <f>CHOOSE( CONTROL!$C$36, 9.2246, 9.2235) * CHOOSE(CONTROL!$C$19, $D$11, 100%, $F$11)</f>
        <v>9.2246000000000006</v>
      </c>
      <c r="K319" s="4"/>
      <c r="L319" s="9">
        <v>29.306000000000001</v>
      </c>
      <c r="M319" s="9">
        <v>12.063700000000001</v>
      </c>
      <c r="N319" s="9">
        <v>4.9444999999999997</v>
      </c>
      <c r="O319" s="9">
        <v>0.37409999999999999</v>
      </c>
      <c r="P319" s="9">
        <v>1.2927</v>
      </c>
      <c r="Q319" s="9">
        <v>30.386800000000001</v>
      </c>
      <c r="R319" s="9"/>
      <c r="S319" s="11"/>
    </row>
    <row r="320" spans="1:19" ht="15.75">
      <c r="A320" s="13">
        <v>50890</v>
      </c>
      <c r="B320" s="8">
        <f>CHOOSE( CONTROL!$C$36, 9.6549, 9.6538) * CHOOSE(CONTROL!$C$19, $D$11, 100%, $F$11)</f>
        <v>9.6548999999999996</v>
      </c>
      <c r="C320" s="8">
        <f>CHOOSE( CONTROL!$C$36, 9.6594, 9.6583) * CHOOSE(CONTROL!$C$19, $D$11, 100%, $F$11)</f>
        <v>9.6593999999999998</v>
      </c>
      <c r="D320" s="8">
        <f>CHOOSE( CONTROL!$C$36, 9.6798, 9.6787) * CHOOSE( CONTROL!$C$19, $D$11, 100%, $F$11)</f>
        <v>9.6798000000000002</v>
      </c>
      <c r="E320" s="12">
        <f>CHOOSE( CONTROL!$C$36, 9.6725, 9.6714) * CHOOSE( CONTROL!$C$19, $D$11, 100%, $F$11)</f>
        <v>9.6724999999999994</v>
      </c>
      <c r="F320" s="4">
        <f>CHOOSE( CONTROL!$C$36, 10.3893, 10.3882) * CHOOSE(CONTROL!$C$19, $D$11, 100%, $F$11)</f>
        <v>10.3893</v>
      </c>
      <c r="G320" s="8">
        <f>CHOOSE( CONTROL!$C$36, 9.5738, 9.5727) * CHOOSE( CONTROL!$C$19, $D$11, 100%, $F$11)</f>
        <v>9.5738000000000003</v>
      </c>
      <c r="H320" s="4">
        <f>CHOOSE( CONTROL!$C$36, 10.5182, 10.5171) * CHOOSE(CONTROL!$C$19, $D$11, 100%, $F$11)</f>
        <v>10.5182</v>
      </c>
      <c r="I320" s="8">
        <f>CHOOSE( CONTROL!$C$36, 9.5004, 9.4993) * CHOOSE(CONTROL!$C$19, $D$11, 100%, $F$11)</f>
        <v>9.5004000000000008</v>
      </c>
      <c r="J320" s="4">
        <f>CHOOSE( CONTROL!$C$36, 9.3648, 9.3637) * CHOOSE(CONTROL!$C$19, $D$11, 100%, $F$11)</f>
        <v>9.3648000000000007</v>
      </c>
      <c r="K320" s="4"/>
      <c r="L320" s="9">
        <v>30.092199999999998</v>
      </c>
      <c r="M320" s="9">
        <v>11.6745</v>
      </c>
      <c r="N320" s="9">
        <v>4.7850000000000001</v>
      </c>
      <c r="O320" s="9">
        <v>0.36199999999999999</v>
      </c>
      <c r="P320" s="9">
        <v>1.2509999999999999</v>
      </c>
      <c r="Q320" s="9">
        <v>29.406600000000001</v>
      </c>
      <c r="R320" s="9"/>
      <c r="S320" s="11"/>
    </row>
    <row r="321" spans="1:19" ht="15.75">
      <c r="A321" s="13">
        <v>50921</v>
      </c>
      <c r="B321" s="8">
        <f>CHOOSE( CONTROL!$C$36, 9.9145, 9.9128) * CHOOSE(CONTROL!$C$19, $D$11, 100%, $F$11)</f>
        <v>9.9145000000000003</v>
      </c>
      <c r="C321" s="8">
        <f>CHOOSE( CONTROL!$C$36, 9.9225, 9.9208) * CHOOSE(CONTROL!$C$19, $D$11, 100%, $F$11)</f>
        <v>9.9224999999999994</v>
      </c>
      <c r="D321" s="8">
        <f>CHOOSE( CONTROL!$C$36, 9.9367, 9.935) * CHOOSE( CONTROL!$C$19, $D$11, 100%, $F$11)</f>
        <v>9.9367000000000001</v>
      </c>
      <c r="E321" s="12">
        <f>CHOOSE( CONTROL!$C$36, 9.9303, 9.9286) * CHOOSE( CONTROL!$C$19, $D$11, 100%, $F$11)</f>
        <v>9.9303000000000008</v>
      </c>
      <c r="F321" s="4">
        <f>CHOOSE( CONTROL!$C$36, 10.6475, 10.6459) * CHOOSE(CONTROL!$C$19, $D$11, 100%, $F$11)</f>
        <v>10.647500000000001</v>
      </c>
      <c r="G321" s="8">
        <f>CHOOSE( CONTROL!$C$36, 9.8284, 9.8267) * CHOOSE( CONTROL!$C$19, $D$11, 100%, $F$11)</f>
        <v>9.8284000000000002</v>
      </c>
      <c r="H321" s="4">
        <f>CHOOSE( CONTROL!$C$36, 10.7728, 10.7712) * CHOOSE(CONTROL!$C$19, $D$11, 100%, $F$11)</f>
        <v>10.7728</v>
      </c>
      <c r="I321" s="8">
        <f>CHOOSE( CONTROL!$C$36, 9.7501, 9.7485) * CHOOSE(CONTROL!$C$19, $D$11, 100%, $F$11)</f>
        <v>9.7500999999999998</v>
      </c>
      <c r="J321" s="4">
        <f>CHOOSE( CONTROL!$C$36, 9.6148, 9.6132) * CHOOSE(CONTROL!$C$19, $D$11, 100%, $F$11)</f>
        <v>9.6148000000000007</v>
      </c>
      <c r="K321" s="4"/>
      <c r="L321" s="9">
        <v>30.7165</v>
      </c>
      <c r="M321" s="9">
        <v>12.063700000000001</v>
      </c>
      <c r="N321" s="9">
        <v>4.9444999999999997</v>
      </c>
      <c r="O321" s="9">
        <v>0.37409999999999999</v>
      </c>
      <c r="P321" s="9">
        <v>1.2927</v>
      </c>
      <c r="Q321" s="9">
        <v>30.386800000000001</v>
      </c>
      <c r="R321" s="9"/>
      <c r="S321" s="11"/>
    </row>
    <row r="322" spans="1:19" ht="15.75">
      <c r="A322" s="13">
        <v>50951</v>
      </c>
      <c r="B322" s="8">
        <f>CHOOSE( CONTROL!$C$36, 9.7549, 9.7532) * CHOOSE(CONTROL!$C$19, $D$11, 100%, $F$11)</f>
        <v>9.7548999999999992</v>
      </c>
      <c r="C322" s="8">
        <f>CHOOSE( CONTROL!$C$36, 9.7629, 9.7612) * CHOOSE(CONTROL!$C$19, $D$11, 100%, $F$11)</f>
        <v>9.7629000000000001</v>
      </c>
      <c r="D322" s="8">
        <f>CHOOSE( CONTROL!$C$36, 9.7773, 9.7756) * CHOOSE( CONTROL!$C$19, $D$11, 100%, $F$11)</f>
        <v>9.7773000000000003</v>
      </c>
      <c r="E322" s="12">
        <f>CHOOSE( CONTROL!$C$36, 9.7709, 9.7692) * CHOOSE( CONTROL!$C$19, $D$11, 100%, $F$11)</f>
        <v>9.7708999999999993</v>
      </c>
      <c r="F322" s="4">
        <f>CHOOSE( CONTROL!$C$36, 10.4879, 10.4863) * CHOOSE(CONTROL!$C$19, $D$11, 100%, $F$11)</f>
        <v>10.4879</v>
      </c>
      <c r="G322" s="8">
        <f>CHOOSE( CONTROL!$C$36, 9.6711, 9.6695) * CHOOSE( CONTROL!$C$19, $D$11, 100%, $F$11)</f>
        <v>9.6710999999999991</v>
      </c>
      <c r="H322" s="4">
        <f>CHOOSE( CONTROL!$C$36, 10.6154, 10.6138) * CHOOSE(CONTROL!$C$19, $D$11, 100%, $F$11)</f>
        <v>10.615399999999999</v>
      </c>
      <c r="I322" s="8">
        <f>CHOOSE( CONTROL!$C$36, 9.5962, 9.5946) * CHOOSE(CONTROL!$C$19, $D$11, 100%, $F$11)</f>
        <v>9.5961999999999996</v>
      </c>
      <c r="J322" s="4">
        <f>CHOOSE( CONTROL!$C$36, 9.4603, 9.4586) * CHOOSE(CONTROL!$C$19, $D$11, 100%, $F$11)</f>
        <v>9.4603000000000002</v>
      </c>
      <c r="K322" s="4"/>
      <c r="L322" s="9">
        <v>29.7257</v>
      </c>
      <c r="M322" s="9">
        <v>11.6745</v>
      </c>
      <c r="N322" s="9">
        <v>4.7850000000000001</v>
      </c>
      <c r="O322" s="9">
        <v>0.36199999999999999</v>
      </c>
      <c r="P322" s="9">
        <v>1.2509999999999999</v>
      </c>
      <c r="Q322" s="9">
        <v>29.406600000000001</v>
      </c>
      <c r="R322" s="9"/>
      <c r="S322" s="11"/>
    </row>
    <row r="323" spans="1:19" ht="15.75">
      <c r="A323" s="13">
        <v>50982</v>
      </c>
      <c r="B323" s="8">
        <f>CHOOSE( CONTROL!$C$36, 10.1752, 10.1736) * CHOOSE(CONTROL!$C$19, $D$11, 100%, $F$11)</f>
        <v>10.1752</v>
      </c>
      <c r="C323" s="8">
        <f>CHOOSE( CONTROL!$C$36, 10.1832, 10.1816) * CHOOSE(CONTROL!$C$19, $D$11, 100%, $F$11)</f>
        <v>10.183199999999999</v>
      </c>
      <c r="D323" s="8">
        <f>CHOOSE( CONTROL!$C$36, 10.1979, 10.1962) * CHOOSE( CONTROL!$C$19, $D$11, 100%, $F$11)</f>
        <v>10.197900000000001</v>
      </c>
      <c r="E323" s="12">
        <f>CHOOSE( CONTROL!$C$36, 10.1914, 10.1897) * CHOOSE( CONTROL!$C$19, $D$11, 100%, $F$11)</f>
        <v>10.1914</v>
      </c>
      <c r="F323" s="4">
        <f>CHOOSE( CONTROL!$C$36, 10.9083, 10.9066) * CHOOSE(CONTROL!$C$19, $D$11, 100%, $F$11)</f>
        <v>10.908300000000001</v>
      </c>
      <c r="G323" s="8">
        <f>CHOOSE( CONTROL!$C$36, 10.0858, 10.0842) * CHOOSE( CONTROL!$C$19, $D$11, 100%, $F$11)</f>
        <v>10.085800000000001</v>
      </c>
      <c r="H323" s="4">
        <f>CHOOSE( CONTROL!$C$36, 11.0299, 11.0283) * CHOOSE(CONTROL!$C$19, $D$11, 100%, $F$11)</f>
        <v>11.0299</v>
      </c>
      <c r="I323" s="8">
        <f>CHOOSE( CONTROL!$C$36, 10.0042, 10.0026) * CHOOSE(CONTROL!$C$19, $D$11, 100%, $F$11)</f>
        <v>10.004200000000001</v>
      </c>
      <c r="J323" s="4">
        <f>CHOOSE( CONTROL!$C$36, 9.8673, 9.8657) * CHOOSE(CONTROL!$C$19, $D$11, 100%, $F$11)</f>
        <v>9.8673000000000002</v>
      </c>
      <c r="K323" s="4"/>
      <c r="L323" s="9">
        <v>30.7165</v>
      </c>
      <c r="M323" s="9">
        <v>12.063700000000001</v>
      </c>
      <c r="N323" s="9">
        <v>4.9444999999999997</v>
      </c>
      <c r="O323" s="9">
        <v>0.37409999999999999</v>
      </c>
      <c r="P323" s="9">
        <v>1.2927</v>
      </c>
      <c r="Q323" s="9">
        <v>30.386800000000001</v>
      </c>
      <c r="R323" s="9"/>
      <c r="S323" s="11"/>
    </row>
    <row r="324" spans="1:19" ht="15.75">
      <c r="A324" s="13">
        <v>51013</v>
      </c>
      <c r="B324" s="8">
        <f>CHOOSE( CONTROL!$C$36, 9.3887, 9.3871) * CHOOSE(CONTROL!$C$19, $D$11, 100%, $F$11)</f>
        <v>9.3887</v>
      </c>
      <c r="C324" s="8">
        <f>CHOOSE( CONTROL!$C$36, 9.3967, 9.3951) * CHOOSE(CONTROL!$C$19, $D$11, 100%, $F$11)</f>
        <v>9.3966999999999992</v>
      </c>
      <c r="D324" s="8">
        <f>CHOOSE( CONTROL!$C$36, 9.4114, 9.4098) * CHOOSE( CONTROL!$C$19, $D$11, 100%, $F$11)</f>
        <v>9.4114000000000004</v>
      </c>
      <c r="E324" s="12">
        <f>CHOOSE( CONTROL!$C$36, 9.4049, 9.4033) * CHOOSE( CONTROL!$C$19, $D$11, 100%, $F$11)</f>
        <v>9.4048999999999996</v>
      </c>
      <c r="F324" s="4">
        <f>CHOOSE( CONTROL!$C$36, 10.1218, 10.1201) * CHOOSE(CONTROL!$C$19, $D$11, 100%, $F$11)</f>
        <v>10.1218</v>
      </c>
      <c r="G324" s="8">
        <f>CHOOSE( CONTROL!$C$36, 9.3103, 9.3087) * CHOOSE( CONTROL!$C$19, $D$11, 100%, $F$11)</f>
        <v>9.3102999999999998</v>
      </c>
      <c r="H324" s="4">
        <f>CHOOSE( CONTROL!$C$36, 10.2544, 10.2528) * CHOOSE(CONTROL!$C$19, $D$11, 100%, $F$11)</f>
        <v>10.2544</v>
      </c>
      <c r="I324" s="8">
        <f>CHOOSE( CONTROL!$C$36, 9.2425, 9.2409) * CHOOSE(CONTROL!$C$19, $D$11, 100%, $F$11)</f>
        <v>9.2424999999999997</v>
      </c>
      <c r="J324" s="4">
        <f>CHOOSE( CONTROL!$C$36, 9.1057, 9.1041) * CHOOSE(CONTROL!$C$19, $D$11, 100%, $F$11)</f>
        <v>9.1057000000000006</v>
      </c>
      <c r="K324" s="4"/>
      <c r="L324" s="9">
        <v>30.7165</v>
      </c>
      <c r="M324" s="9">
        <v>12.063700000000001</v>
      </c>
      <c r="N324" s="9">
        <v>4.9444999999999997</v>
      </c>
      <c r="O324" s="9">
        <v>0.37409999999999999</v>
      </c>
      <c r="P324" s="9">
        <v>1.2927</v>
      </c>
      <c r="Q324" s="9">
        <v>30.386800000000001</v>
      </c>
      <c r="R324" s="9"/>
      <c r="S324" s="11"/>
    </row>
    <row r="325" spans="1:19" ht="15.75">
      <c r="A325" s="13">
        <v>51043</v>
      </c>
      <c r="B325" s="8">
        <f>CHOOSE( CONTROL!$C$36, 9.1918, 9.1901) * CHOOSE(CONTROL!$C$19, $D$11, 100%, $F$11)</f>
        <v>9.1918000000000006</v>
      </c>
      <c r="C325" s="8">
        <f>CHOOSE( CONTROL!$C$36, 9.1998, 9.1981) * CHOOSE(CONTROL!$C$19, $D$11, 100%, $F$11)</f>
        <v>9.1997999999999998</v>
      </c>
      <c r="D325" s="8">
        <f>CHOOSE( CONTROL!$C$36, 9.2144, 9.2127) * CHOOSE( CONTROL!$C$19, $D$11, 100%, $F$11)</f>
        <v>9.2143999999999995</v>
      </c>
      <c r="E325" s="12">
        <f>CHOOSE( CONTROL!$C$36, 9.2079, 9.2062) * CHOOSE( CONTROL!$C$19, $D$11, 100%, $F$11)</f>
        <v>9.2079000000000004</v>
      </c>
      <c r="F325" s="4">
        <f>CHOOSE( CONTROL!$C$36, 9.9248, 9.9232) * CHOOSE(CONTROL!$C$19, $D$11, 100%, $F$11)</f>
        <v>9.9247999999999994</v>
      </c>
      <c r="G325" s="8">
        <f>CHOOSE( CONTROL!$C$36, 9.116, 9.1144) * CHOOSE( CONTROL!$C$19, $D$11, 100%, $F$11)</f>
        <v>9.1159999999999997</v>
      </c>
      <c r="H325" s="4">
        <f>CHOOSE( CONTROL!$C$36, 10.0602, 10.0586) * CHOOSE(CONTROL!$C$19, $D$11, 100%, $F$11)</f>
        <v>10.0602</v>
      </c>
      <c r="I325" s="8">
        <f>CHOOSE( CONTROL!$C$36, 9.0513, 9.0497) * CHOOSE(CONTROL!$C$19, $D$11, 100%, $F$11)</f>
        <v>9.0512999999999995</v>
      </c>
      <c r="J325" s="4">
        <f>CHOOSE( CONTROL!$C$36, 8.915, 8.9134) * CHOOSE(CONTROL!$C$19, $D$11, 100%, $F$11)</f>
        <v>8.9149999999999991</v>
      </c>
      <c r="K325" s="4"/>
      <c r="L325" s="9">
        <v>29.7257</v>
      </c>
      <c r="M325" s="9">
        <v>11.6745</v>
      </c>
      <c r="N325" s="9">
        <v>4.7850000000000001</v>
      </c>
      <c r="O325" s="9">
        <v>0.36199999999999999</v>
      </c>
      <c r="P325" s="9">
        <v>1.2509999999999999</v>
      </c>
      <c r="Q325" s="9">
        <v>29.406600000000001</v>
      </c>
      <c r="R325" s="9"/>
      <c r="S325" s="11"/>
    </row>
    <row r="326" spans="1:19" ht="15.75">
      <c r="A326" s="13">
        <v>51074</v>
      </c>
      <c r="B326" s="8">
        <f>CHOOSE( CONTROL!$C$36, 9.5984, 9.5973) * CHOOSE(CONTROL!$C$19, $D$11, 100%, $F$11)</f>
        <v>9.5983999999999998</v>
      </c>
      <c r="C326" s="8">
        <f>CHOOSE( CONTROL!$C$36, 9.6038, 9.6027) * CHOOSE(CONTROL!$C$19, $D$11, 100%, $F$11)</f>
        <v>9.6037999999999997</v>
      </c>
      <c r="D326" s="8">
        <f>CHOOSE( CONTROL!$C$36, 9.6243, 9.6232) * CHOOSE( CONTROL!$C$19, $D$11, 100%, $F$11)</f>
        <v>9.6242999999999999</v>
      </c>
      <c r="E326" s="12">
        <f>CHOOSE( CONTROL!$C$36, 9.617, 9.6159) * CHOOSE( CONTROL!$C$19, $D$11, 100%, $F$11)</f>
        <v>9.6170000000000009</v>
      </c>
      <c r="F326" s="4">
        <f>CHOOSE( CONTROL!$C$36, 10.3332, 10.3321) * CHOOSE(CONTROL!$C$19, $D$11, 100%, $F$11)</f>
        <v>10.3332</v>
      </c>
      <c r="G326" s="8">
        <f>CHOOSE( CONTROL!$C$36, 9.5189, 9.5178) * CHOOSE( CONTROL!$C$19, $D$11, 100%, $F$11)</f>
        <v>9.5189000000000004</v>
      </c>
      <c r="H326" s="4">
        <f>CHOOSE( CONTROL!$C$36, 10.4629, 10.4618) * CHOOSE(CONTROL!$C$19, $D$11, 100%, $F$11)</f>
        <v>10.462899999999999</v>
      </c>
      <c r="I326" s="8">
        <f>CHOOSE( CONTROL!$C$36, 9.448, 9.4469) * CHOOSE(CONTROL!$C$19, $D$11, 100%, $F$11)</f>
        <v>9.4480000000000004</v>
      </c>
      <c r="J326" s="4">
        <f>CHOOSE( CONTROL!$C$36, 9.3104, 9.3094) * CHOOSE(CONTROL!$C$19, $D$11, 100%, $F$11)</f>
        <v>9.3103999999999996</v>
      </c>
      <c r="K326" s="4"/>
      <c r="L326" s="9">
        <v>31.095300000000002</v>
      </c>
      <c r="M326" s="9">
        <v>12.063700000000001</v>
      </c>
      <c r="N326" s="9">
        <v>4.9444999999999997</v>
      </c>
      <c r="O326" s="9">
        <v>0.37409999999999999</v>
      </c>
      <c r="P326" s="9">
        <v>1.2927</v>
      </c>
      <c r="Q326" s="9">
        <v>30.386800000000001</v>
      </c>
      <c r="R326" s="9"/>
      <c r="S326" s="11"/>
    </row>
    <row r="327" spans="1:19" ht="15.75">
      <c r="A327" s="13">
        <v>51104</v>
      </c>
      <c r="B327" s="8">
        <f>CHOOSE( CONTROL!$C$36, 10.3528, 10.3517) * CHOOSE(CONTROL!$C$19, $D$11, 100%, $F$11)</f>
        <v>10.3528</v>
      </c>
      <c r="C327" s="8">
        <f>CHOOSE( CONTROL!$C$36, 10.3579, 10.3568) * CHOOSE(CONTROL!$C$19, $D$11, 100%, $F$11)</f>
        <v>10.357900000000001</v>
      </c>
      <c r="D327" s="8">
        <f>CHOOSE( CONTROL!$C$36, 10.3371, 10.336) * CHOOSE( CONTROL!$C$19, $D$11, 100%, $F$11)</f>
        <v>10.3371</v>
      </c>
      <c r="E327" s="12">
        <f>CHOOSE( CONTROL!$C$36, 10.3442, 10.3431) * CHOOSE( CONTROL!$C$19, $D$11, 100%, $F$11)</f>
        <v>10.344200000000001</v>
      </c>
      <c r="F327" s="4">
        <f>CHOOSE( CONTROL!$C$36, 11.0121, 11.011) * CHOOSE(CONTROL!$C$19, $D$11, 100%, $F$11)</f>
        <v>11.0121</v>
      </c>
      <c r="G327" s="8">
        <f>CHOOSE( CONTROL!$C$36, 10.2431, 10.2421) * CHOOSE( CONTROL!$C$19, $D$11, 100%, $F$11)</f>
        <v>10.2431</v>
      </c>
      <c r="H327" s="4">
        <f>CHOOSE( CONTROL!$C$36, 11.1323, 11.1312) * CHOOSE(CONTROL!$C$19, $D$11, 100%, $F$11)</f>
        <v>11.132300000000001</v>
      </c>
      <c r="I327" s="8">
        <f>CHOOSE( CONTROL!$C$36, 10.2283, 10.2273) * CHOOSE(CONTROL!$C$19, $D$11, 100%, $F$11)</f>
        <v>10.228300000000001</v>
      </c>
      <c r="J327" s="4">
        <f>CHOOSE( CONTROL!$C$36, 10.0413, 10.0402) * CHOOSE(CONTROL!$C$19, $D$11, 100%, $F$11)</f>
        <v>10.0413</v>
      </c>
      <c r="K327" s="4"/>
      <c r="L327" s="9">
        <v>28.360600000000002</v>
      </c>
      <c r="M327" s="9">
        <v>11.6745</v>
      </c>
      <c r="N327" s="9">
        <v>4.7850000000000001</v>
      </c>
      <c r="O327" s="9">
        <v>0.36199999999999999</v>
      </c>
      <c r="P327" s="9">
        <v>1.2509999999999999</v>
      </c>
      <c r="Q327" s="9">
        <v>29.406600000000001</v>
      </c>
      <c r="R327" s="9"/>
      <c r="S327" s="11"/>
    </row>
    <row r="328" spans="1:19" ht="15.75">
      <c r="A328" s="13">
        <v>51135</v>
      </c>
      <c r="B328" s="8">
        <f>CHOOSE( CONTROL!$C$36, 10.334, 10.3329) * CHOOSE(CONTROL!$C$19, $D$11, 100%, $F$11)</f>
        <v>10.334</v>
      </c>
      <c r="C328" s="8">
        <f>CHOOSE( CONTROL!$C$36, 10.3391, 10.338) * CHOOSE(CONTROL!$C$19, $D$11, 100%, $F$11)</f>
        <v>10.3391</v>
      </c>
      <c r="D328" s="8">
        <f>CHOOSE( CONTROL!$C$36, 10.3197, 10.3186) * CHOOSE( CONTROL!$C$19, $D$11, 100%, $F$11)</f>
        <v>10.319699999999999</v>
      </c>
      <c r="E328" s="12">
        <f>CHOOSE( CONTROL!$C$36, 10.3263, 10.3252) * CHOOSE( CONTROL!$C$19, $D$11, 100%, $F$11)</f>
        <v>10.3263</v>
      </c>
      <c r="F328" s="4">
        <f>CHOOSE( CONTROL!$C$36, 10.9932, 10.9921) * CHOOSE(CONTROL!$C$19, $D$11, 100%, $F$11)</f>
        <v>10.9932</v>
      </c>
      <c r="G328" s="8">
        <f>CHOOSE( CONTROL!$C$36, 10.2255, 10.2244) * CHOOSE( CONTROL!$C$19, $D$11, 100%, $F$11)</f>
        <v>10.2255</v>
      </c>
      <c r="H328" s="4">
        <f>CHOOSE( CONTROL!$C$36, 11.1137, 11.1126) * CHOOSE(CONTROL!$C$19, $D$11, 100%, $F$11)</f>
        <v>11.1137</v>
      </c>
      <c r="I328" s="8">
        <f>CHOOSE( CONTROL!$C$36, 10.2144, 10.2133) * CHOOSE(CONTROL!$C$19, $D$11, 100%, $F$11)</f>
        <v>10.214399999999999</v>
      </c>
      <c r="J328" s="4">
        <f>CHOOSE( CONTROL!$C$36, 10.023, 10.022) * CHOOSE(CONTROL!$C$19, $D$11, 100%, $F$11)</f>
        <v>10.023</v>
      </c>
      <c r="K328" s="4"/>
      <c r="L328" s="9">
        <v>29.306000000000001</v>
      </c>
      <c r="M328" s="9">
        <v>12.063700000000001</v>
      </c>
      <c r="N328" s="9">
        <v>4.9444999999999997</v>
      </c>
      <c r="O328" s="9">
        <v>0.37409999999999999</v>
      </c>
      <c r="P328" s="9">
        <v>1.2927</v>
      </c>
      <c r="Q328" s="9">
        <v>30.386800000000001</v>
      </c>
      <c r="R328" s="9"/>
      <c r="S328" s="11"/>
    </row>
    <row r="329" spans="1:19" ht="15.75">
      <c r="A329" s="13">
        <v>51166</v>
      </c>
      <c r="B329" s="8">
        <f>CHOOSE( CONTROL!$C$36, 10.6392, 10.6382) * CHOOSE(CONTROL!$C$19, $D$11, 100%, $F$11)</f>
        <v>10.639200000000001</v>
      </c>
      <c r="C329" s="8">
        <f>CHOOSE( CONTROL!$C$36, 10.6443, 10.6433) * CHOOSE(CONTROL!$C$19, $D$11, 100%, $F$11)</f>
        <v>10.644299999999999</v>
      </c>
      <c r="D329" s="8">
        <f>CHOOSE( CONTROL!$C$36, 10.6456, 10.6445) * CHOOSE( CONTROL!$C$19, $D$11, 100%, $F$11)</f>
        <v>10.6456</v>
      </c>
      <c r="E329" s="12">
        <f>CHOOSE( CONTROL!$C$36, 10.6446, 10.6435) * CHOOSE( CONTROL!$C$19, $D$11, 100%, $F$11)</f>
        <v>10.644600000000001</v>
      </c>
      <c r="F329" s="4">
        <f>CHOOSE( CONTROL!$C$36, 11.2985, 11.2974) * CHOOSE(CONTROL!$C$19, $D$11, 100%, $F$11)</f>
        <v>11.298500000000001</v>
      </c>
      <c r="G329" s="8">
        <f>CHOOSE( CONTROL!$C$36, 10.5376, 10.5365) * CHOOSE( CONTROL!$C$19, $D$11, 100%, $F$11)</f>
        <v>10.537599999999999</v>
      </c>
      <c r="H329" s="4">
        <f>CHOOSE( CONTROL!$C$36, 11.4147, 11.4136) * CHOOSE(CONTROL!$C$19, $D$11, 100%, $F$11)</f>
        <v>11.4147</v>
      </c>
      <c r="I329" s="8">
        <f>CHOOSE( CONTROL!$C$36, 10.4876, 10.4866) * CHOOSE(CONTROL!$C$19, $D$11, 100%, $F$11)</f>
        <v>10.4876</v>
      </c>
      <c r="J329" s="4">
        <f>CHOOSE( CONTROL!$C$36, 10.3186, 10.3176) * CHOOSE(CONTROL!$C$19, $D$11, 100%, $F$11)</f>
        <v>10.3186</v>
      </c>
      <c r="K329" s="4"/>
      <c r="L329" s="9">
        <v>29.306000000000001</v>
      </c>
      <c r="M329" s="9">
        <v>12.063700000000001</v>
      </c>
      <c r="N329" s="9">
        <v>4.9444999999999997</v>
      </c>
      <c r="O329" s="9">
        <v>0.37409999999999999</v>
      </c>
      <c r="P329" s="9">
        <v>1.2927</v>
      </c>
      <c r="Q329" s="9">
        <v>30.3217</v>
      </c>
      <c r="R329" s="9"/>
      <c r="S329" s="11"/>
    </row>
    <row r="330" spans="1:19" ht="15.75">
      <c r="A330" s="13">
        <v>51194</v>
      </c>
      <c r="B330" s="8">
        <f>CHOOSE( CONTROL!$C$36, 9.9504, 9.9493) * CHOOSE(CONTROL!$C$19, $D$11, 100%, $F$11)</f>
        <v>9.9504000000000001</v>
      </c>
      <c r="C330" s="8">
        <f>CHOOSE( CONTROL!$C$36, 9.9555, 9.9544) * CHOOSE(CONTROL!$C$19, $D$11, 100%, $F$11)</f>
        <v>9.9555000000000007</v>
      </c>
      <c r="D330" s="8">
        <f>CHOOSE( CONTROL!$C$36, 9.9567, 9.9556) * CHOOSE( CONTROL!$C$19, $D$11, 100%, $F$11)</f>
        <v>9.9566999999999997</v>
      </c>
      <c r="E330" s="12">
        <f>CHOOSE( CONTROL!$C$36, 9.9557, 9.9546) * CHOOSE( CONTROL!$C$19, $D$11, 100%, $F$11)</f>
        <v>9.9557000000000002</v>
      </c>
      <c r="F330" s="4">
        <f>CHOOSE( CONTROL!$C$36, 10.6096, 10.6086) * CHOOSE(CONTROL!$C$19, $D$11, 100%, $F$11)</f>
        <v>10.6096</v>
      </c>
      <c r="G330" s="8">
        <f>CHOOSE( CONTROL!$C$36, 9.8583, 9.8572) * CHOOSE( CONTROL!$C$19, $D$11, 100%, $F$11)</f>
        <v>9.8582999999999998</v>
      </c>
      <c r="H330" s="4">
        <f>CHOOSE( CONTROL!$C$36, 10.7355, 10.7344) * CHOOSE(CONTROL!$C$19, $D$11, 100%, $F$11)</f>
        <v>10.7355</v>
      </c>
      <c r="I330" s="8">
        <f>CHOOSE( CONTROL!$C$36, 9.8199, 9.8188) * CHOOSE(CONTROL!$C$19, $D$11, 100%, $F$11)</f>
        <v>9.8199000000000005</v>
      </c>
      <c r="J330" s="4">
        <f>CHOOSE( CONTROL!$C$36, 9.6516, 9.6506) * CHOOSE(CONTROL!$C$19, $D$11, 100%, $F$11)</f>
        <v>9.6516000000000002</v>
      </c>
      <c r="K330" s="4"/>
      <c r="L330" s="9">
        <v>27.415299999999998</v>
      </c>
      <c r="M330" s="9">
        <v>11.285299999999999</v>
      </c>
      <c r="N330" s="9">
        <v>4.6254999999999997</v>
      </c>
      <c r="O330" s="9">
        <v>0.34989999999999999</v>
      </c>
      <c r="P330" s="9">
        <v>1.2093</v>
      </c>
      <c r="Q330" s="9">
        <v>28.365500000000001</v>
      </c>
      <c r="R330" s="9"/>
      <c r="S330" s="11"/>
    </row>
    <row r="331" spans="1:19" ht="15.75">
      <c r="A331" s="13">
        <v>51226</v>
      </c>
      <c r="B331" s="8">
        <f>CHOOSE( CONTROL!$C$36, 9.7382, 9.7371) * CHOOSE(CONTROL!$C$19, $D$11, 100%, $F$11)</f>
        <v>9.7382000000000009</v>
      </c>
      <c r="C331" s="8">
        <f>CHOOSE( CONTROL!$C$36, 9.7433, 9.7422) * CHOOSE(CONTROL!$C$19, $D$11, 100%, $F$11)</f>
        <v>9.7432999999999996</v>
      </c>
      <c r="D331" s="8">
        <f>CHOOSE( CONTROL!$C$36, 9.7439, 9.7428) * CHOOSE( CONTROL!$C$19, $D$11, 100%, $F$11)</f>
        <v>9.7439</v>
      </c>
      <c r="E331" s="12">
        <f>CHOOSE( CONTROL!$C$36, 9.7431, 9.742) * CHOOSE( CONTROL!$C$19, $D$11, 100%, $F$11)</f>
        <v>9.7431000000000001</v>
      </c>
      <c r="F331" s="4">
        <f>CHOOSE( CONTROL!$C$36, 10.3975, 10.3964) * CHOOSE(CONTROL!$C$19, $D$11, 100%, $F$11)</f>
        <v>10.397500000000001</v>
      </c>
      <c r="G331" s="8">
        <f>CHOOSE( CONTROL!$C$36, 9.6486, 9.6475) * CHOOSE( CONTROL!$C$19, $D$11, 100%, $F$11)</f>
        <v>9.6486000000000001</v>
      </c>
      <c r="H331" s="4">
        <f>CHOOSE( CONTROL!$C$36, 10.5263, 10.5252) * CHOOSE(CONTROL!$C$19, $D$11, 100%, $F$11)</f>
        <v>10.526300000000001</v>
      </c>
      <c r="I331" s="8">
        <f>CHOOSE( CONTROL!$C$36, 9.6123, 9.6113) * CHOOSE(CONTROL!$C$19, $D$11, 100%, $F$11)</f>
        <v>9.6122999999999994</v>
      </c>
      <c r="J331" s="4">
        <f>CHOOSE( CONTROL!$C$36, 9.4462, 9.4451) * CHOOSE(CONTROL!$C$19, $D$11, 100%, $F$11)</f>
        <v>9.4461999999999993</v>
      </c>
      <c r="K331" s="4"/>
      <c r="L331" s="9">
        <v>29.306000000000001</v>
      </c>
      <c r="M331" s="9">
        <v>12.063700000000001</v>
      </c>
      <c r="N331" s="9">
        <v>4.9444999999999997</v>
      </c>
      <c r="O331" s="9">
        <v>0.37409999999999999</v>
      </c>
      <c r="P331" s="9">
        <v>1.2927</v>
      </c>
      <c r="Q331" s="9">
        <v>30.3217</v>
      </c>
      <c r="R331" s="9"/>
      <c r="S331" s="11"/>
    </row>
    <row r="332" spans="1:19" ht="15.75">
      <c r="A332" s="13">
        <v>51256</v>
      </c>
      <c r="B332" s="8">
        <f>CHOOSE( CONTROL!$C$36, 9.8873, 9.8862) * CHOOSE(CONTROL!$C$19, $D$11, 100%, $F$11)</f>
        <v>9.8872999999999998</v>
      </c>
      <c r="C332" s="8">
        <f>CHOOSE( CONTROL!$C$36, 9.8918, 9.8907) * CHOOSE(CONTROL!$C$19, $D$11, 100%, $F$11)</f>
        <v>9.8917999999999999</v>
      </c>
      <c r="D332" s="8">
        <f>CHOOSE( CONTROL!$C$36, 9.9122, 9.9111) * CHOOSE( CONTROL!$C$19, $D$11, 100%, $F$11)</f>
        <v>9.9122000000000003</v>
      </c>
      <c r="E332" s="12">
        <f>CHOOSE( CONTROL!$C$36, 9.9049, 9.9038) * CHOOSE( CONTROL!$C$19, $D$11, 100%, $F$11)</f>
        <v>9.9048999999999996</v>
      </c>
      <c r="F332" s="4">
        <f>CHOOSE( CONTROL!$C$36, 10.6216, 10.6206) * CHOOSE(CONTROL!$C$19, $D$11, 100%, $F$11)</f>
        <v>10.621600000000001</v>
      </c>
      <c r="G332" s="8">
        <f>CHOOSE( CONTROL!$C$36, 9.8029, 9.8018) * CHOOSE( CONTROL!$C$19, $D$11, 100%, $F$11)</f>
        <v>9.8028999999999993</v>
      </c>
      <c r="H332" s="4">
        <f>CHOOSE( CONTROL!$C$36, 10.7473, 10.7462) * CHOOSE(CONTROL!$C$19, $D$11, 100%, $F$11)</f>
        <v>10.747299999999999</v>
      </c>
      <c r="I332" s="8">
        <f>CHOOSE( CONTROL!$C$36, 9.7255, 9.7244) * CHOOSE(CONTROL!$C$19, $D$11, 100%, $F$11)</f>
        <v>9.7255000000000003</v>
      </c>
      <c r="J332" s="4">
        <f>CHOOSE( CONTROL!$C$36, 9.5897, 9.5887) * CHOOSE(CONTROL!$C$19, $D$11, 100%, $F$11)</f>
        <v>9.5897000000000006</v>
      </c>
      <c r="K332" s="4"/>
      <c r="L332" s="9">
        <v>30.092199999999998</v>
      </c>
      <c r="M332" s="9">
        <v>11.6745</v>
      </c>
      <c r="N332" s="9">
        <v>4.7850000000000001</v>
      </c>
      <c r="O332" s="9">
        <v>0.36199999999999999</v>
      </c>
      <c r="P332" s="9">
        <v>1.2509999999999999</v>
      </c>
      <c r="Q332" s="9">
        <v>29.343599999999999</v>
      </c>
      <c r="R332" s="9"/>
      <c r="S332" s="11"/>
    </row>
    <row r="333" spans="1:19" ht="15.75">
      <c r="A333" s="13">
        <v>51287</v>
      </c>
      <c r="B333" s="8">
        <f>CHOOSE( CONTROL!$C$36, 10.1531, 10.1514) * CHOOSE(CONTROL!$C$19, $D$11, 100%, $F$11)</f>
        <v>10.1531</v>
      </c>
      <c r="C333" s="8">
        <f>CHOOSE( CONTROL!$C$36, 10.1611, 10.1594) * CHOOSE(CONTROL!$C$19, $D$11, 100%, $F$11)</f>
        <v>10.161099999999999</v>
      </c>
      <c r="D333" s="8">
        <f>CHOOSE( CONTROL!$C$36, 10.1752, 10.1736) * CHOOSE( CONTROL!$C$19, $D$11, 100%, $F$11)</f>
        <v>10.1752</v>
      </c>
      <c r="E333" s="12">
        <f>CHOOSE( CONTROL!$C$36, 10.1689, 10.1672) * CHOOSE( CONTROL!$C$19, $D$11, 100%, $F$11)</f>
        <v>10.168900000000001</v>
      </c>
      <c r="F333" s="4">
        <f>CHOOSE( CONTROL!$C$36, 10.8861, 10.8844) * CHOOSE(CONTROL!$C$19, $D$11, 100%, $F$11)</f>
        <v>10.886100000000001</v>
      </c>
      <c r="G333" s="8">
        <f>CHOOSE( CONTROL!$C$36, 10.0636, 10.0619) * CHOOSE( CONTROL!$C$19, $D$11, 100%, $F$11)</f>
        <v>10.063599999999999</v>
      </c>
      <c r="H333" s="4">
        <f>CHOOSE( CONTROL!$C$36, 11.0081, 11.0064) * CHOOSE(CONTROL!$C$19, $D$11, 100%, $F$11)</f>
        <v>11.008100000000001</v>
      </c>
      <c r="I333" s="8">
        <f>CHOOSE( CONTROL!$C$36, 9.9812, 9.9796) * CHOOSE(CONTROL!$C$19, $D$11, 100%, $F$11)</f>
        <v>9.9811999999999994</v>
      </c>
      <c r="J333" s="4">
        <f>CHOOSE( CONTROL!$C$36, 9.8458, 9.8442) * CHOOSE(CONTROL!$C$19, $D$11, 100%, $F$11)</f>
        <v>9.8458000000000006</v>
      </c>
      <c r="K333" s="4"/>
      <c r="L333" s="9">
        <v>30.7165</v>
      </c>
      <c r="M333" s="9">
        <v>12.063700000000001</v>
      </c>
      <c r="N333" s="9">
        <v>4.9444999999999997</v>
      </c>
      <c r="O333" s="9">
        <v>0.37409999999999999</v>
      </c>
      <c r="P333" s="9">
        <v>1.2927</v>
      </c>
      <c r="Q333" s="9">
        <v>30.3217</v>
      </c>
      <c r="R333" s="9"/>
      <c r="S333" s="11"/>
    </row>
    <row r="334" spans="1:19" ht="15.75">
      <c r="A334" s="13">
        <v>51317</v>
      </c>
      <c r="B334" s="8">
        <f>CHOOSE( CONTROL!$C$36, 9.9896, 9.9879) * CHOOSE(CONTROL!$C$19, $D$11, 100%, $F$11)</f>
        <v>9.9895999999999994</v>
      </c>
      <c r="C334" s="8">
        <f>CHOOSE( CONTROL!$C$36, 9.9976, 9.9959) * CHOOSE(CONTROL!$C$19, $D$11, 100%, $F$11)</f>
        <v>9.9976000000000003</v>
      </c>
      <c r="D334" s="8">
        <f>CHOOSE( CONTROL!$C$36, 10.012, 10.0103) * CHOOSE( CONTROL!$C$19, $D$11, 100%, $F$11)</f>
        <v>10.012</v>
      </c>
      <c r="E334" s="12">
        <f>CHOOSE( CONTROL!$C$36, 10.0056, 10.0039) * CHOOSE( CONTROL!$C$19, $D$11, 100%, $F$11)</f>
        <v>10.005599999999999</v>
      </c>
      <c r="F334" s="4">
        <f>CHOOSE( CONTROL!$C$36, 10.7226, 10.721) * CHOOSE(CONTROL!$C$19, $D$11, 100%, $F$11)</f>
        <v>10.7226</v>
      </c>
      <c r="G334" s="8">
        <f>CHOOSE( CONTROL!$C$36, 9.9026, 9.9009) * CHOOSE( CONTROL!$C$19, $D$11, 100%, $F$11)</f>
        <v>9.9025999999999996</v>
      </c>
      <c r="H334" s="4">
        <f>CHOOSE( CONTROL!$C$36, 10.8469, 10.8452) * CHOOSE(CONTROL!$C$19, $D$11, 100%, $F$11)</f>
        <v>10.8469</v>
      </c>
      <c r="I334" s="8">
        <f>CHOOSE( CONTROL!$C$36, 9.8236, 9.8219) * CHOOSE(CONTROL!$C$19, $D$11, 100%, $F$11)</f>
        <v>9.8236000000000008</v>
      </c>
      <c r="J334" s="4">
        <f>CHOOSE( CONTROL!$C$36, 9.6875, 9.6859) * CHOOSE(CONTROL!$C$19, $D$11, 100%, $F$11)</f>
        <v>9.6875</v>
      </c>
      <c r="K334" s="4"/>
      <c r="L334" s="9">
        <v>29.7257</v>
      </c>
      <c r="M334" s="9">
        <v>11.6745</v>
      </c>
      <c r="N334" s="9">
        <v>4.7850000000000001</v>
      </c>
      <c r="O334" s="9">
        <v>0.36199999999999999</v>
      </c>
      <c r="P334" s="9">
        <v>1.2509999999999999</v>
      </c>
      <c r="Q334" s="9">
        <v>29.343599999999999</v>
      </c>
      <c r="R334" s="9"/>
      <c r="S334" s="11"/>
    </row>
    <row r="335" spans="1:19" ht="15.75">
      <c r="A335" s="13">
        <v>51348</v>
      </c>
      <c r="B335" s="8">
        <f>CHOOSE( CONTROL!$C$36, 10.42, 10.4184) * CHOOSE(CONTROL!$C$19, $D$11, 100%, $F$11)</f>
        <v>10.42</v>
      </c>
      <c r="C335" s="8">
        <f>CHOOSE( CONTROL!$C$36, 10.428, 10.4264) * CHOOSE(CONTROL!$C$19, $D$11, 100%, $F$11)</f>
        <v>10.428000000000001</v>
      </c>
      <c r="D335" s="8">
        <f>CHOOSE( CONTROL!$C$36, 10.4427, 10.441) * CHOOSE( CONTROL!$C$19, $D$11, 100%, $F$11)</f>
        <v>10.4427</v>
      </c>
      <c r="E335" s="12">
        <f>CHOOSE( CONTROL!$C$36, 10.4362, 10.4345) * CHOOSE( CONTROL!$C$19, $D$11, 100%, $F$11)</f>
        <v>10.436199999999999</v>
      </c>
      <c r="F335" s="4">
        <f>CHOOSE( CONTROL!$C$36, 11.1531, 11.1514) * CHOOSE(CONTROL!$C$19, $D$11, 100%, $F$11)</f>
        <v>11.1531</v>
      </c>
      <c r="G335" s="8">
        <f>CHOOSE( CONTROL!$C$36, 10.3272, 10.3255) * CHOOSE( CONTROL!$C$19, $D$11, 100%, $F$11)</f>
        <v>10.327199999999999</v>
      </c>
      <c r="H335" s="4">
        <f>CHOOSE( CONTROL!$C$36, 11.2713, 11.2697) * CHOOSE(CONTROL!$C$19, $D$11, 100%, $F$11)</f>
        <v>11.2713</v>
      </c>
      <c r="I335" s="8">
        <f>CHOOSE( CONTROL!$C$36, 10.2414, 10.2398) * CHOOSE(CONTROL!$C$19, $D$11, 100%, $F$11)</f>
        <v>10.241400000000001</v>
      </c>
      <c r="J335" s="4">
        <f>CHOOSE( CONTROL!$C$36, 10.1043, 10.1027) * CHOOSE(CONTROL!$C$19, $D$11, 100%, $F$11)</f>
        <v>10.1043</v>
      </c>
      <c r="K335" s="4"/>
      <c r="L335" s="9">
        <v>30.7165</v>
      </c>
      <c r="M335" s="9">
        <v>12.063700000000001</v>
      </c>
      <c r="N335" s="9">
        <v>4.9444999999999997</v>
      </c>
      <c r="O335" s="9">
        <v>0.37409999999999999</v>
      </c>
      <c r="P335" s="9">
        <v>1.2927</v>
      </c>
      <c r="Q335" s="9">
        <v>30.3217</v>
      </c>
      <c r="R335" s="9"/>
      <c r="S335" s="11"/>
    </row>
    <row r="336" spans="1:19" ht="15.75">
      <c r="A336" s="13">
        <v>51379</v>
      </c>
      <c r="B336" s="8">
        <f>CHOOSE( CONTROL!$C$36, 9.6146, 9.613) * CHOOSE(CONTROL!$C$19, $D$11, 100%, $F$11)</f>
        <v>9.6145999999999994</v>
      </c>
      <c r="C336" s="8">
        <f>CHOOSE( CONTROL!$C$36, 9.6226, 9.621) * CHOOSE(CONTROL!$C$19, $D$11, 100%, $F$11)</f>
        <v>9.6226000000000003</v>
      </c>
      <c r="D336" s="8">
        <f>CHOOSE( CONTROL!$C$36, 9.6373, 9.6357) * CHOOSE( CONTROL!$C$19, $D$11, 100%, $F$11)</f>
        <v>9.6372999999999998</v>
      </c>
      <c r="E336" s="12">
        <f>CHOOSE( CONTROL!$C$36, 9.6308, 9.6292) * CHOOSE( CONTROL!$C$19, $D$11, 100%, $F$11)</f>
        <v>9.6308000000000007</v>
      </c>
      <c r="F336" s="4">
        <f>CHOOSE( CONTROL!$C$36, 10.3477, 10.346) * CHOOSE(CONTROL!$C$19, $D$11, 100%, $F$11)</f>
        <v>10.3477</v>
      </c>
      <c r="G336" s="8">
        <f>CHOOSE( CONTROL!$C$36, 9.5331, 9.5314) * CHOOSE( CONTROL!$C$19, $D$11, 100%, $F$11)</f>
        <v>9.5330999999999992</v>
      </c>
      <c r="H336" s="4">
        <f>CHOOSE( CONTROL!$C$36, 10.4772, 10.4755) * CHOOSE(CONTROL!$C$19, $D$11, 100%, $F$11)</f>
        <v>10.4772</v>
      </c>
      <c r="I336" s="8">
        <f>CHOOSE( CONTROL!$C$36, 9.4613, 9.4597) * CHOOSE(CONTROL!$C$19, $D$11, 100%, $F$11)</f>
        <v>9.4612999999999996</v>
      </c>
      <c r="J336" s="4">
        <f>CHOOSE( CONTROL!$C$36, 9.3245, 9.3229) * CHOOSE(CONTROL!$C$19, $D$11, 100%, $F$11)</f>
        <v>9.3245000000000005</v>
      </c>
      <c r="K336" s="4"/>
      <c r="L336" s="9">
        <v>30.7165</v>
      </c>
      <c r="M336" s="9">
        <v>12.063700000000001</v>
      </c>
      <c r="N336" s="9">
        <v>4.9444999999999997</v>
      </c>
      <c r="O336" s="9">
        <v>0.37409999999999999</v>
      </c>
      <c r="P336" s="9">
        <v>1.2927</v>
      </c>
      <c r="Q336" s="9">
        <v>30.3217</v>
      </c>
      <c r="R336" s="9"/>
      <c r="S336" s="11"/>
    </row>
    <row r="337" spans="1:19" ht="15.75">
      <c r="A337" s="13">
        <v>51409</v>
      </c>
      <c r="B337" s="8">
        <f>CHOOSE( CONTROL!$C$36, 9.413, 9.4113) * CHOOSE(CONTROL!$C$19, $D$11, 100%, $F$11)</f>
        <v>9.4130000000000003</v>
      </c>
      <c r="C337" s="8">
        <f>CHOOSE( CONTROL!$C$36, 9.421, 9.4193) * CHOOSE(CONTROL!$C$19, $D$11, 100%, $F$11)</f>
        <v>9.4209999999999994</v>
      </c>
      <c r="D337" s="8">
        <f>CHOOSE( CONTROL!$C$36, 9.4356, 9.4339) * CHOOSE( CONTROL!$C$19, $D$11, 100%, $F$11)</f>
        <v>9.4356000000000009</v>
      </c>
      <c r="E337" s="12">
        <f>CHOOSE( CONTROL!$C$36, 9.4291, 9.4274) * CHOOSE( CONTROL!$C$19, $D$11, 100%, $F$11)</f>
        <v>9.4291</v>
      </c>
      <c r="F337" s="4">
        <f>CHOOSE( CONTROL!$C$36, 10.146, 10.1443) * CHOOSE(CONTROL!$C$19, $D$11, 100%, $F$11)</f>
        <v>10.146000000000001</v>
      </c>
      <c r="G337" s="8">
        <f>CHOOSE( CONTROL!$C$36, 9.3341, 9.3325) * CHOOSE( CONTROL!$C$19, $D$11, 100%, $F$11)</f>
        <v>9.3340999999999994</v>
      </c>
      <c r="H337" s="4">
        <f>CHOOSE( CONTROL!$C$36, 10.2783, 10.2767) * CHOOSE(CONTROL!$C$19, $D$11, 100%, $F$11)</f>
        <v>10.2783</v>
      </c>
      <c r="I337" s="8">
        <f>CHOOSE( CONTROL!$C$36, 9.2656, 9.264) * CHOOSE(CONTROL!$C$19, $D$11, 100%, $F$11)</f>
        <v>9.2655999999999992</v>
      </c>
      <c r="J337" s="4">
        <f>CHOOSE( CONTROL!$C$36, 9.1292, 9.1276) * CHOOSE(CONTROL!$C$19, $D$11, 100%, $F$11)</f>
        <v>9.1292000000000009</v>
      </c>
      <c r="K337" s="4"/>
      <c r="L337" s="9">
        <v>29.7257</v>
      </c>
      <c r="M337" s="9">
        <v>11.6745</v>
      </c>
      <c r="N337" s="9">
        <v>4.7850000000000001</v>
      </c>
      <c r="O337" s="9">
        <v>0.36199999999999999</v>
      </c>
      <c r="P337" s="9">
        <v>1.2509999999999999</v>
      </c>
      <c r="Q337" s="9">
        <v>29.343599999999999</v>
      </c>
      <c r="R337" s="9"/>
      <c r="S337" s="11"/>
    </row>
    <row r="338" spans="1:19" ht="15.75">
      <c r="A338" s="13">
        <v>51440</v>
      </c>
      <c r="B338" s="8">
        <f>CHOOSE( CONTROL!$C$36, 9.8294, 9.8283) * CHOOSE(CONTROL!$C$19, $D$11, 100%, $F$11)</f>
        <v>9.8293999999999997</v>
      </c>
      <c r="C338" s="8">
        <f>CHOOSE( CONTROL!$C$36, 9.8348, 9.8337) * CHOOSE(CONTROL!$C$19, $D$11, 100%, $F$11)</f>
        <v>9.8347999999999995</v>
      </c>
      <c r="D338" s="8">
        <f>CHOOSE( CONTROL!$C$36, 9.8553, 9.8542) * CHOOSE( CONTROL!$C$19, $D$11, 100%, $F$11)</f>
        <v>9.8552999999999997</v>
      </c>
      <c r="E338" s="12">
        <f>CHOOSE( CONTROL!$C$36, 9.848, 9.8469) * CHOOSE( CONTROL!$C$19, $D$11, 100%, $F$11)</f>
        <v>9.8480000000000008</v>
      </c>
      <c r="F338" s="4">
        <f>CHOOSE( CONTROL!$C$36, 10.5642, 10.5631) * CHOOSE(CONTROL!$C$19, $D$11, 100%, $F$11)</f>
        <v>10.5642</v>
      </c>
      <c r="G338" s="8">
        <f>CHOOSE( CONTROL!$C$36, 9.7467, 9.7456) * CHOOSE( CONTROL!$C$19, $D$11, 100%, $F$11)</f>
        <v>9.7467000000000006</v>
      </c>
      <c r="H338" s="4">
        <f>CHOOSE( CONTROL!$C$36, 10.6906, 10.6896) * CHOOSE(CONTROL!$C$19, $D$11, 100%, $F$11)</f>
        <v>10.6906</v>
      </c>
      <c r="I338" s="8">
        <f>CHOOSE( CONTROL!$C$36, 9.6718, 9.6707) * CHOOSE(CONTROL!$C$19, $D$11, 100%, $F$11)</f>
        <v>9.6717999999999993</v>
      </c>
      <c r="J338" s="4">
        <f>CHOOSE( CONTROL!$C$36, 9.5341, 9.533) * CHOOSE(CONTROL!$C$19, $D$11, 100%, $F$11)</f>
        <v>9.5341000000000005</v>
      </c>
      <c r="K338" s="4"/>
      <c r="L338" s="9">
        <v>31.095300000000002</v>
      </c>
      <c r="M338" s="9">
        <v>12.063700000000001</v>
      </c>
      <c r="N338" s="9">
        <v>4.9444999999999997</v>
      </c>
      <c r="O338" s="9">
        <v>0.37409999999999999</v>
      </c>
      <c r="P338" s="9">
        <v>1.2927</v>
      </c>
      <c r="Q338" s="9">
        <v>30.3217</v>
      </c>
      <c r="R338" s="9"/>
      <c r="S338" s="11"/>
    </row>
    <row r="339" spans="1:19" ht="15.75">
      <c r="A339" s="13">
        <v>51470</v>
      </c>
      <c r="B339" s="8">
        <f>CHOOSE( CONTROL!$C$36, 10.6019, 10.6009) * CHOOSE(CONTROL!$C$19, $D$11, 100%, $F$11)</f>
        <v>10.601900000000001</v>
      </c>
      <c r="C339" s="8">
        <f>CHOOSE( CONTROL!$C$36, 10.607, 10.606) * CHOOSE(CONTROL!$C$19, $D$11, 100%, $F$11)</f>
        <v>10.606999999999999</v>
      </c>
      <c r="D339" s="8">
        <f>CHOOSE( CONTROL!$C$36, 10.5863, 10.5852) * CHOOSE( CONTROL!$C$19, $D$11, 100%, $F$11)</f>
        <v>10.5863</v>
      </c>
      <c r="E339" s="12">
        <f>CHOOSE( CONTROL!$C$36, 10.5933, 10.5923) * CHOOSE( CONTROL!$C$19, $D$11, 100%, $F$11)</f>
        <v>10.593299999999999</v>
      </c>
      <c r="F339" s="4">
        <f>CHOOSE( CONTROL!$C$36, 11.2612, 11.2601) * CHOOSE(CONTROL!$C$19, $D$11, 100%, $F$11)</f>
        <v>11.261200000000001</v>
      </c>
      <c r="G339" s="8">
        <f>CHOOSE( CONTROL!$C$36, 10.4888, 10.4877) * CHOOSE( CONTROL!$C$19, $D$11, 100%, $F$11)</f>
        <v>10.488799999999999</v>
      </c>
      <c r="H339" s="4">
        <f>CHOOSE( CONTROL!$C$36, 11.3779, 11.3769) * CHOOSE(CONTROL!$C$19, $D$11, 100%, $F$11)</f>
        <v>11.3779</v>
      </c>
      <c r="I339" s="8">
        <f>CHOOSE( CONTROL!$C$36, 10.4697, 10.4686) * CHOOSE(CONTROL!$C$19, $D$11, 100%, $F$11)</f>
        <v>10.4697</v>
      </c>
      <c r="J339" s="4">
        <f>CHOOSE( CONTROL!$C$36, 10.2825, 10.2815) * CHOOSE(CONTROL!$C$19, $D$11, 100%, $F$11)</f>
        <v>10.282500000000001</v>
      </c>
      <c r="K339" s="4"/>
      <c r="L339" s="9">
        <v>28.360600000000002</v>
      </c>
      <c r="M339" s="9">
        <v>11.6745</v>
      </c>
      <c r="N339" s="9">
        <v>4.7850000000000001</v>
      </c>
      <c r="O339" s="9">
        <v>0.36199999999999999</v>
      </c>
      <c r="P339" s="9">
        <v>1.2509999999999999</v>
      </c>
      <c r="Q339" s="9">
        <v>29.343599999999999</v>
      </c>
      <c r="R339" s="9"/>
      <c r="S339" s="11"/>
    </row>
    <row r="340" spans="1:19" ht="15.75">
      <c r="A340" s="13">
        <v>51501</v>
      </c>
      <c r="B340" s="8">
        <f>CHOOSE( CONTROL!$C$36, 10.5826, 10.5816) * CHOOSE(CONTROL!$C$19, $D$11, 100%, $F$11)</f>
        <v>10.582599999999999</v>
      </c>
      <c r="C340" s="8">
        <f>CHOOSE( CONTROL!$C$36, 10.5877, 10.5867) * CHOOSE(CONTROL!$C$19, $D$11, 100%, $F$11)</f>
        <v>10.5877</v>
      </c>
      <c r="D340" s="8">
        <f>CHOOSE( CONTROL!$C$36, 10.5683, 10.5673) * CHOOSE( CONTROL!$C$19, $D$11, 100%, $F$11)</f>
        <v>10.568300000000001</v>
      </c>
      <c r="E340" s="12">
        <f>CHOOSE( CONTROL!$C$36, 10.5749, 10.5739) * CHOOSE( CONTROL!$C$19, $D$11, 100%, $F$11)</f>
        <v>10.5749</v>
      </c>
      <c r="F340" s="4">
        <f>CHOOSE( CONTROL!$C$36, 11.2419, 11.2408) * CHOOSE(CONTROL!$C$19, $D$11, 100%, $F$11)</f>
        <v>11.241899999999999</v>
      </c>
      <c r="G340" s="8">
        <f>CHOOSE( CONTROL!$C$36, 10.4707, 10.4697) * CHOOSE( CONTROL!$C$19, $D$11, 100%, $F$11)</f>
        <v>10.470700000000001</v>
      </c>
      <c r="H340" s="4">
        <f>CHOOSE( CONTROL!$C$36, 11.3589, 11.3578) * CHOOSE(CONTROL!$C$19, $D$11, 100%, $F$11)</f>
        <v>11.3589</v>
      </c>
      <c r="I340" s="8">
        <f>CHOOSE( CONTROL!$C$36, 10.4553, 10.4542) * CHOOSE(CONTROL!$C$19, $D$11, 100%, $F$11)</f>
        <v>10.455299999999999</v>
      </c>
      <c r="J340" s="4">
        <f>CHOOSE( CONTROL!$C$36, 10.2638, 10.2628) * CHOOSE(CONTROL!$C$19, $D$11, 100%, $F$11)</f>
        <v>10.2638</v>
      </c>
      <c r="K340" s="4"/>
      <c r="L340" s="9">
        <v>29.306000000000001</v>
      </c>
      <c r="M340" s="9">
        <v>12.063700000000001</v>
      </c>
      <c r="N340" s="9">
        <v>4.9444999999999997</v>
      </c>
      <c r="O340" s="9">
        <v>0.37409999999999999</v>
      </c>
      <c r="P340" s="9">
        <v>1.2927</v>
      </c>
      <c r="Q340" s="9">
        <v>30.3217</v>
      </c>
      <c r="R340" s="9"/>
      <c r="S340" s="11"/>
    </row>
    <row r="341" spans="1:19" ht="15.75">
      <c r="A341" s="13">
        <v>51532</v>
      </c>
      <c r="B341" s="8">
        <f>CHOOSE( CONTROL!$C$36, 10.8953, 10.8942) * CHOOSE(CONTROL!$C$19, $D$11, 100%, $F$11)</f>
        <v>10.895300000000001</v>
      </c>
      <c r="C341" s="8">
        <f>CHOOSE( CONTROL!$C$36, 10.9004, 10.8993) * CHOOSE(CONTROL!$C$19, $D$11, 100%, $F$11)</f>
        <v>10.900399999999999</v>
      </c>
      <c r="D341" s="8">
        <f>CHOOSE( CONTROL!$C$36, 10.9017, 10.9006) * CHOOSE( CONTROL!$C$19, $D$11, 100%, $F$11)</f>
        <v>10.9017</v>
      </c>
      <c r="E341" s="12">
        <f>CHOOSE( CONTROL!$C$36, 10.9007, 10.8996) * CHOOSE( CONTROL!$C$19, $D$11, 100%, $F$11)</f>
        <v>10.900700000000001</v>
      </c>
      <c r="F341" s="4">
        <f>CHOOSE( CONTROL!$C$36, 11.5545, 11.5534) * CHOOSE(CONTROL!$C$19, $D$11, 100%, $F$11)</f>
        <v>11.554500000000001</v>
      </c>
      <c r="G341" s="8">
        <f>CHOOSE( CONTROL!$C$36, 10.7901, 10.789) * CHOOSE( CONTROL!$C$19, $D$11, 100%, $F$11)</f>
        <v>10.790100000000001</v>
      </c>
      <c r="H341" s="4">
        <f>CHOOSE( CONTROL!$C$36, 11.6672, 11.6661) * CHOOSE(CONTROL!$C$19, $D$11, 100%, $F$11)</f>
        <v>11.667199999999999</v>
      </c>
      <c r="I341" s="8">
        <f>CHOOSE( CONTROL!$C$36, 10.7357, 10.7346) * CHOOSE(CONTROL!$C$19, $D$11, 100%, $F$11)</f>
        <v>10.7357</v>
      </c>
      <c r="J341" s="4">
        <f>CHOOSE( CONTROL!$C$36, 10.5665, 10.5655) * CHOOSE(CONTROL!$C$19, $D$11, 100%, $F$11)</f>
        <v>10.5665</v>
      </c>
      <c r="K341" s="4"/>
      <c r="L341" s="9">
        <v>29.306000000000001</v>
      </c>
      <c r="M341" s="9">
        <v>12.063700000000001</v>
      </c>
      <c r="N341" s="9">
        <v>4.9444999999999997</v>
      </c>
      <c r="O341" s="9">
        <v>0.37409999999999999</v>
      </c>
      <c r="P341" s="9">
        <v>1.2927</v>
      </c>
      <c r="Q341" s="9">
        <v>30.258500000000002</v>
      </c>
      <c r="R341" s="9"/>
      <c r="S341" s="11"/>
    </row>
    <row r="342" spans="1:19" ht="15.75">
      <c r="A342" s="13">
        <v>51560</v>
      </c>
      <c r="B342" s="8">
        <f>CHOOSE( CONTROL!$C$36, 10.1899, 10.1888) * CHOOSE(CONTROL!$C$19, $D$11, 100%, $F$11)</f>
        <v>10.1899</v>
      </c>
      <c r="C342" s="8">
        <f>CHOOSE( CONTROL!$C$36, 10.195, 10.1939) * CHOOSE(CONTROL!$C$19, $D$11, 100%, $F$11)</f>
        <v>10.195</v>
      </c>
      <c r="D342" s="8">
        <f>CHOOSE( CONTROL!$C$36, 10.1961, 10.195) * CHOOSE( CONTROL!$C$19, $D$11, 100%, $F$11)</f>
        <v>10.196099999999999</v>
      </c>
      <c r="E342" s="12">
        <f>CHOOSE( CONTROL!$C$36, 10.1952, 10.1941) * CHOOSE( CONTROL!$C$19, $D$11, 100%, $F$11)</f>
        <v>10.1952</v>
      </c>
      <c r="F342" s="4">
        <f>CHOOSE( CONTROL!$C$36, 10.8491, 10.848) * CHOOSE(CONTROL!$C$19, $D$11, 100%, $F$11)</f>
        <v>10.8491</v>
      </c>
      <c r="G342" s="8">
        <f>CHOOSE( CONTROL!$C$36, 10.0944, 10.0933) * CHOOSE( CONTROL!$C$19, $D$11, 100%, $F$11)</f>
        <v>10.0944</v>
      </c>
      <c r="H342" s="4">
        <f>CHOOSE( CONTROL!$C$36, 10.9716, 10.9705) * CHOOSE(CONTROL!$C$19, $D$11, 100%, $F$11)</f>
        <v>10.9716</v>
      </c>
      <c r="I342" s="8">
        <f>CHOOSE( CONTROL!$C$36, 10.0519, 10.0508) * CHOOSE(CONTROL!$C$19, $D$11, 100%, $F$11)</f>
        <v>10.0519</v>
      </c>
      <c r="J342" s="4">
        <f>CHOOSE( CONTROL!$C$36, 9.8835, 9.8825) * CHOOSE(CONTROL!$C$19, $D$11, 100%, $F$11)</f>
        <v>9.8834999999999997</v>
      </c>
      <c r="K342" s="4"/>
      <c r="L342" s="9">
        <v>26.469899999999999</v>
      </c>
      <c r="M342" s="9">
        <v>10.8962</v>
      </c>
      <c r="N342" s="9">
        <v>4.4660000000000002</v>
      </c>
      <c r="O342" s="9">
        <v>0.33789999999999998</v>
      </c>
      <c r="P342" s="9">
        <v>1.1676</v>
      </c>
      <c r="Q342" s="9">
        <v>27.330200000000001</v>
      </c>
      <c r="R342" s="9"/>
      <c r="S342" s="11"/>
    </row>
    <row r="343" spans="1:19" ht="15.75">
      <c r="A343" s="13">
        <v>51591</v>
      </c>
      <c r="B343" s="8">
        <f>CHOOSE( CONTROL!$C$36, 9.9726, 9.9715) * CHOOSE(CONTROL!$C$19, $D$11, 100%, $F$11)</f>
        <v>9.9725999999999999</v>
      </c>
      <c r="C343" s="8">
        <f>CHOOSE( CONTROL!$C$36, 9.9777, 9.9766) * CHOOSE(CONTROL!$C$19, $D$11, 100%, $F$11)</f>
        <v>9.9777000000000005</v>
      </c>
      <c r="D343" s="8">
        <f>CHOOSE( CONTROL!$C$36, 9.9782, 9.9771) * CHOOSE( CONTROL!$C$19, $D$11, 100%, $F$11)</f>
        <v>9.9781999999999993</v>
      </c>
      <c r="E343" s="12">
        <f>CHOOSE( CONTROL!$C$36, 9.9775, 9.9764) * CHOOSE( CONTROL!$C$19, $D$11, 100%, $F$11)</f>
        <v>9.9774999999999991</v>
      </c>
      <c r="F343" s="4">
        <f>CHOOSE( CONTROL!$C$36, 10.6319, 10.6308) * CHOOSE(CONTROL!$C$19, $D$11, 100%, $F$11)</f>
        <v>10.6319</v>
      </c>
      <c r="G343" s="8">
        <f>CHOOSE( CONTROL!$C$36, 9.8797, 9.8786) * CHOOSE( CONTROL!$C$19, $D$11, 100%, $F$11)</f>
        <v>9.8796999999999997</v>
      </c>
      <c r="H343" s="4">
        <f>CHOOSE( CONTROL!$C$36, 10.7574, 10.7563) * CHOOSE(CONTROL!$C$19, $D$11, 100%, $F$11)</f>
        <v>10.757400000000001</v>
      </c>
      <c r="I343" s="8">
        <f>CHOOSE( CONTROL!$C$36, 9.8394, 9.8383) * CHOOSE(CONTROL!$C$19, $D$11, 100%, $F$11)</f>
        <v>9.8393999999999995</v>
      </c>
      <c r="J343" s="4">
        <f>CHOOSE( CONTROL!$C$36, 9.6731, 9.6721) * CHOOSE(CONTROL!$C$19, $D$11, 100%, $F$11)</f>
        <v>9.6730999999999998</v>
      </c>
      <c r="K343" s="4"/>
      <c r="L343" s="9">
        <v>29.306000000000001</v>
      </c>
      <c r="M343" s="9">
        <v>12.063700000000001</v>
      </c>
      <c r="N343" s="9">
        <v>4.9444999999999997</v>
      </c>
      <c r="O343" s="9">
        <v>0.37409999999999999</v>
      </c>
      <c r="P343" s="9">
        <v>1.2927</v>
      </c>
      <c r="Q343" s="9">
        <v>30.258500000000002</v>
      </c>
      <c r="R343" s="9"/>
      <c r="S343" s="11"/>
    </row>
    <row r="344" spans="1:19" ht="15.75">
      <c r="A344" s="13">
        <v>51621</v>
      </c>
      <c r="B344" s="8">
        <f>CHOOSE( CONTROL!$C$36, 10.1252, 10.1241) * CHOOSE(CONTROL!$C$19, $D$11, 100%, $F$11)</f>
        <v>10.1252</v>
      </c>
      <c r="C344" s="8">
        <f>CHOOSE( CONTROL!$C$36, 10.1297, 10.1286) * CHOOSE(CONTROL!$C$19, $D$11, 100%, $F$11)</f>
        <v>10.1297</v>
      </c>
      <c r="D344" s="8">
        <f>CHOOSE( CONTROL!$C$36, 10.1501, 10.149) * CHOOSE( CONTROL!$C$19, $D$11, 100%, $F$11)</f>
        <v>10.1501</v>
      </c>
      <c r="E344" s="12">
        <f>CHOOSE( CONTROL!$C$36, 10.1428, 10.1417) * CHOOSE( CONTROL!$C$19, $D$11, 100%, $F$11)</f>
        <v>10.142799999999999</v>
      </c>
      <c r="F344" s="4">
        <f>CHOOSE( CONTROL!$C$36, 10.8596, 10.8585) * CHOOSE(CONTROL!$C$19, $D$11, 100%, $F$11)</f>
        <v>10.8596</v>
      </c>
      <c r="G344" s="8">
        <f>CHOOSE( CONTROL!$C$36, 10.0375, 10.0364) * CHOOSE( CONTROL!$C$19, $D$11, 100%, $F$11)</f>
        <v>10.0375</v>
      </c>
      <c r="H344" s="4">
        <f>CHOOSE( CONTROL!$C$36, 10.9819, 10.9809) * CHOOSE(CONTROL!$C$19, $D$11, 100%, $F$11)</f>
        <v>10.9819</v>
      </c>
      <c r="I344" s="8">
        <f>CHOOSE( CONTROL!$C$36, 9.956, 9.9549) * CHOOSE(CONTROL!$C$19, $D$11, 100%, $F$11)</f>
        <v>9.9559999999999995</v>
      </c>
      <c r="J344" s="4">
        <f>CHOOSE( CONTROL!$C$36, 9.8201, 9.8191) * CHOOSE(CONTROL!$C$19, $D$11, 100%, $F$11)</f>
        <v>9.8201000000000001</v>
      </c>
      <c r="K344" s="4"/>
      <c r="L344" s="9">
        <v>30.092199999999998</v>
      </c>
      <c r="M344" s="9">
        <v>11.6745</v>
      </c>
      <c r="N344" s="9">
        <v>4.7850000000000001</v>
      </c>
      <c r="O344" s="9">
        <v>0.36199999999999999</v>
      </c>
      <c r="P344" s="9">
        <v>1.2509999999999999</v>
      </c>
      <c r="Q344" s="9">
        <v>29.282399999999999</v>
      </c>
      <c r="R344" s="9"/>
      <c r="S344" s="11"/>
    </row>
    <row r="345" spans="1:19" ht="15.75">
      <c r="A345" s="13">
        <v>51652</v>
      </c>
      <c r="B345" s="8">
        <f>CHOOSE( CONTROL!$C$36, 10.3973, 10.3957) * CHOOSE(CONTROL!$C$19, $D$11, 100%, $F$11)</f>
        <v>10.3973</v>
      </c>
      <c r="C345" s="8">
        <f>CHOOSE( CONTROL!$C$36, 10.4053, 10.4037) * CHOOSE(CONTROL!$C$19, $D$11, 100%, $F$11)</f>
        <v>10.4053</v>
      </c>
      <c r="D345" s="8">
        <f>CHOOSE( CONTROL!$C$36, 10.4195, 10.4179) * CHOOSE( CONTROL!$C$19, $D$11, 100%, $F$11)</f>
        <v>10.419499999999999</v>
      </c>
      <c r="E345" s="12">
        <f>CHOOSE( CONTROL!$C$36, 10.4131, 10.4115) * CHOOSE( CONTROL!$C$19, $D$11, 100%, $F$11)</f>
        <v>10.4131</v>
      </c>
      <c r="F345" s="4">
        <f>CHOOSE( CONTROL!$C$36, 11.1304, 11.1287) * CHOOSE(CONTROL!$C$19, $D$11, 100%, $F$11)</f>
        <v>11.1304</v>
      </c>
      <c r="G345" s="8">
        <f>CHOOSE( CONTROL!$C$36, 10.3045, 10.3028) * CHOOSE( CONTROL!$C$19, $D$11, 100%, $F$11)</f>
        <v>10.304500000000001</v>
      </c>
      <c r="H345" s="4">
        <f>CHOOSE( CONTROL!$C$36, 11.2489, 11.2473) * CHOOSE(CONTROL!$C$19, $D$11, 100%, $F$11)</f>
        <v>11.248900000000001</v>
      </c>
      <c r="I345" s="8">
        <f>CHOOSE( CONTROL!$C$36, 10.2179, 10.2163) * CHOOSE(CONTROL!$C$19, $D$11, 100%, $F$11)</f>
        <v>10.2179</v>
      </c>
      <c r="J345" s="4">
        <f>CHOOSE( CONTROL!$C$36, 10.0823, 10.0807) * CHOOSE(CONTROL!$C$19, $D$11, 100%, $F$11)</f>
        <v>10.0823</v>
      </c>
      <c r="K345" s="4"/>
      <c r="L345" s="9">
        <v>30.7165</v>
      </c>
      <c r="M345" s="9">
        <v>12.063700000000001</v>
      </c>
      <c r="N345" s="9">
        <v>4.9444999999999997</v>
      </c>
      <c r="O345" s="9">
        <v>0.37409999999999999</v>
      </c>
      <c r="P345" s="9">
        <v>1.2927</v>
      </c>
      <c r="Q345" s="9">
        <v>30.258500000000002</v>
      </c>
      <c r="R345" s="9"/>
      <c r="S345" s="11"/>
    </row>
    <row r="346" spans="1:19" ht="15.75">
      <c r="A346" s="13">
        <v>51682</v>
      </c>
      <c r="B346" s="8">
        <f>CHOOSE( CONTROL!$C$36, 10.2299, 10.2283) * CHOOSE(CONTROL!$C$19, $D$11, 100%, $F$11)</f>
        <v>10.229900000000001</v>
      </c>
      <c r="C346" s="8">
        <f>CHOOSE( CONTROL!$C$36, 10.2379, 10.2363) * CHOOSE(CONTROL!$C$19, $D$11, 100%, $F$11)</f>
        <v>10.2379</v>
      </c>
      <c r="D346" s="8">
        <f>CHOOSE( CONTROL!$C$36, 10.2523, 10.2507) * CHOOSE( CONTROL!$C$19, $D$11, 100%, $F$11)</f>
        <v>10.2523</v>
      </c>
      <c r="E346" s="12">
        <f>CHOOSE( CONTROL!$C$36, 10.2459, 10.2443) * CHOOSE( CONTROL!$C$19, $D$11, 100%, $F$11)</f>
        <v>10.245900000000001</v>
      </c>
      <c r="F346" s="4">
        <f>CHOOSE( CONTROL!$C$36, 10.963, 10.9613) * CHOOSE(CONTROL!$C$19, $D$11, 100%, $F$11)</f>
        <v>10.962999999999999</v>
      </c>
      <c r="G346" s="8">
        <f>CHOOSE( CONTROL!$C$36, 10.1396, 10.1379) * CHOOSE( CONTROL!$C$19, $D$11, 100%, $F$11)</f>
        <v>10.1396</v>
      </c>
      <c r="H346" s="4">
        <f>CHOOSE( CONTROL!$C$36, 11.0839, 11.0822) * CHOOSE(CONTROL!$C$19, $D$11, 100%, $F$11)</f>
        <v>11.0839</v>
      </c>
      <c r="I346" s="8">
        <f>CHOOSE( CONTROL!$C$36, 10.0564, 10.0548) * CHOOSE(CONTROL!$C$19, $D$11, 100%, $F$11)</f>
        <v>10.0564</v>
      </c>
      <c r="J346" s="4">
        <f>CHOOSE( CONTROL!$C$36, 9.9203, 9.9186) * CHOOSE(CONTROL!$C$19, $D$11, 100%, $F$11)</f>
        <v>9.9202999999999992</v>
      </c>
      <c r="K346" s="4"/>
      <c r="L346" s="9">
        <v>29.7257</v>
      </c>
      <c r="M346" s="9">
        <v>11.6745</v>
      </c>
      <c r="N346" s="9">
        <v>4.7850000000000001</v>
      </c>
      <c r="O346" s="9">
        <v>0.36199999999999999</v>
      </c>
      <c r="P346" s="9">
        <v>1.2509999999999999</v>
      </c>
      <c r="Q346" s="9">
        <v>29.282399999999999</v>
      </c>
      <c r="R346" s="9"/>
      <c r="S346" s="11"/>
    </row>
    <row r="347" spans="1:19" ht="15.75">
      <c r="A347" s="13">
        <v>51713</v>
      </c>
      <c r="B347" s="8">
        <f>CHOOSE( CONTROL!$C$36, 10.6707, 10.6691) * CHOOSE(CONTROL!$C$19, $D$11, 100%, $F$11)</f>
        <v>10.6707</v>
      </c>
      <c r="C347" s="8">
        <f>CHOOSE( CONTROL!$C$36, 10.6787, 10.6771) * CHOOSE(CONTROL!$C$19, $D$11, 100%, $F$11)</f>
        <v>10.678699999999999</v>
      </c>
      <c r="D347" s="8">
        <f>CHOOSE( CONTROL!$C$36, 10.6933, 10.6917) * CHOOSE( CONTROL!$C$19, $D$11, 100%, $F$11)</f>
        <v>10.693300000000001</v>
      </c>
      <c r="E347" s="12">
        <f>CHOOSE( CONTROL!$C$36, 10.6868, 10.6852) * CHOOSE( CONTROL!$C$19, $D$11, 100%, $F$11)</f>
        <v>10.6868</v>
      </c>
      <c r="F347" s="4">
        <f>CHOOSE( CONTROL!$C$36, 11.4038, 11.4021) * CHOOSE(CONTROL!$C$19, $D$11, 100%, $F$11)</f>
        <v>11.4038</v>
      </c>
      <c r="G347" s="8">
        <f>CHOOSE( CONTROL!$C$36, 10.5744, 10.5727) * CHOOSE( CONTROL!$C$19, $D$11, 100%, $F$11)</f>
        <v>10.574400000000001</v>
      </c>
      <c r="H347" s="4">
        <f>CHOOSE( CONTROL!$C$36, 11.5185, 11.5169) * CHOOSE(CONTROL!$C$19, $D$11, 100%, $F$11)</f>
        <v>11.5185</v>
      </c>
      <c r="I347" s="8">
        <f>CHOOSE( CONTROL!$C$36, 10.4843, 10.4826) * CHOOSE(CONTROL!$C$19, $D$11, 100%, $F$11)</f>
        <v>10.484299999999999</v>
      </c>
      <c r="J347" s="4">
        <f>CHOOSE( CONTROL!$C$36, 10.3471, 10.3454) * CHOOSE(CONTROL!$C$19, $D$11, 100%, $F$11)</f>
        <v>10.347099999999999</v>
      </c>
      <c r="K347" s="4"/>
      <c r="L347" s="9">
        <v>30.7165</v>
      </c>
      <c r="M347" s="9">
        <v>12.063700000000001</v>
      </c>
      <c r="N347" s="9">
        <v>4.9444999999999997</v>
      </c>
      <c r="O347" s="9">
        <v>0.37409999999999999</v>
      </c>
      <c r="P347" s="9">
        <v>1.2927</v>
      </c>
      <c r="Q347" s="9">
        <v>30.258500000000002</v>
      </c>
      <c r="R347" s="9"/>
      <c r="S347" s="11"/>
    </row>
    <row r="348" spans="1:19" ht="15.75">
      <c r="A348" s="13">
        <v>51744</v>
      </c>
      <c r="B348" s="8">
        <f>CHOOSE( CONTROL!$C$36, 9.846, 9.8443) * CHOOSE(CONTROL!$C$19, $D$11, 100%, $F$11)</f>
        <v>9.8460000000000001</v>
      </c>
      <c r="C348" s="8">
        <f>CHOOSE( CONTROL!$C$36, 9.854, 9.8523) * CHOOSE(CONTROL!$C$19, $D$11, 100%, $F$11)</f>
        <v>9.8539999999999992</v>
      </c>
      <c r="D348" s="8">
        <f>CHOOSE( CONTROL!$C$36, 9.8687, 9.867) * CHOOSE( CONTROL!$C$19, $D$11, 100%, $F$11)</f>
        <v>9.8687000000000005</v>
      </c>
      <c r="E348" s="12">
        <f>CHOOSE( CONTROL!$C$36, 9.8622, 9.8605) * CHOOSE( CONTROL!$C$19, $D$11, 100%, $F$11)</f>
        <v>9.8621999999999996</v>
      </c>
      <c r="F348" s="4">
        <f>CHOOSE( CONTROL!$C$36, 10.579, 10.5774) * CHOOSE(CONTROL!$C$19, $D$11, 100%, $F$11)</f>
        <v>10.579000000000001</v>
      </c>
      <c r="G348" s="8">
        <f>CHOOSE( CONTROL!$C$36, 9.7612, 9.7596) * CHOOSE( CONTROL!$C$19, $D$11, 100%, $F$11)</f>
        <v>9.7612000000000005</v>
      </c>
      <c r="H348" s="4">
        <f>CHOOSE( CONTROL!$C$36, 10.7053, 10.7036) * CHOOSE(CONTROL!$C$19, $D$11, 100%, $F$11)</f>
        <v>10.705299999999999</v>
      </c>
      <c r="I348" s="8">
        <f>CHOOSE( CONTROL!$C$36, 9.6855, 9.6839) * CHOOSE(CONTROL!$C$19, $D$11, 100%, $F$11)</f>
        <v>9.6854999999999993</v>
      </c>
      <c r="J348" s="4">
        <f>CHOOSE( CONTROL!$C$36, 9.5485, 9.5469) * CHOOSE(CONTROL!$C$19, $D$11, 100%, $F$11)</f>
        <v>9.5485000000000007</v>
      </c>
      <c r="K348" s="4"/>
      <c r="L348" s="9">
        <v>30.7165</v>
      </c>
      <c r="M348" s="9">
        <v>12.063700000000001</v>
      </c>
      <c r="N348" s="9">
        <v>4.9444999999999997</v>
      </c>
      <c r="O348" s="9">
        <v>0.37409999999999999</v>
      </c>
      <c r="P348" s="9">
        <v>1.2927</v>
      </c>
      <c r="Q348" s="9">
        <v>30.258500000000002</v>
      </c>
      <c r="R348" s="9"/>
      <c r="S348" s="11"/>
    </row>
    <row r="349" spans="1:19" ht="15.75">
      <c r="A349" s="13">
        <v>51774</v>
      </c>
      <c r="B349" s="8">
        <f>CHOOSE( CONTROL!$C$36, 9.6395, 9.6378) * CHOOSE(CONTROL!$C$19, $D$11, 100%, $F$11)</f>
        <v>9.6395</v>
      </c>
      <c r="C349" s="8">
        <f>CHOOSE( CONTROL!$C$36, 9.6475, 9.6458) * CHOOSE(CONTROL!$C$19, $D$11, 100%, $F$11)</f>
        <v>9.6475000000000009</v>
      </c>
      <c r="D349" s="8">
        <f>CHOOSE( CONTROL!$C$36, 9.662, 9.6604) * CHOOSE( CONTROL!$C$19, $D$11, 100%, $F$11)</f>
        <v>9.6620000000000008</v>
      </c>
      <c r="E349" s="12">
        <f>CHOOSE( CONTROL!$C$36, 9.6555, 9.6539) * CHOOSE( CONTROL!$C$19, $D$11, 100%, $F$11)</f>
        <v>9.6555</v>
      </c>
      <c r="F349" s="4">
        <f>CHOOSE( CONTROL!$C$36, 10.3725, 10.3708) * CHOOSE(CONTROL!$C$19, $D$11, 100%, $F$11)</f>
        <v>10.3725</v>
      </c>
      <c r="G349" s="8">
        <f>CHOOSE( CONTROL!$C$36, 9.5575, 9.5558) * CHOOSE( CONTROL!$C$19, $D$11, 100%, $F$11)</f>
        <v>9.5574999999999992</v>
      </c>
      <c r="H349" s="4">
        <f>CHOOSE( CONTROL!$C$36, 10.5016, 10.5) * CHOOSE(CONTROL!$C$19, $D$11, 100%, $F$11)</f>
        <v>10.5016</v>
      </c>
      <c r="I349" s="8">
        <f>CHOOSE( CONTROL!$C$36, 9.485, 9.4834) * CHOOSE(CONTROL!$C$19, $D$11, 100%, $F$11)</f>
        <v>9.4849999999999994</v>
      </c>
      <c r="J349" s="4">
        <f>CHOOSE( CONTROL!$C$36, 9.3485, 9.3469) * CHOOSE(CONTROL!$C$19, $D$11, 100%, $F$11)</f>
        <v>9.3484999999999996</v>
      </c>
      <c r="K349" s="4"/>
      <c r="L349" s="9">
        <v>29.7257</v>
      </c>
      <c r="M349" s="9">
        <v>11.6745</v>
      </c>
      <c r="N349" s="9">
        <v>4.7850000000000001</v>
      </c>
      <c r="O349" s="9">
        <v>0.36199999999999999</v>
      </c>
      <c r="P349" s="9">
        <v>1.2509999999999999</v>
      </c>
      <c r="Q349" s="9">
        <v>29.282399999999999</v>
      </c>
      <c r="R349" s="9"/>
      <c r="S349" s="11"/>
    </row>
    <row r="350" spans="1:19" ht="15.75">
      <c r="A350" s="13">
        <v>51805</v>
      </c>
      <c r="B350" s="8">
        <f>CHOOSE( CONTROL!$C$36, 10.066, 10.0649) * CHOOSE(CONTROL!$C$19, $D$11, 100%, $F$11)</f>
        <v>10.066000000000001</v>
      </c>
      <c r="C350" s="8">
        <f>CHOOSE( CONTROL!$C$36, 10.0713, 10.0702) * CHOOSE(CONTROL!$C$19, $D$11, 100%, $F$11)</f>
        <v>10.071300000000001</v>
      </c>
      <c r="D350" s="8">
        <f>CHOOSE( CONTROL!$C$36, 10.0918, 10.0907) * CHOOSE( CONTROL!$C$19, $D$11, 100%, $F$11)</f>
        <v>10.091799999999999</v>
      </c>
      <c r="E350" s="12">
        <f>CHOOSE( CONTROL!$C$36, 10.0845, 10.0834) * CHOOSE( CONTROL!$C$19, $D$11, 100%, $F$11)</f>
        <v>10.0845</v>
      </c>
      <c r="F350" s="4">
        <f>CHOOSE( CONTROL!$C$36, 10.8007, 10.7996) * CHOOSE(CONTROL!$C$19, $D$11, 100%, $F$11)</f>
        <v>10.800700000000001</v>
      </c>
      <c r="G350" s="8">
        <f>CHOOSE( CONTROL!$C$36, 9.9799, 9.9789) * CHOOSE( CONTROL!$C$19, $D$11, 100%, $F$11)</f>
        <v>9.9799000000000007</v>
      </c>
      <c r="H350" s="4">
        <f>CHOOSE( CONTROL!$C$36, 10.9239, 10.9228) * CHOOSE(CONTROL!$C$19, $D$11, 100%, $F$11)</f>
        <v>10.9239</v>
      </c>
      <c r="I350" s="8">
        <f>CHOOSE( CONTROL!$C$36, 9.9009, 9.8999) * CHOOSE(CONTROL!$C$19, $D$11, 100%, $F$11)</f>
        <v>9.9009</v>
      </c>
      <c r="J350" s="4">
        <f>CHOOSE( CONTROL!$C$36, 9.7632, 9.7621) * CHOOSE(CONTROL!$C$19, $D$11, 100%, $F$11)</f>
        <v>9.7631999999999994</v>
      </c>
      <c r="K350" s="4"/>
      <c r="L350" s="9">
        <v>31.095300000000002</v>
      </c>
      <c r="M350" s="9">
        <v>12.063700000000001</v>
      </c>
      <c r="N350" s="9">
        <v>4.9444999999999997</v>
      </c>
      <c r="O350" s="9">
        <v>0.37409999999999999</v>
      </c>
      <c r="P350" s="9">
        <v>1.2927</v>
      </c>
      <c r="Q350" s="9">
        <v>30.258500000000002</v>
      </c>
      <c r="R350" s="9"/>
      <c r="S350" s="11"/>
    </row>
    <row r="351" spans="1:19" ht="15.75">
      <c r="A351" s="13">
        <v>51835</v>
      </c>
      <c r="B351" s="8">
        <f>CHOOSE( CONTROL!$C$36, 10.8571, 10.856) * CHOOSE(CONTROL!$C$19, $D$11, 100%, $F$11)</f>
        <v>10.857100000000001</v>
      </c>
      <c r="C351" s="8">
        <f>CHOOSE( CONTROL!$C$36, 10.8622, 10.8611) * CHOOSE(CONTROL!$C$19, $D$11, 100%, $F$11)</f>
        <v>10.8622</v>
      </c>
      <c r="D351" s="8">
        <f>CHOOSE( CONTROL!$C$36, 10.8414, 10.8403) * CHOOSE( CONTROL!$C$19, $D$11, 100%, $F$11)</f>
        <v>10.8414</v>
      </c>
      <c r="E351" s="12">
        <f>CHOOSE( CONTROL!$C$36, 10.8485, 10.8474) * CHOOSE( CONTROL!$C$19, $D$11, 100%, $F$11)</f>
        <v>10.8485</v>
      </c>
      <c r="F351" s="4">
        <f>CHOOSE( CONTROL!$C$36, 11.5163, 11.5152) * CHOOSE(CONTROL!$C$19, $D$11, 100%, $F$11)</f>
        <v>11.516299999999999</v>
      </c>
      <c r="G351" s="8">
        <f>CHOOSE( CONTROL!$C$36, 10.7404, 10.7393) * CHOOSE( CONTROL!$C$19, $D$11, 100%, $F$11)</f>
        <v>10.740399999999999</v>
      </c>
      <c r="H351" s="4">
        <f>CHOOSE( CONTROL!$C$36, 11.6295, 11.6284) * CHOOSE(CONTROL!$C$19, $D$11, 100%, $F$11)</f>
        <v>11.6295</v>
      </c>
      <c r="I351" s="8">
        <f>CHOOSE( CONTROL!$C$36, 10.7169, 10.7158) * CHOOSE(CONTROL!$C$19, $D$11, 100%, $F$11)</f>
        <v>10.716900000000001</v>
      </c>
      <c r="J351" s="4">
        <f>CHOOSE( CONTROL!$C$36, 10.5296, 10.5285) * CHOOSE(CONTROL!$C$19, $D$11, 100%, $F$11)</f>
        <v>10.5296</v>
      </c>
      <c r="K351" s="4"/>
      <c r="L351" s="9">
        <v>28.360600000000002</v>
      </c>
      <c r="M351" s="9">
        <v>11.6745</v>
      </c>
      <c r="N351" s="9">
        <v>4.7850000000000001</v>
      </c>
      <c r="O351" s="9">
        <v>0.36199999999999999</v>
      </c>
      <c r="P351" s="9">
        <v>1.2509999999999999</v>
      </c>
      <c r="Q351" s="9">
        <v>29.282399999999999</v>
      </c>
      <c r="R351" s="9"/>
      <c r="S351" s="11"/>
    </row>
    <row r="352" spans="1:19" ht="15.75">
      <c r="A352" s="13">
        <v>51866</v>
      </c>
      <c r="B352" s="8">
        <f>CHOOSE( CONTROL!$C$36, 10.8373, 10.8362) * CHOOSE(CONTROL!$C$19, $D$11, 100%, $F$11)</f>
        <v>10.837300000000001</v>
      </c>
      <c r="C352" s="8">
        <f>CHOOSE( CONTROL!$C$36, 10.8424, 10.8413) * CHOOSE(CONTROL!$C$19, $D$11, 100%, $F$11)</f>
        <v>10.8424</v>
      </c>
      <c r="D352" s="8">
        <f>CHOOSE( CONTROL!$C$36, 10.823, 10.8219) * CHOOSE( CONTROL!$C$19, $D$11, 100%, $F$11)</f>
        <v>10.823</v>
      </c>
      <c r="E352" s="12">
        <f>CHOOSE( CONTROL!$C$36, 10.8296, 10.8285) * CHOOSE( CONTROL!$C$19, $D$11, 100%, $F$11)</f>
        <v>10.829599999999999</v>
      </c>
      <c r="F352" s="4">
        <f>CHOOSE( CONTROL!$C$36, 11.4966, 11.4955) * CHOOSE(CONTROL!$C$19, $D$11, 100%, $F$11)</f>
        <v>11.496600000000001</v>
      </c>
      <c r="G352" s="8">
        <f>CHOOSE( CONTROL!$C$36, 10.7218, 10.7208) * CHOOSE( CONTROL!$C$19, $D$11, 100%, $F$11)</f>
        <v>10.7218</v>
      </c>
      <c r="H352" s="4">
        <f>CHOOSE( CONTROL!$C$36, 11.61, 11.6089) * CHOOSE(CONTROL!$C$19, $D$11, 100%, $F$11)</f>
        <v>11.61</v>
      </c>
      <c r="I352" s="8">
        <f>CHOOSE( CONTROL!$C$36, 10.702, 10.7009) * CHOOSE(CONTROL!$C$19, $D$11, 100%, $F$11)</f>
        <v>10.702</v>
      </c>
      <c r="J352" s="4">
        <f>CHOOSE( CONTROL!$C$36, 10.5104, 10.5094) * CHOOSE(CONTROL!$C$19, $D$11, 100%, $F$11)</f>
        <v>10.510400000000001</v>
      </c>
      <c r="K352" s="4"/>
      <c r="L352" s="9">
        <v>29.306000000000001</v>
      </c>
      <c r="M352" s="9">
        <v>12.063700000000001</v>
      </c>
      <c r="N352" s="9">
        <v>4.9444999999999997</v>
      </c>
      <c r="O352" s="9">
        <v>0.37409999999999999</v>
      </c>
      <c r="P352" s="9">
        <v>1.2927</v>
      </c>
      <c r="Q352" s="9">
        <v>30.258500000000002</v>
      </c>
      <c r="R352" s="9"/>
      <c r="S352" s="11"/>
    </row>
    <row r="353" spans="1:19" ht="15.75">
      <c r="A353" s="13">
        <v>51897</v>
      </c>
      <c r="B353" s="8">
        <f>CHOOSE( CONTROL!$C$36, 11.1574, 11.1564) * CHOOSE(CONTROL!$C$19, $D$11, 100%, $F$11)</f>
        <v>11.157400000000001</v>
      </c>
      <c r="C353" s="8">
        <f>CHOOSE( CONTROL!$C$36, 11.1625, 11.1615) * CHOOSE(CONTROL!$C$19, $D$11, 100%, $F$11)</f>
        <v>11.1625</v>
      </c>
      <c r="D353" s="8">
        <f>CHOOSE( CONTROL!$C$36, 11.1638, 11.1627) * CHOOSE( CONTROL!$C$19, $D$11, 100%, $F$11)</f>
        <v>11.1638</v>
      </c>
      <c r="E353" s="12">
        <f>CHOOSE( CONTROL!$C$36, 11.1628, 11.1617) * CHOOSE( CONTROL!$C$19, $D$11, 100%, $F$11)</f>
        <v>11.162800000000001</v>
      </c>
      <c r="F353" s="4">
        <f>CHOOSE( CONTROL!$C$36, 11.8167, 11.8156) * CHOOSE(CONTROL!$C$19, $D$11, 100%, $F$11)</f>
        <v>11.816700000000001</v>
      </c>
      <c r="G353" s="8">
        <f>CHOOSE( CONTROL!$C$36, 11.0486, 11.0475) * CHOOSE( CONTROL!$C$19, $D$11, 100%, $F$11)</f>
        <v>11.0486</v>
      </c>
      <c r="H353" s="4">
        <f>CHOOSE( CONTROL!$C$36, 11.9257, 11.9246) * CHOOSE(CONTROL!$C$19, $D$11, 100%, $F$11)</f>
        <v>11.925700000000001</v>
      </c>
      <c r="I353" s="8">
        <f>CHOOSE( CONTROL!$C$36, 10.9896, 10.9886) * CHOOSE(CONTROL!$C$19, $D$11, 100%, $F$11)</f>
        <v>10.989599999999999</v>
      </c>
      <c r="J353" s="4">
        <f>CHOOSE( CONTROL!$C$36, 10.8204, 10.8194) * CHOOSE(CONTROL!$C$19, $D$11, 100%, $F$11)</f>
        <v>10.820399999999999</v>
      </c>
      <c r="K353" s="4"/>
      <c r="L353" s="9">
        <v>29.306000000000001</v>
      </c>
      <c r="M353" s="9">
        <v>12.063700000000001</v>
      </c>
      <c r="N353" s="9">
        <v>4.9444999999999997</v>
      </c>
      <c r="O353" s="9">
        <v>0.37409999999999999</v>
      </c>
      <c r="P353" s="9">
        <v>1.2927</v>
      </c>
      <c r="Q353" s="9">
        <v>20.593900000000001</v>
      </c>
      <c r="R353" s="9"/>
      <c r="S353" s="11"/>
    </row>
    <row r="354" spans="1:19" ht="15.75">
      <c r="A354" s="13">
        <v>51925</v>
      </c>
      <c r="B354" s="8">
        <f>CHOOSE( CONTROL!$C$36, 10.4351, 10.434) * CHOOSE(CONTROL!$C$19, $D$11, 100%, $F$11)</f>
        <v>10.4351</v>
      </c>
      <c r="C354" s="8">
        <f>CHOOSE( CONTROL!$C$36, 10.4402, 10.4391) * CHOOSE(CONTROL!$C$19, $D$11, 100%, $F$11)</f>
        <v>10.440200000000001</v>
      </c>
      <c r="D354" s="8">
        <f>CHOOSE( CONTROL!$C$36, 10.4413, 10.4403) * CHOOSE( CONTROL!$C$19, $D$11, 100%, $F$11)</f>
        <v>10.4413</v>
      </c>
      <c r="E354" s="12">
        <f>CHOOSE( CONTROL!$C$36, 10.4404, 10.4393) * CHOOSE( CONTROL!$C$19, $D$11, 100%, $F$11)</f>
        <v>10.4404</v>
      </c>
      <c r="F354" s="4">
        <f>CHOOSE( CONTROL!$C$36, 11.0943, 11.0933) * CHOOSE(CONTROL!$C$19, $D$11, 100%, $F$11)</f>
        <v>11.0943</v>
      </c>
      <c r="G354" s="8">
        <f>CHOOSE( CONTROL!$C$36, 10.3362, 10.3351) * CHOOSE( CONTROL!$C$19, $D$11, 100%, $F$11)</f>
        <v>10.3362</v>
      </c>
      <c r="H354" s="4">
        <f>CHOOSE( CONTROL!$C$36, 11.2134, 11.2123) * CHOOSE(CONTROL!$C$19, $D$11, 100%, $F$11)</f>
        <v>11.2134</v>
      </c>
      <c r="I354" s="8">
        <f>CHOOSE( CONTROL!$C$36, 10.2894, 10.2884) * CHOOSE(CONTROL!$C$19, $D$11, 100%, $F$11)</f>
        <v>10.289400000000001</v>
      </c>
      <c r="J354" s="4">
        <f>CHOOSE( CONTROL!$C$36, 10.121, 10.1199) * CHOOSE(CONTROL!$C$19, $D$11, 100%, $F$11)</f>
        <v>10.121</v>
      </c>
      <c r="K354" s="4"/>
      <c r="L354" s="9">
        <v>26.469899999999999</v>
      </c>
      <c r="M354" s="9">
        <v>10.8962</v>
      </c>
      <c r="N354" s="9">
        <v>4.4660000000000002</v>
      </c>
      <c r="O354" s="9">
        <v>0.33789999999999998</v>
      </c>
      <c r="P354" s="9">
        <v>1.1676</v>
      </c>
      <c r="Q354" s="9">
        <v>18.600999999999999</v>
      </c>
      <c r="R354" s="9"/>
      <c r="S354" s="11"/>
    </row>
    <row r="355" spans="1:19" ht="15.75">
      <c r="A355" s="13">
        <v>51956</v>
      </c>
      <c r="B355" s="8">
        <f>CHOOSE( CONTROL!$C$36, 10.2126, 10.2115) * CHOOSE(CONTROL!$C$19, $D$11, 100%, $F$11)</f>
        <v>10.2126</v>
      </c>
      <c r="C355" s="8">
        <f>CHOOSE( CONTROL!$C$36, 10.2177, 10.2166) * CHOOSE(CONTROL!$C$19, $D$11, 100%, $F$11)</f>
        <v>10.217700000000001</v>
      </c>
      <c r="D355" s="8">
        <f>CHOOSE( CONTROL!$C$36, 10.2182, 10.2171) * CHOOSE( CONTROL!$C$19, $D$11, 100%, $F$11)</f>
        <v>10.2182</v>
      </c>
      <c r="E355" s="12">
        <f>CHOOSE( CONTROL!$C$36, 10.2175, 10.2164) * CHOOSE( CONTROL!$C$19, $D$11, 100%, $F$11)</f>
        <v>10.217499999999999</v>
      </c>
      <c r="F355" s="4">
        <f>CHOOSE( CONTROL!$C$36, 10.8719, 10.8708) * CHOOSE(CONTROL!$C$19, $D$11, 100%, $F$11)</f>
        <v>10.8719</v>
      </c>
      <c r="G355" s="8">
        <f>CHOOSE( CONTROL!$C$36, 10.1164, 10.1153) * CHOOSE( CONTROL!$C$19, $D$11, 100%, $F$11)</f>
        <v>10.116400000000001</v>
      </c>
      <c r="H355" s="4">
        <f>CHOOSE( CONTROL!$C$36, 10.994, 10.993) * CHOOSE(CONTROL!$C$19, $D$11, 100%, $F$11)</f>
        <v>10.994</v>
      </c>
      <c r="I355" s="8">
        <f>CHOOSE( CONTROL!$C$36, 10.0719, 10.0709) * CHOOSE(CONTROL!$C$19, $D$11, 100%, $F$11)</f>
        <v>10.071899999999999</v>
      </c>
      <c r="J355" s="4">
        <f>CHOOSE( CONTROL!$C$36, 9.9055, 9.9045) * CHOOSE(CONTROL!$C$19, $D$11, 100%, $F$11)</f>
        <v>9.9055</v>
      </c>
      <c r="K355" s="4"/>
      <c r="L355" s="9">
        <v>29.306000000000001</v>
      </c>
      <c r="M355" s="9">
        <v>12.063700000000001</v>
      </c>
      <c r="N355" s="9">
        <v>4.9444999999999997</v>
      </c>
      <c r="O355" s="9">
        <v>0.37409999999999999</v>
      </c>
      <c r="P355" s="9">
        <v>1.2927</v>
      </c>
      <c r="Q355" s="9">
        <v>20.593900000000001</v>
      </c>
      <c r="R355" s="9"/>
      <c r="S355" s="11"/>
    </row>
    <row r="356" spans="1:19" ht="15.75">
      <c r="A356" s="13">
        <v>51986</v>
      </c>
      <c r="B356" s="8">
        <f>CHOOSE( CONTROL!$C$36, 10.3688, 10.3678) * CHOOSE(CONTROL!$C$19, $D$11, 100%, $F$11)</f>
        <v>10.3688</v>
      </c>
      <c r="C356" s="8">
        <f>CHOOSE( CONTROL!$C$36, 10.3734, 10.3723) * CHOOSE(CONTROL!$C$19, $D$11, 100%, $F$11)</f>
        <v>10.3734</v>
      </c>
      <c r="D356" s="8">
        <f>CHOOSE( CONTROL!$C$36, 10.3938, 10.3927) * CHOOSE( CONTROL!$C$19, $D$11, 100%, $F$11)</f>
        <v>10.393800000000001</v>
      </c>
      <c r="E356" s="12">
        <f>CHOOSE( CONTROL!$C$36, 10.3865, 10.3854) * CHOOSE( CONTROL!$C$19, $D$11, 100%, $F$11)</f>
        <v>10.3865</v>
      </c>
      <c r="F356" s="4">
        <f>CHOOSE( CONTROL!$C$36, 11.1032, 11.1021) * CHOOSE(CONTROL!$C$19, $D$11, 100%, $F$11)</f>
        <v>11.103199999999999</v>
      </c>
      <c r="G356" s="8">
        <f>CHOOSE( CONTROL!$C$36, 10.2778, 10.2767) * CHOOSE( CONTROL!$C$19, $D$11, 100%, $F$11)</f>
        <v>10.277799999999999</v>
      </c>
      <c r="H356" s="4">
        <f>CHOOSE( CONTROL!$C$36, 11.2222, 11.2211) * CHOOSE(CONTROL!$C$19, $D$11, 100%, $F$11)</f>
        <v>11.222200000000001</v>
      </c>
      <c r="I356" s="8">
        <f>CHOOSE( CONTROL!$C$36, 10.192, 10.191) * CHOOSE(CONTROL!$C$19, $D$11, 100%, $F$11)</f>
        <v>10.192</v>
      </c>
      <c r="J356" s="4">
        <f>CHOOSE( CONTROL!$C$36, 10.0561, 10.055) * CHOOSE(CONTROL!$C$19, $D$11, 100%, $F$11)</f>
        <v>10.056100000000001</v>
      </c>
      <c r="K356" s="4"/>
      <c r="L356" s="9">
        <v>30.092199999999998</v>
      </c>
      <c r="M356" s="9">
        <v>11.6745</v>
      </c>
      <c r="N356" s="9">
        <v>4.7850000000000001</v>
      </c>
      <c r="O356" s="9">
        <v>0.36199999999999999</v>
      </c>
      <c r="P356" s="9">
        <v>1.2509999999999999</v>
      </c>
      <c r="Q356" s="9">
        <v>19.929600000000001</v>
      </c>
      <c r="R356" s="9"/>
      <c r="S356" s="11"/>
    </row>
    <row r="357" spans="1:19" ht="15.75">
      <c r="A357" s="13">
        <v>52017</v>
      </c>
      <c r="B357" s="8">
        <f>CHOOSE( CONTROL!$C$36, 10.6475, 10.6458) * CHOOSE(CONTROL!$C$19, $D$11, 100%, $F$11)</f>
        <v>10.647500000000001</v>
      </c>
      <c r="C357" s="8">
        <f>CHOOSE( CONTROL!$C$36, 10.6555, 10.6538) * CHOOSE(CONTROL!$C$19, $D$11, 100%, $F$11)</f>
        <v>10.6555</v>
      </c>
      <c r="D357" s="8">
        <f>CHOOSE( CONTROL!$C$36, 10.6697, 10.668) * CHOOSE( CONTROL!$C$19, $D$11, 100%, $F$11)</f>
        <v>10.669700000000001</v>
      </c>
      <c r="E357" s="12">
        <f>CHOOSE( CONTROL!$C$36, 10.6633, 10.6616) * CHOOSE( CONTROL!$C$19, $D$11, 100%, $F$11)</f>
        <v>10.6633</v>
      </c>
      <c r="F357" s="4">
        <f>CHOOSE( CONTROL!$C$36, 11.3805, 11.3788) * CHOOSE(CONTROL!$C$19, $D$11, 100%, $F$11)</f>
        <v>11.3805</v>
      </c>
      <c r="G357" s="8">
        <f>CHOOSE( CONTROL!$C$36, 10.5511, 10.5495) * CHOOSE( CONTROL!$C$19, $D$11, 100%, $F$11)</f>
        <v>10.5511</v>
      </c>
      <c r="H357" s="4">
        <f>CHOOSE( CONTROL!$C$36, 11.4956, 11.4939) * CHOOSE(CONTROL!$C$19, $D$11, 100%, $F$11)</f>
        <v>11.4956</v>
      </c>
      <c r="I357" s="8">
        <f>CHOOSE( CONTROL!$C$36, 10.4602, 10.4586) * CHOOSE(CONTROL!$C$19, $D$11, 100%, $F$11)</f>
        <v>10.4602</v>
      </c>
      <c r="J357" s="4">
        <f>CHOOSE( CONTROL!$C$36, 10.3245, 10.3229) * CHOOSE(CONTROL!$C$19, $D$11, 100%, $F$11)</f>
        <v>10.3245</v>
      </c>
      <c r="K357" s="4"/>
      <c r="L357" s="9">
        <v>30.7165</v>
      </c>
      <c r="M357" s="9">
        <v>12.063700000000001</v>
      </c>
      <c r="N357" s="9">
        <v>4.9444999999999997</v>
      </c>
      <c r="O357" s="9">
        <v>0.37409999999999999</v>
      </c>
      <c r="P357" s="9">
        <v>1.2927</v>
      </c>
      <c r="Q357" s="9">
        <v>20.593900000000001</v>
      </c>
      <c r="R357" s="9"/>
      <c r="S357" s="11"/>
    </row>
    <row r="358" spans="1:19" ht="15.75">
      <c r="A358" s="13">
        <v>52047</v>
      </c>
      <c r="B358" s="8">
        <f>CHOOSE( CONTROL!$C$36, 10.4761, 10.4744) * CHOOSE(CONTROL!$C$19, $D$11, 100%, $F$11)</f>
        <v>10.476100000000001</v>
      </c>
      <c r="C358" s="8">
        <f>CHOOSE( CONTROL!$C$36, 10.4841, 10.4824) * CHOOSE(CONTROL!$C$19, $D$11, 100%, $F$11)</f>
        <v>10.4841</v>
      </c>
      <c r="D358" s="8">
        <f>CHOOSE( CONTROL!$C$36, 10.4985, 10.4968) * CHOOSE( CONTROL!$C$19, $D$11, 100%, $F$11)</f>
        <v>10.4985</v>
      </c>
      <c r="E358" s="12">
        <f>CHOOSE( CONTROL!$C$36, 10.4921, 10.4904) * CHOOSE( CONTROL!$C$19, $D$11, 100%, $F$11)</f>
        <v>10.492100000000001</v>
      </c>
      <c r="F358" s="4">
        <f>CHOOSE( CONTROL!$C$36, 11.2091, 11.2074) * CHOOSE(CONTROL!$C$19, $D$11, 100%, $F$11)</f>
        <v>11.209099999999999</v>
      </c>
      <c r="G358" s="8">
        <f>CHOOSE( CONTROL!$C$36, 10.3822, 10.3806) * CHOOSE( CONTROL!$C$19, $D$11, 100%, $F$11)</f>
        <v>10.382199999999999</v>
      </c>
      <c r="H358" s="4">
        <f>CHOOSE( CONTROL!$C$36, 11.3266, 11.3249) * CHOOSE(CONTROL!$C$19, $D$11, 100%, $F$11)</f>
        <v>11.326599999999999</v>
      </c>
      <c r="I358" s="8">
        <f>CHOOSE( CONTROL!$C$36, 10.2948, 10.2932) * CHOOSE(CONTROL!$C$19, $D$11, 100%, $F$11)</f>
        <v>10.2948</v>
      </c>
      <c r="J358" s="4">
        <f>CHOOSE( CONTROL!$C$36, 10.1586, 10.157) * CHOOSE(CONTROL!$C$19, $D$11, 100%, $F$11)</f>
        <v>10.1586</v>
      </c>
      <c r="K358" s="4"/>
      <c r="L358" s="9">
        <v>29.7257</v>
      </c>
      <c r="M358" s="9">
        <v>11.6745</v>
      </c>
      <c r="N358" s="9">
        <v>4.7850000000000001</v>
      </c>
      <c r="O358" s="9">
        <v>0.36199999999999999</v>
      </c>
      <c r="P358" s="9">
        <v>1.2509999999999999</v>
      </c>
      <c r="Q358" s="9">
        <v>19.929600000000001</v>
      </c>
      <c r="R358" s="9"/>
      <c r="S358" s="11"/>
    </row>
    <row r="359" spans="1:19" ht="15.75">
      <c r="A359" s="13">
        <v>52078</v>
      </c>
      <c r="B359" s="8">
        <f>CHOOSE( CONTROL!$C$36, 10.9274, 10.9258) * CHOOSE(CONTROL!$C$19, $D$11, 100%, $F$11)</f>
        <v>10.9274</v>
      </c>
      <c r="C359" s="8">
        <f>CHOOSE( CONTROL!$C$36, 10.9354, 10.9338) * CHOOSE(CONTROL!$C$19, $D$11, 100%, $F$11)</f>
        <v>10.9354</v>
      </c>
      <c r="D359" s="8">
        <f>CHOOSE( CONTROL!$C$36, 10.9501, 10.9484) * CHOOSE( CONTROL!$C$19, $D$11, 100%, $F$11)</f>
        <v>10.950100000000001</v>
      </c>
      <c r="E359" s="12">
        <f>CHOOSE( CONTROL!$C$36, 10.9436, 10.9419) * CHOOSE( CONTROL!$C$19, $D$11, 100%, $F$11)</f>
        <v>10.9436</v>
      </c>
      <c r="F359" s="4">
        <f>CHOOSE( CONTROL!$C$36, 11.6605, 11.6588) * CHOOSE(CONTROL!$C$19, $D$11, 100%, $F$11)</f>
        <v>11.660500000000001</v>
      </c>
      <c r="G359" s="8">
        <f>CHOOSE( CONTROL!$C$36, 10.8275, 10.8259) * CHOOSE( CONTROL!$C$19, $D$11, 100%, $F$11)</f>
        <v>10.827500000000001</v>
      </c>
      <c r="H359" s="4">
        <f>CHOOSE( CONTROL!$C$36, 11.7716, 11.77) * CHOOSE(CONTROL!$C$19, $D$11, 100%, $F$11)</f>
        <v>11.771599999999999</v>
      </c>
      <c r="I359" s="8">
        <f>CHOOSE( CONTROL!$C$36, 10.733, 10.7313) * CHOOSE(CONTROL!$C$19, $D$11, 100%, $F$11)</f>
        <v>10.733000000000001</v>
      </c>
      <c r="J359" s="4">
        <f>CHOOSE( CONTROL!$C$36, 10.5956, 10.594) * CHOOSE(CONTROL!$C$19, $D$11, 100%, $F$11)</f>
        <v>10.595599999999999</v>
      </c>
      <c r="K359" s="4"/>
      <c r="L359" s="9">
        <v>30.7165</v>
      </c>
      <c r="M359" s="9">
        <v>12.063700000000001</v>
      </c>
      <c r="N359" s="9">
        <v>4.9444999999999997</v>
      </c>
      <c r="O359" s="9">
        <v>0.37409999999999999</v>
      </c>
      <c r="P359" s="9">
        <v>1.2927</v>
      </c>
      <c r="Q359" s="9">
        <v>20.593900000000001</v>
      </c>
      <c r="R359" s="9"/>
      <c r="S359" s="11"/>
    </row>
    <row r="360" spans="1:19" ht="15.75">
      <c r="A360" s="13">
        <v>52109</v>
      </c>
      <c r="B360" s="8">
        <f>CHOOSE( CONTROL!$C$36, 10.0829, 10.0812) * CHOOSE(CONTROL!$C$19, $D$11, 100%, $F$11)</f>
        <v>10.0829</v>
      </c>
      <c r="C360" s="8">
        <f>CHOOSE( CONTROL!$C$36, 10.0909, 10.0892) * CHOOSE(CONTROL!$C$19, $D$11, 100%, $F$11)</f>
        <v>10.0909</v>
      </c>
      <c r="D360" s="8">
        <f>CHOOSE( CONTROL!$C$36, 10.1056, 10.1039) * CHOOSE( CONTROL!$C$19, $D$11, 100%, $F$11)</f>
        <v>10.105600000000001</v>
      </c>
      <c r="E360" s="12">
        <f>CHOOSE( CONTROL!$C$36, 10.0991, 10.0974) * CHOOSE( CONTROL!$C$19, $D$11, 100%, $F$11)</f>
        <v>10.0991</v>
      </c>
      <c r="F360" s="4">
        <f>CHOOSE( CONTROL!$C$36, 10.8159, 10.8142) * CHOOSE(CONTROL!$C$19, $D$11, 100%, $F$11)</f>
        <v>10.815899999999999</v>
      </c>
      <c r="G360" s="8">
        <f>CHOOSE( CONTROL!$C$36, 9.9948, 9.9931) * CHOOSE( CONTROL!$C$19, $D$11, 100%, $F$11)</f>
        <v>9.9947999999999997</v>
      </c>
      <c r="H360" s="4">
        <f>CHOOSE( CONTROL!$C$36, 10.9389, 10.9372) * CHOOSE(CONTROL!$C$19, $D$11, 100%, $F$11)</f>
        <v>10.9389</v>
      </c>
      <c r="I360" s="8">
        <f>CHOOSE( CONTROL!$C$36, 9.915, 9.9134) * CHOOSE(CONTROL!$C$19, $D$11, 100%, $F$11)</f>
        <v>9.9149999999999991</v>
      </c>
      <c r="J360" s="4">
        <f>CHOOSE( CONTROL!$C$36, 9.7778, 9.7762) * CHOOSE(CONTROL!$C$19, $D$11, 100%, $F$11)</f>
        <v>9.7777999999999992</v>
      </c>
      <c r="K360" s="4"/>
      <c r="L360" s="9">
        <v>30.7165</v>
      </c>
      <c r="M360" s="9">
        <v>12.063700000000001</v>
      </c>
      <c r="N360" s="9">
        <v>4.9444999999999997</v>
      </c>
      <c r="O360" s="9">
        <v>0.37409999999999999</v>
      </c>
      <c r="P360" s="9">
        <v>1.2927</v>
      </c>
      <c r="Q360" s="9">
        <v>20.593900000000001</v>
      </c>
      <c r="R360" s="9"/>
      <c r="S360" s="11"/>
    </row>
    <row r="361" spans="1:19" ht="15.75">
      <c r="A361" s="13">
        <v>52139</v>
      </c>
      <c r="B361" s="8">
        <f>CHOOSE( CONTROL!$C$36, 9.8714, 9.8697) * CHOOSE(CONTROL!$C$19, $D$11, 100%, $F$11)</f>
        <v>9.8713999999999995</v>
      </c>
      <c r="C361" s="8">
        <f>CHOOSE( CONTROL!$C$36, 9.8794, 9.8777) * CHOOSE(CONTROL!$C$19, $D$11, 100%, $F$11)</f>
        <v>9.8794000000000004</v>
      </c>
      <c r="D361" s="8">
        <f>CHOOSE( CONTROL!$C$36, 9.894, 9.8923) * CHOOSE( CONTROL!$C$19, $D$11, 100%, $F$11)</f>
        <v>9.8940000000000001</v>
      </c>
      <c r="E361" s="12">
        <f>CHOOSE( CONTROL!$C$36, 9.8875, 9.8858) * CHOOSE( CONTROL!$C$19, $D$11, 100%, $F$11)</f>
        <v>9.8874999999999993</v>
      </c>
      <c r="F361" s="4">
        <f>CHOOSE( CONTROL!$C$36, 10.6044, 10.6028) * CHOOSE(CONTROL!$C$19, $D$11, 100%, $F$11)</f>
        <v>10.6044</v>
      </c>
      <c r="G361" s="8">
        <f>CHOOSE( CONTROL!$C$36, 9.7862, 9.7845) * CHOOSE( CONTROL!$C$19, $D$11, 100%, $F$11)</f>
        <v>9.7861999999999991</v>
      </c>
      <c r="H361" s="4">
        <f>CHOOSE( CONTROL!$C$36, 10.7303, 10.7287) * CHOOSE(CONTROL!$C$19, $D$11, 100%, $F$11)</f>
        <v>10.7303</v>
      </c>
      <c r="I361" s="8">
        <f>CHOOSE( CONTROL!$C$36, 9.7097, 9.7081) * CHOOSE(CONTROL!$C$19, $D$11, 100%, $F$11)</f>
        <v>9.7096999999999998</v>
      </c>
      <c r="J361" s="4">
        <f>CHOOSE( CONTROL!$C$36, 9.5731, 9.5715) * CHOOSE(CONTROL!$C$19, $D$11, 100%, $F$11)</f>
        <v>9.5731000000000002</v>
      </c>
      <c r="K361" s="4"/>
      <c r="L361" s="9">
        <v>29.7257</v>
      </c>
      <c r="M361" s="9">
        <v>11.6745</v>
      </c>
      <c r="N361" s="9">
        <v>4.7850000000000001</v>
      </c>
      <c r="O361" s="9">
        <v>0.36199999999999999</v>
      </c>
      <c r="P361" s="9">
        <v>1.2509999999999999</v>
      </c>
      <c r="Q361" s="9">
        <v>19.929600000000001</v>
      </c>
      <c r="R361" s="9"/>
      <c r="S361" s="11"/>
    </row>
    <row r="362" spans="1:19" ht="15.75">
      <c r="A362" s="13">
        <v>52170</v>
      </c>
      <c r="B362" s="8">
        <f>CHOOSE( CONTROL!$C$36, 10.3082, 10.3071) * CHOOSE(CONTROL!$C$19, $D$11, 100%, $F$11)</f>
        <v>10.308199999999999</v>
      </c>
      <c r="C362" s="8">
        <f>CHOOSE( CONTROL!$C$36, 10.3136, 10.3125) * CHOOSE(CONTROL!$C$19, $D$11, 100%, $F$11)</f>
        <v>10.313599999999999</v>
      </c>
      <c r="D362" s="8">
        <f>CHOOSE( CONTROL!$C$36, 10.3341, 10.333) * CHOOSE( CONTROL!$C$19, $D$11, 100%, $F$11)</f>
        <v>10.334099999999999</v>
      </c>
      <c r="E362" s="12">
        <f>CHOOSE( CONTROL!$C$36, 10.3268, 10.3257) * CHOOSE( CONTROL!$C$19, $D$11, 100%, $F$11)</f>
        <v>10.3268</v>
      </c>
      <c r="F362" s="4">
        <f>CHOOSE( CONTROL!$C$36, 11.043, 11.0419) * CHOOSE(CONTROL!$C$19, $D$11, 100%, $F$11)</f>
        <v>11.042999999999999</v>
      </c>
      <c r="G362" s="8">
        <f>CHOOSE( CONTROL!$C$36, 10.2188, 10.2177) * CHOOSE( CONTROL!$C$19, $D$11, 100%, $F$11)</f>
        <v>10.2188</v>
      </c>
      <c r="H362" s="4">
        <f>CHOOSE( CONTROL!$C$36, 11.1627, 11.1617) * CHOOSE(CONTROL!$C$19, $D$11, 100%, $F$11)</f>
        <v>11.162699999999999</v>
      </c>
      <c r="I362" s="8">
        <f>CHOOSE( CONTROL!$C$36, 10.1356, 10.1346) * CHOOSE(CONTROL!$C$19, $D$11, 100%, $F$11)</f>
        <v>10.1356</v>
      </c>
      <c r="J362" s="4">
        <f>CHOOSE( CONTROL!$C$36, 9.9977, 9.9967) * CHOOSE(CONTROL!$C$19, $D$11, 100%, $F$11)</f>
        <v>9.9977</v>
      </c>
      <c r="K362" s="4"/>
      <c r="L362" s="9">
        <v>31.095300000000002</v>
      </c>
      <c r="M362" s="9">
        <v>12.063700000000001</v>
      </c>
      <c r="N362" s="9">
        <v>4.9444999999999997</v>
      </c>
      <c r="O362" s="9">
        <v>0.37409999999999999</v>
      </c>
      <c r="P362" s="9">
        <v>1.2927</v>
      </c>
      <c r="Q362" s="9">
        <v>20.593900000000001</v>
      </c>
      <c r="R362" s="9"/>
      <c r="S362" s="11"/>
    </row>
    <row r="363" spans="1:19" ht="15.75">
      <c r="A363" s="13">
        <v>52200</v>
      </c>
      <c r="B363" s="8">
        <f>CHOOSE( CONTROL!$C$36, 11.1183, 11.1172) * CHOOSE(CONTROL!$C$19, $D$11, 100%, $F$11)</f>
        <v>11.1183</v>
      </c>
      <c r="C363" s="8">
        <f>CHOOSE( CONTROL!$C$36, 11.1234, 11.1223) * CHOOSE(CONTROL!$C$19, $D$11, 100%, $F$11)</f>
        <v>11.1234</v>
      </c>
      <c r="D363" s="8">
        <f>CHOOSE( CONTROL!$C$36, 11.1027, 11.1016) * CHOOSE( CONTROL!$C$19, $D$11, 100%, $F$11)</f>
        <v>11.1027</v>
      </c>
      <c r="E363" s="12">
        <f>CHOOSE( CONTROL!$C$36, 11.1097, 11.1086) * CHOOSE( CONTROL!$C$19, $D$11, 100%, $F$11)</f>
        <v>11.1097</v>
      </c>
      <c r="F363" s="4">
        <f>CHOOSE( CONTROL!$C$36, 11.7776, 11.7765) * CHOOSE(CONTROL!$C$19, $D$11, 100%, $F$11)</f>
        <v>11.7776</v>
      </c>
      <c r="G363" s="8">
        <f>CHOOSE( CONTROL!$C$36, 10.998, 10.9969) * CHOOSE( CONTROL!$C$19, $D$11, 100%, $F$11)</f>
        <v>10.997999999999999</v>
      </c>
      <c r="H363" s="4">
        <f>CHOOSE( CONTROL!$C$36, 11.8871, 11.886) * CHOOSE(CONTROL!$C$19, $D$11, 100%, $F$11)</f>
        <v>11.8871</v>
      </c>
      <c r="I363" s="8">
        <f>CHOOSE( CONTROL!$C$36, 10.97, 10.9689) * CHOOSE(CONTROL!$C$19, $D$11, 100%, $F$11)</f>
        <v>10.97</v>
      </c>
      <c r="J363" s="4">
        <f>CHOOSE( CONTROL!$C$36, 10.7825, 10.7815) * CHOOSE(CONTROL!$C$19, $D$11, 100%, $F$11)</f>
        <v>10.782500000000001</v>
      </c>
      <c r="K363" s="4"/>
      <c r="L363" s="9">
        <v>28.360600000000002</v>
      </c>
      <c r="M363" s="9">
        <v>11.6745</v>
      </c>
      <c r="N363" s="9">
        <v>4.7850000000000001</v>
      </c>
      <c r="O363" s="9">
        <v>0.36199999999999999</v>
      </c>
      <c r="P363" s="9">
        <v>1.2509999999999999</v>
      </c>
      <c r="Q363" s="9">
        <v>19.929600000000001</v>
      </c>
      <c r="R363" s="9"/>
      <c r="S363" s="11"/>
    </row>
    <row r="364" spans="1:19" ht="15.75">
      <c r="A364" s="13">
        <v>52231</v>
      </c>
      <c r="B364" s="8">
        <f>CHOOSE( CONTROL!$C$36, 11.0981, 11.097) * CHOOSE(CONTROL!$C$19, $D$11, 100%, $F$11)</f>
        <v>11.098100000000001</v>
      </c>
      <c r="C364" s="8">
        <f>CHOOSE( CONTROL!$C$36, 11.1032, 11.1021) * CHOOSE(CONTROL!$C$19, $D$11, 100%, $F$11)</f>
        <v>11.103199999999999</v>
      </c>
      <c r="D364" s="8">
        <f>CHOOSE( CONTROL!$C$36, 11.0838, 11.0827) * CHOOSE( CONTROL!$C$19, $D$11, 100%, $F$11)</f>
        <v>11.0838</v>
      </c>
      <c r="E364" s="12">
        <f>CHOOSE( CONTROL!$C$36, 11.0904, 11.0893) * CHOOSE( CONTROL!$C$19, $D$11, 100%, $F$11)</f>
        <v>11.090400000000001</v>
      </c>
      <c r="F364" s="4">
        <f>CHOOSE( CONTROL!$C$36, 11.7573, 11.7562) * CHOOSE(CONTROL!$C$19, $D$11, 100%, $F$11)</f>
        <v>11.757300000000001</v>
      </c>
      <c r="G364" s="8">
        <f>CHOOSE( CONTROL!$C$36, 10.979, 10.9779) * CHOOSE( CONTROL!$C$19, $D$11, 100%, $F$11)</f>
        <v>10.978999999999999</v>
      </c>
      <c r="H364" s="4">
        <f>CHOOSE( CONTROL!$C$36, 11.8671, 11.8661) * CHOOSE(CONTROL!$C$19, $D$11, 100%, $F$11)</f>
        <v>11.867100000000001</v>
      </c>
      <c r="I364" s="8">
        <f>CHOOSE( CONTROL!$C$36, 10.9546, 10.9536) * CHOOSE(CONTROL!$C$19, $D$11, 100%, $F$11)</f>
        <v>10.954599999999999</v>
      </c>
      <c r="J364" s="4">
        <f>CHOOSE( CONTROL!$C$36, 10.7629, 10.7619) * CHOOSE(CONTROL!$C$19, $D$11, 100%, $F$11)</f>
        <v>10.7629</v>
      </c>
      <c r="K364" s="4"/>
      <c r="L364" s="9">
        <v>29.306000000000001</v>
      </c>
      <c r="M364" s="9">
        <v>12.063700000000001</v>
      </c>
      <c r="N364" s="9">
        <v>4.9444999999999997</v>
      </c>
      <c r="O364" s="9">
        <v>0.37409999999999999</v>
      </c>
      <c r="P364" s="9">
        <v>1.2927</v>
      </c>
      <c r="Q364" s="9">
        <v>20.593900000000001</v>
      </c>
      <c r="R364" s="9"/>
      <c r="S364" s="11"/>
    </row>
    <row r="365" spans="1:19" ht="15.75">
      <c r="A365" s="13">
        <v>52262</v>
      </c>
      <c r="B365" s="8">
        <f>CHOOSE( CONTROL!$C$36, 11.4259, 11.4248) * CHOOSE(CONTROL!$C$19, $D$11, 100%, $F$11)</f>
        <v>11.4259</v>
      </c>
      <c r="C365" s="8">
        <f>CHOOSE( CONTROL!$C$36, 11.431, 11.4299) * CHOOSE(CONTROL!$C$19, $D$11, 100%, $F$11)</f>
        <v>11.430999999999999</v>
      </c>
      <c r="D365" s="8">
        <f>CHOOSE( CONTROL!$C$36, 11.4323, 11.4312) * CHOOSE( CONTROL!$C$19, $D$11, 100%, $F$11)</f>
        <v>11.4323</v>
      </c>
      <c r="E365" s="12">
        <f>CHOOSE( CONTROL!$C$36, 11.4313, 11.4302) * CHOOSE( CONTROL!$C$19, $D$11, 100%, $F$11)</f>
        <v>11.4313</v>
      </c>
      <c r="F365" s="4">
        <f>CHOOSE( CONTROL!$C$36, 12.0852, 12.0841) * CHOOSE(CONTROL!$C$19, $D$11, 100%, $F$11)</f>
        <v>12.0852</v>
      </c>
      <c r="G365" s="8">
        <f>CHOOSE( CONTROL!$C$36, 11.3133, 11.3122) * CHOOSE( CONTROL!$C$19, $D$11, 100%, $F$11)</f>
        <v>11.3133</v>
      </c>
      <c r="H365" s="4">
        <f>CHOOSE( CONTROL!$C$36, 12.1904, 12.1893) * CHOOSE(CONTROL!$C$19, $D$11, 100%, $F$11)</f>
        <v>12.1904</v>
      </c>
      <c r="I365" s="8">
        <f>CHOOSE( CONTROL!$C$36, 11.2497, 11.2487) * CHOOSE(CONTROL!$C$19, $D$11, 100%, $F$11)</f>
        <v>11.249700000000001</v>
      </c>
      <c r="J365" s="4">
        <f>CHOOSE( CONTROL!$C$36, 11.0804, 11.0793) * CHOOSE(CONTROL!$C$19, $D$11, 100%, $F$11)</f>
        <v>11.080399999999999</v>
      </c>
      <c r="K365" s="4"/>
      <c r="L365" s="9">
        <v>29.306000000000001</v>
      </c>
      <c r="M365" s="9">
        <v>12.063700000000001</v>
      </c>
      <c r="N365" s="9">
        <v>4.9444999999999997</v>
      </c>
      <c r="O365" s="9">
        <v>0.37409999999999999</v>
      </c>
      <c r="P365" s="9">
        <v>1.2927</v>
      </c>
      <c r="Q365" s="9">
        <v>20.5288</v>
      </c>
      <c r="R365" s="9"/>
      <c r="S365" s="11"/>
    </row>
    <row r="366" spans="1:19" ht="15.75">
      <c r="A366" s="13">
        <v>52290</v>
      </c>
      <c r="B366" s="8">
        <f>CHOOSE( CONTROL!$C$36, 10.6862, 10.6851) * CHOOSE(CONTROL!$C$19, $D$11, 100%, $F$11)</f>
        <v>10.686199999999999</v>
      </c>
      <c r="C366" s="8">
        <f>CHOOSE( CONTROL!$C$36, 10.6913, 10.6902) * CHOOSE(CONTROL!$C$19, $D$11, 100%, $F$11)</f>
        <v>10.6913</v>
      </c>
      <c r="D366" s="8">
        <f>CHOOSE( CONTROL!$C$36, 10.6925, 10.6914) * CHOOSE( CONTROL!$C$19, $D$11, 100%, $F$11)</f>
        <v>10.692500000000001</v>
      </c>
      <c r="E366" s="12">
        <f>CHOOSE( CONTROL!$C$36, 10.6915, 10.6904) * CHOOSE( CONTROL!$C$19, $D$11, 100%, $F$11)</f>
        <v>10.6915</v>
      </c>
      <c r="F366" s="4">
        <f>CHOOSE( CONTROL!$C$36, 11.3455, 11.3444) * CHOOSE(CONTROL!$C$19, $D$11, 100%, $F$11)</f>
        <v>11.345499999999999</v>
      </c>
      <c r="G366" s="8">
        <f>CHOOSE( CONTROL!$C$36, 10.5838, 10.5827) * CHOOSE( CONTROL!$C$19, $D$11, 100%, $F$11)</f>
        <v>10.5838</v>
      </c>
      <c r="H366" s="4">
        <f>CHOOSE( CONTROL!$C$36, 11.461, 11.4599) * CHOOSE(CONTROL!$C$19, $D$11, 100%, $F$11)</f>
        <v>11.461</v>
      </c>
      <c r="I366" s="8">
        <f>CHOOSE( CONTROL!$C$36, 10.5327, 10.5317) * CHOOSE(CONTROL!$C$19, $D$11, 100%, $F$11)</f>
        <v>10.5327</v>
      </c>
      <c r="J366" s="4">
        <f>CHOOSE( CONTROL!$C$36, 10.3641, 10.3631) * CHOOSE(CONTROL!$C$19, $D$11, 100%, $F$11)</f>
        <v>10.364100000000001</v>
      </c>
      <c r="K366" s="4"/>
      <c r="L366" s="9">
        <v>26.469899999999999</v>
      </c>
      <c r="M366" s="9">
        <v>10.8962</v>
      </c>
      <c r="N366" s="9">
        <v>4.4660000000000002</v>
      </c>
      <c r="O366" s="9">
        <v>0.33789999999999998</v>
      </c>
      <c r="P366" s="9">
        <v>1.1676</v>
      </c>
      <c r="Q366" s="9">
        <v>18.542200000000001</v>
      </c>
      <c r="R366" s="9"/>
      <c r="S366" s="11"/>
    </row>
    <row r="367" spans="1:19" ht="15.75">
      <c r="A367" s="13">
        <v>52321</v>
      </c>
      <c r="B367" s="8">
        <f>CHOOSE( CONTROL!$C$36, 10.4584, 10.4573) * CHOOSE(CONTROL!$C$19, $D$11, 100%, $F$11)</f>
        <v>10.458399999999999</v>
      </c>
      <c r="C367" s="8">
        <f>CHOOSE( CONTROL!$C$36, 10.4635, 10.4624) * CHOOSE(CONTROL!$C$19, $D$11, 100%, $F$11)</f>
        <v>10.4635</v>
      </c>
      <c r="D367" s="8">
        <f>CHOOSE( CONTROL!$C$36, 10.464, 10.4629) * CHOOSE( CONTROL!$C$19, $D$11, 100%, $F$11)</f>
        <v>10.464</v>
      </c>
      <c r="E367" s="12">
        <f>CHOOSE( CONTROL!$C$36, 10.4633, 10.4622) * CHOOSE( CONTROL!$C$19, $D$11, 100%, $F$11)</f>
        <v>10.4633</v>
      </c>
      <c r="F367" s="4">
        <f>CHOOSE( CONTROL!$C$36, 11.1176, 11.1165) * CHOOSE(CONTROL!$C$19, $D$11, 100%, $F$11)</f>
        <v>11.117599999999999</v>
      </c>
      <c r="G367" s="8">
        <f>CHOOSE( CONTROL!$C$36, 10.3587, 10.3576) * CHOOSE( CONTROL!$C$19, $D$11, 100%, $F$11)</f>
        <v>10.358700000000001</v>
      </c>
      <c r="H367" s="4">
        <f>CHOOSE( CONTROL!$C$36, 11.2364, 11.2353) * CHOOSE(CONTROL!$C$19, $D$11, 100%, $F$11)</f>
        <v>11.2364</v>
      </c>
      <c r="I367" s="8">
        <f>CHOOSE( CONTROL!$C$36, 10.31, 10.309) * CHOOSE(CONTROL!$C$19, $D$11, 100%, $F$11)</f>
        <v>10.31</v>
      </c>
      <c r="J367" s="4">
        <f>CHOOSE( CONTROL!$C$36, 10.1435, 10.1425) * CHOOSE(CONTROL!$C$19, $D$11, 100%, $F$11)</f>
        <v>10.1435</v>
      </c>
      <c r="K367" s="4"/>
      <c r="L367" s="9">
        <v>29.306000000000001</v>
      </c>
      <c r="M367" s="9">
        <v>12.063700000000001</v>
      </c>
      <c r="N367" s="9">
        <v>4.9444999999999997</v>
      </c>
      <c r="O367" s="9">
        <v>0.37409999999999999</v>
      </c>
      <c r="P367" s="9">
        <v>1.2927</v>
      </c>
      <c r="Q367" s="9">
        <v>20.5288</v>
      </c>
      <c r="R367" s="9"/>
      <c r="S367" s="11"/>
    </row>
    <row r="368" spans="1:19" ht="15.75">
      <c r="A368" s="13">
        <v>52351</v>
      </c>
      <c r="B368" s="8">
        <f>CHOOSE( CONTROL!$C$36, 10.6183, 10.6173) * CHOOSE(CONTROL!$C$19, $D$11, 100%, $F$11)</f>
        <v>10.6183</v>
      </c>
      <c r="C368" s="8">
        <f>CHOOSE( CONTROL!$C$36, 10.6229, 10.6218) * CHOOSE(CONTROL!$C$19, $D$11, 100%, $F$11)</f>
        <v>10.6229</v>
      </c>
      <c r="D368" s="8">
        <f>CHOOSE( CONTROL!$C$36, 10.6433, 10.6422) * CHOOSE( CONTROL!$C$19, $D$11, 100%, $F$11)</f>
        <v>10.6433</v>
      </c>
      <c r="E368" s="12">
        <f>CHOOSE( CONTROL!$C$36, 10.636, 10.6349) * CHOOSE( CONTROL!$C$19, $D$11, 100%, $F$11)</f>
        <v>10.635999999999999</v>
      </c>
      <c r="F368" s="4">
        <f>CHOOSE( CONTROL!$C$36, 11.3527, 11.3517) * CHOOSE(CONTROL!$C$19, $D$11, 100%, $F$11)</f>
        <v>11.3527</v>
      </c>
      <c r="G368" s="8">
        <f>CHOOSE( CONTROL!$C$36, 10.5238, 10.5227) * CHOOSE( CONTROL!$C$19, $D$11, 100%, $F$11)</f>
        <v>10.5238</v>
      </c>
      <c r="H368" s="4">
        <f>CHOOSE( CONTROL!$C$36, 11.4682, 11.4671) * CHOOSE(CONTROL!$C$19, $D$11, 100%, $F$11)</f>
        <v>11.4682</v>
      </c>
      <c r="I368" s="8">
        <f>CHOOSE( CONTROL!$C$36, 10.4337, 10.4327) * CHOOSE(CONTROL!$C$19, $D$11, 100%, $F$11)</f>
        <v>10.4337</v>
      </c>
      <c r="J368" s="4">
        <f>CHOOSE( CONTROL!$C$36, 10.2977, 10.2966) * CHOOSE(CONTROL!$C$19, $D$11, 100%, $F$11)</f>
        <v>10.297700000000001</v>
      </c>
      <c r="K368" s="4"/>
      <c r="L368" s="9">
        <v>30.092199999999998</v>
      </c>
      <c r="M368" s="9">
        <v>11.6745</v>
      </c>
      <c r="N368" s="9">
        <v>4.7850000000000001</v>
      </c>
      <c r="O368" s="9">
        <v>0.36199999999999999</v>
      </c>
      <c r="P368" s="9">
        <v>1.2509999999999999</v>
      </c>
      <c r="Q368" s="9">
        <v>19.866599999999998</v>
      </c>
      <c r="R368" s="9"/>
      <c r="S368" s="11"/>
    </row>
    <row r="369" spans="1:19" ht="15.75">
      <c r="A369" s="13">
        <v>52382</v>
      </c>
      <c r="B369" s="8">
        <f>CHOOSE( CONTROL!$C$36, 10.9036, 10.902) * CHOOSE(CONTROL!$C$19, $D$11, 100%, $F$11)</f>
        <v>10.903600000000001</v>
      </c>
      <c r="C369" s="8">
        <f>CHOOSE( CONTROL!$C$36, 10.9116, 10.91) * CHOOSE(CONTROL!$C$19, $D$11, 100%, $F$11)</f>
        <v>10.9116</v>
      </c>
      <c r="D369" s="8">
        <f>CHOOSE( CONTROL!$C$36, 10.9258, 10.9242) * CHOOSE( CONTROL!$C$19, $D$11, 100%, $F$11)</f>
        <v>10.925800000000001</v>
      </c>
      <c r="E369" s="12">
        <f>CHOOSE( CONTROL!$C$36, 10.9194, 10.9178) * CHOOSE( CONTROL!$C$19, $D$11, 100%, $F$11)</f>
        <v>10.9194</v>
      </c>
      <c r="F369" s="4">
        <f>CHOOSE( CONTROL!$C$36, 11.6367, 11.635) * CHOOSE(CONTROL!$C$19, $D$11, 100%, $F$11)</f>
        <v>11.636699999999999</v>
      </c>
      <c r="G369" s="8">
        <f>CHOOSE( CONTROL!$C$36, 10.8037, 10.802) * CHOOSE( CONTROL!$C$19, $D$11, 100%, $F$11)</f>
        <v>10.803699999999999</v>
      </c>
      <c r="H369" s="4">
        <f>CHOOSE( CONTROL!$C$36, 11.7482, 11.7465) * CHOOSE(CONTROL!$C$19, $D$11, 100%, $F$11)</f>
        <v>11.748200000000001</v>
      </c>
      <c r="I369" s="8">
        <f>CHOOSE( CONTROL!$C$36, 10.7084, 10.7068) * CHOOSE(CONTROL!$C$19, $D$11, 100%, $F$11)</f>
        <v>10.708399999999999</v>
      </c>
      <c r="J369" s="4">
        <f>CHOOSE( CONTROL!$C$36, 10.5726, 10.571) * CHOOSE(CONTROL!$C$19, $D$11, 100%, $F$11)</f>
        <v>10.5726</v>
      </c>
      <c r="K369" s="4"/>
      <c r="L369" s="9">
        <v>30.7165</v>
      </c>
      <c r="M369" s="9">
        <v>12.063700000000001</v>
      </c>
      <c r="N369" s="9">
        <v>4.9444999999999997</v>
      </c>
      <c r="O369" s="9">
        <v>0.37409999999999999</v>
      </c>
      <c r="P369" s="9">
        <v>1.2927</v>
      </c>
      <c r="Q369" s="9">
        <v>20.5288</v>
      </c>
      <c r="R369" s="9"/>
      <c r="S369" s="11"/>
    </row>
    <row r="370" spans="1:19" ht="15.75">
      <c r="A370" s="13">
        <v>52412</v>
      </c>
      <c r="B370" s="8">
        <f>CHOOSE( CONTROL!$C$36, 10.7281, 10.7264) * CHOOSE(CONTROL!$C$19, $D$11, 100%, $F$11)</f>
        <v>10.7281</v>
      </c>
      <c r="C370" s="8">
        <f>CHOOSE( CONTROL!$C$36, 10.7361, 10.7344) * CHOOSE(CONTROL!$C$19, $D$11, 100%, $F$11)</f>
        <v>10.7361</v>
      </c>
      <c r="D370" s="8">
        <f>CHOOSE( CONTROL!$C$36, 10.7505, 10.7488) * CHOOSE( CONTROL!$C$19, $D$11, 100%, $F$11)</f>
        <v>10.750500000000001</v>
      </c>
      <c r="E370" s="12">
        <f>CHOOSE( CONTROL!$C$36, 10.7441, 10.7424) * CHOOSE( CONTROL!$C$19, $D$11, 100%, $F$11)</f>
        <v>10.7441</v>
      </c>
      <c r="F370" s="4">
        <f>CHOOSE( CONTROL!$C$36, 11.4611, 11.4595) * CHOOSE(CONTROL!$C$19, $D$11, 100%, $F$11)</f>
        <v>11.4611</v>
      </c>
      <c r="G370" s="8">
        <f>CHOOSE( CONTROL!$C$36, 10.6308, 10.6291) * CHOOSE( CONTROL!$C$19, $D$11, 100%, $F$11)</f>
        <v>10.630800000000001</v>
      </c>
      <c r="H370" s="4">
        <f>CHOOSE( CONTROL!$C$36, 11.5751, 11.5734) * CHOOSE(CONTROL!$C$19, $D$11, 100%, $F$11)</f>
        <v>11.575100000000001</v>
      </c>
      <c r="I370" s="8">
        <f>CHOOSE( CONTROL!$C$36, 10.539, 10.5374) * CHOOSE(CONTROL!$C$19, $D$11, 100%, $F$11)</f>
        <v>10.539</v>
      </c>
      <c r="J370" s="4">
        <f>CHOOSE( CONTROL!$C$36, 10.4026, 10.401) * CHOOSE(CONTROL!$C$19, $D$11, 100%, $F$11)</f>
        <v>10.4026</v>
      </c>
      <c r="K370" s="4"/>
      <c r="L370" s="9">
        <v>29.7257</v>
      </c>
      <c r="M370" s="9">
        <v>11.6745</v>
      </c>
      <c r="N370" s="9">
        <v>4.7850000000000001</v>
      </c>
      <c r="O370" s="9">
        <v>0.36199999999999999</v>
      </c>
      <c r="P370" s="9">
        <v>1.2509999999999999</v>
      </c>
      <c r="Q370" s="9">
        <v>19.866599999999998</v>
      </c>
      <c r="R370" s="9"/>
      <c r="S370" s="11"/>
    </row>
    <row r="371" spans="1:19" ht="15.75">
      <c r="A371" s="13">
        <v>52443</v>
      </c>
      <c r="B371" s="8">
        <f>CHOOSE( CONTROL!$C$36, 11.1903, 11.1887) * CHOOSE(CONTROL!$C$19, $D$11, 100%, $F$11)</f>
        <v>11.190300000000001</v>
      </c>
      <c r="C371" s="8">
        <f>CHOOSE( CONTROL!$C$36, 11.1983, 11.1967) * CHOOSE(CONTROL!$C$19, $D$11, 100%, $F$11)</f>
        <v>11.1983</v>
      </c>
      <c r="D371" s="8">
        <f>CHOOSE( CONTROL!$C$36, 11.2129, 11.2113) * CHOOSE( CONTROL!$C$19, $D$11, 100%, $F$11)</f>
        <v>11.212899999999999</v>
      </c>
      <c r="E371" s="12">
        <f>CHOOSE( CONTROL!$C$36, 11.2064, 11.2048) * CHOOSE( CONTROL!$C$19, $D$11, 100%, $F$11)</f>
        <v>11.2064</v>
      </c>
      <c r="F371" s="4">
        <f>CHOOSE( CONTROL!$C$36, 11.9233, 11.9217) * CHOOSE(CONTROL!$C$19, $D$11, 100%, $F$11)</f>
        <v>11.923299999999999</v>
      </c>
      <c r="G371" s="8">
        <f>CHOOSE( CONTROL!$C$36, 11.0867, 11.0851) * CHOOSE( CONTROL!$C$19, $D$11, 100%, $F$11)</f>
        <v>11.0867</v>
      </c>
      <c r="H371" s="4">
        <f>CHOOSE( CONTROL!$C$36, 12.0308, 12.0292) * CHOOSE(CONTROL!$C$19, $D$11, 100%, $F$11)</f>
        <v>12.030799999999999</v>
      </c>
      <c r="I371" s="8">
        <f>CHOOSE( CONTROL!$C$36, 10.9876, 10.986) * CHOOSE(CONTROL!$C$19, $D$11, 100%, $F$11)</f>
        <v>10.9876</v>
      </c>
      <c r="J371" s="4">
        <f>CHOOSE( CONTROL!$C$36, 10.8502, 10.8486) * CHOOSE(CONTROL!$C$19, $D$11, 100%, $F$11)</f>
        <v>10.850199999999999</v>
      </c>
      <c r="K371" s="4"/>
      <c r="L371" s="9">
        <v>30.7165</v>
      </c>
      <c r="M371" s="9">
        <v>12.063700000000001</v>
      </c>
      <c r="N371" s="9">
        <v>4.9444999999999997</v>
      </c>
      <c r="O371" s="9">
        <v>0.37409999999999999</v>
      </c>
      <c r="P371" s="9">
        <v>1.2927</v>
      </c>
      <c r="Q371" s="9">
        <v>20.5288</v>
      </c>
      <c r="R371" s="9"/>
      <c r="S371" s="11"/>
    </row>
    <row r="372" spans="1:19" ht="15.75">
      <c r="A372" s="13">
        <v>52474</v>
      </c>
      <c r="B372" s="8">
        <f>CHOOSE( CONTROL!$C$36, 10.3255, 10.3238) * CHOOSE(CONTROL!$C$19, $D$11, 100%, $F$11)</f>
        <v>10.3255</v>
      </c>
      <c r="C372" s="8">
        <f>CHOOSE( CONTROL!$C$36, 10.3335, 10.3318) * CHOOSE(CONTROL!$C$19, $D$11, 100%, $F$11)</f>
        <v>10.333500000000001</v>
      </c>
      <c r="D372" s="8">
        <f>CHOOSE( CONTROL!$C$36, 10.3482, 10.3465) * CHOOSE( CONTROL!$C$19, $D$11, 100%, $F$11)</f>
        <v>10.3482</v>
      </c>
      <c r="E372" s="12">
        <f>CHOOSE( CONTROL!$C$36, 10.3417, 10.34) * CHOOSE( CONTROL!$C$19, $D$11, 100%, $F$11)</f>
        <v>10.341699999999999</v>
      </c>
      <c r="F372" s="4">
        <f>CHOOSE( CONTROL!$C$36, 11.0585, 11.0568) * CHOOSE(CONTROL!$C$19, $D$11, 100%, $F$11)</f>
        <v>11.0585</v>
      </c>
      <c r="G372" s="8">
        <f>CHOOSE( CONTROL!$C$36, 10.234, 10.2324) * CHOOSE( CONTROL!$C$19, $D$11, 100%, $F$11)</f>
        <v>10.234</v>
      </c>
      <c r="H372" s="4">
        <f>CHOOSE( CONTROL!$C$36, 11.1781, 11.1764) * CHOOSE(CONTROL!$C$19, $D$11, 100%, $F$11)</f>
        <v>11.178100000000001</v>
      </c>
      <c r="I372" s="8">
        <f>CHOOSE( CONTROL!$C$36, 10.15, 10.1484) * CHOOSE(CONTROL!$C$19, $D$11, 100%, $F$11)</f>
        <v>10.15</v>
      </c>
      <c r="J372" s="4">
        <f>CHOOSE( CONTROL!$C$36, 10.0127, 10.0111) * CHOOSE(CONTROL!$C$19, $D$11, 100%, $F$11)</f>
        <v>10.012700000000001</v>
      </c>
      <c r="K372" s="4"/>
      <c r="L372" s="9">
        <v>30.7165</v>
      </c>
      <c r="M372" s="9">
        <v>12.063700000000001</v>
      </c>
      <c r="N372" s="9">
        <v>4.9444999999999997</v>
      </c>
      <c r="O372" s="9">
        <v>0.37409999999999999</v>
      </c>
      <c r="P372" s="9">
        <v>1.2927</v>
      </c>
      <c r="Q372" s="9">
        <v>20.5288</v>
      </c>
      <c r="R372" s="9"/>
      <c r="S372" s="11"/>
    </row>
    <row r="373" spans="1:19" ht="15.75">
      <c r="A373" s="13">
        <v>52504</v>
      </c>
      <c r="B373" s="8">
        <f>CHOOSE( CONTROL!$C$36, 10.1089, 10.1072) * CHOOSE(CONTROL!$C$19, $D$11, 100%, $F$11)</f>
        <v>10.1089</v>
      </c>
      <c r="C373" s="8">
        <f>CHOOSE( CONTROL!$C$36, 10.1169, 10.1152) * CHOOSE(CONTROL!$C$19, $D$11, 100%, $F$11)</f>
        <v>10.116899999999999</v>
      </c>
      <c r="D373" s="8">
        <f>CHOOSE( CONTROL!$C$36, 10.1315, 10.1298) * CHOOSE( CONTROL!$C$19, $D$11, 100%, $F$11)</f>
        <v>10.131500000000001</v>
      </c>
      <c r="E373" s="12">
        <f>CHOOSE( CONTROL!$C$36, 10.125, 10.1233) * CHOOSE( CONTROL!$C$19, $D$11, 100%, $F$11)</f>
        <v>10.125</v>
      </c>
      <c r="F373" s="4">
        <f>CHOOSE( CONTROL!$C$36, 10.8419, 10.8403) * CHOOSE(CONTROL!$C$19, $D$11, 100%, $F$11)</f>
        <v>10.841900000000001</v>
      </c>
      <c r="G373" s="8">
        <f>CHOOSE( CONTROL!$C$36, 10.0204, 10.0187) * CHOOSE( CONTROL!$C$19, $D$11, 100%, $F$11)</f>
        <v>10.0204</v>
      </c>
      <c r="H373" s="4">
        <f>CHOOSE( CONTROL!$C$36, 10.9645, 10.9629) * CHOOSE(CONTROL!$C$19, $D$11, 100%, $F$11)</f>
        <v>10.964499999999999</v>
      </c>
      <c r="I373" s="8">
        <f>CHOOSE( CONTROL!$C$36, 9.9398, 9.9382) * CHOOSE(CONTROL!$C$19, $D$11, 100%, $F$11)</f>
        <v>9.9398</v>
      </c>
      <c r="J373" s="4">
        <f>CHOOSE( CONTROL!$C$36, 9.803, 9.8014) * CHOOSE(CONTROL!$C$19, $D$11, 100%, $F$11)</f>
        <v>9.8030000000000008</v>
      </c>
      <c r="K373" s="4"/>
      <c r="L373" s="9">
        <v>29.7257</v>
      </c>
      <c r="M373" s="9">
        <v>11.6745</v>
      </c>
      <c r="N373" s="9">
        <v>4.7850000000000001</v>
      </c>
      <c r="O373" s="9">
        <v>0.36199999999999999</v>
      </c>
      <c r="P373" s="9">
        <v>1.2509999999999999</v>
      </c>
      <c r="Q373" s="9">
        <v>19.866599999999998</v>
      </c>
      <c r="R373" s="9"/>
      <c r="S373" s="11"/>
    </row>
    <row r="374" spans="1:19" ht="15.75">
      <c r="A374" s="13">
        <v>52535</v>
      </c>
      <c r="B374" s="8">
        <f>CHOOSE( CONTROL!$C$36, 10.5563, 10.5552) * CHOOSE(CONTROL!$C$19, $D$11, 100%, $F$11)</f>
        <v>10.5563</v>
      </c>
      <c r="C374" s="8">
        <f>CHOOSE( CONTROL!$C$36, 10.5616, 10.5605) * CHOOSE(CONTROL!$C$19, $D$11, 100%, $F$11)</f>
        <v>10.5616</v>
      </c>
      <c r="D374" s="8">
        <f>CHOOSE( CONTROL!$C$36, 10.5821, 10.581) * CHOOSE( CONTROL!$C$19, $D$11, 100%, $F$11)</f>
        <v>10.582100000000001</v>
      </c>
      <c r="E374" s="12">
        <f>CHOOSE( CONTROL!$C$36, 10.5748, 10.5737) * CHOOSE( CONTROL!$C$19, $D$11, 100%, $F$11)</f>
        <v>10.5748</v>
      </c>
      <c r="F374" s="4">
        <f>CHOOSE( CONTROL!$C$36, 11.291, 11.2899) * CHOOSE(CONTROL!$C$19, $D$11, 100%, $F$11)</f>
        <v>11.291</v>
      </c>
      <c r="G374" s="8">
        <f>CHOOSE( CONTROL!$C$36, 10.4634, 10.4623) * CHOOSE( CONTROL!$C$19, $D$11, 100%, $F$11)</f>
        <v>10.4634</v>
      </c>
      <c r="H374" s="4">
        <f>CHOOSE( CONTROL!$C$36, 11.4073, 11.4063) * CHOOSE(CONTROL!$C$19, $D$11, 100%, $F$11)</f>
        <v>11.407299999999999</v>
      </c>
      <c r="I374" s="8">
        <f>CHOOSE( CONTROL!$C$36, 10.3759, 10.3749) * CHOOSE(CONTROL!$C$19, $D$11, 100%, $F$11)</f>
        <v>10.3759</v>
      </c>
      <c r="J374" s="4">
        <f>CHOOSE( CONTROL!$C$36, 10.2379, 10.2369) * CHOOSE(CONTROL!$C$19, $D$11, 100%, $F$11)</f>
        <v>10.2379</v>
      </c>
      <c r="K374" s="4"/>
      <c r="L374" s="9">
        <v>31.095300000000002</v>
      </c>
      <c r="M374" s="9">
        <v>12.063700000000001</v>
      </c>
      <c r="N374" s="9">
        <v>4.9444999999999997</v>
      </c>
      <c r="O374" s="9">
        <v>0.37409999999999999</v>
      </c>
      <c r="P374" s="9">
        <v>1.2927</v>
      </c>
      <c r="Q374" s="9">
        <v>20.5288</v>
      </c>
      <c r="R374" s="9"/>
      <c r="S374" s="11"/>
    </row>
    <row r="375" spans="1:19" ht="15.75">
      <c r="A375" s="13">
        <v>52565</v>
      </c>
      <c r="B375" s="8">
        <f>CHOOSE( CONTROL!$C$36, 11.3859, 11.3848) * CHOOSE(CONTROL!$C$19, $D$11, 100%, $F$11)</f>
        <v>11.385899999999999</v>
      </c>
      <c r="C375" s="8">
        <f>CHOOSE( CONTROL!$C$36, 11.391, 11.3899) * CHOOSE(CONTROL!$C$19, $D$11, 100%, $F$11)</f>
        <v>11.391</v>
      </c>
      <c r="D375" s="8">
        <f>CHOOSE( CONTROL!$C$36, 11.3702, 11.3691) * CHOOSE( CONTROL!$C$19, $D$11, 100%, $F$11)</f>
        <v>11.370200000000001</v>
      </c>
      <c r="E375" s="12">
        <f>CHOOSE( CONTROL!$C$36, 11.3773, 11.3762) * CHOOSE( CONTROL!$C$19, $D$11, 100%, $F$11)</f>
        <v>11.3773</v>
      </c>
      <c r="F375" s="4">
        <f>CHOOSE( CONTROL!$C$36, 12.0451, 12.044) * CHOOSE(CONTROL!$C$19, $D$11, 100%, $F$11)</f>
        <v>12.0451</v>
      </c>
      <c r="G375" s="8">
        <f>CHOOSE( CONTROL!$C$36, 11.2618, 11.2607) * CHOOSE( CONTROL!$C$19, $D$11, 100%, $F$11)</f>
        <v>11.261799999999999</v>
      </c>
      <c r="H375" s="4">
        <f>CHOOSE( CONTROL!$C$36, 12.1509, 12.1498) * CHOOSE(CONTROL!$C$19, $D$11, 100%, $F$11)</f>
        <v>12.1509</v>
      </c>
      <c r="I375" s="8">
        <f>CHOOSE( CONTROL!$C$36, 11.2291, 11.2281) * CHOOSE(CONTROL!$C$19, $D$11, 100%, $F$11)</f>
        <v>11.229100000000001</v>
      </c>
      <c r="J375" s="4">
        <f>CHOOSE( CONTROL!$C$36, 11.0416, 11.0405) * CHOOSE(CONTROL!$C$19, $D$11, 100%, $F$11)</f>
        <v>11.041600000000001</v>
      </c>
      <c r="K375" s="4"/>
      <c r="L375" s="9">
        <v>28.360600000000002</v>
      </c>
      <c r="M375" s="9">
        <v>11.6745</v>
      </c>
      <c r="N375" s="9">
        <v>4.7850000000000001</v>
      </c>
      <c r="O375" s="9">
        <v>0.36199999999999999</v>
      </c>
      <c r="P375" s="9">
        <v>1.2509999999999999</v>
      </c>
      <c r="Q375" s="9">
        <v>19.866599999999998</v>
      </c>
      <c r="R375" s="9"/>
      <c r="S375" s="11"/>
    </row>
    <row r="376" spans="1:19" ht="15.75">
      <c r="A376" s="13">
        <v>52596</v>
      </c>
      <c r="B376" s="8">
        <f>CHOOSE( CONTROL!$C$36, 11.3651, 11.364) * CHOOSE(CONTROL!$C$19, $D$11, 100%, $F$11)</f>
        <v>11.3651</v>
      </c>
      <c r="C376" s="8">
        <f>CHOOSE( CONTROL!$C$36, 11.3702, 11.3691) * CHOOSE(CONTROL!$C$19, $D$11, 100%, $F$11)</f>
        <v>11.370200000000001</v>
      </c>
      <c r="D376" s="8">
        <f>CHOOSE( CONTROL!$C$36, 11.3508, 11.3497) * CHOOSE( CONTROL!$C$19, $D$11, 100%, $F$11)</f>
        <v>11.3508</v>
      </c>
      <c r="E376" s="12">
        <f>CHOOSE( CONTROL!$C$36, 11.3574, 11.3563) * CHOOSE( CONTROL!$C$19, $D$11, 100%, $F$11)</f>
        <v>11.3574</v>
      </c>
      <c r="F376" s="4">
        <f>CHOOSE( CONTROL!$C$36, 12.0244, 12.0233) * CHOOSE(CONTROL!$C$19, $D$11, 100%, $F$11)</f>
        <v>12.0244</v>
      </c>
      <c r="G376" s="8">
        <f>CHOOSE( CONTROL!$C$36, 11.2423, 11.2412) * CHOOSE( CONTROL!$C$19, $D$11, 100%, $F$11)</f>
        <v>11.2423</v>
      </c>
      <c r="H376" s="4">
        <f>CHOOSE( CONTROL!$C$36, 12.1305, 12.1294) * CHOOSE(CONTROL!$C$19, $D$11, 100%, $F$11)</f>
        <v>12.1305</v>
      </c>
      <c r="I376" s="8">
        <f>CHOOSE( CONTROL!$C$36, 11.2133, 11.2123) * CHOOSE(CONTROL!$C$19, $D$11, 100%, $F$11)</f>
        <v>11.2133</v>
      </c>
      <c r="J376" s="4">
        <f>CHOOSE( CONTROL!$C$36, 11.0215, 11.0205) * CHOOSE(CONTROL!$C$19, $D$11, 100%, $F$11)</f>
        <v>11.0215</v>
      </c>
      <c r="K376" s="4"/>
      <c r="L376" s="9">
        <v>29.306000000000001</v>
      </c>
      <c r="M376" s="9">
        <v>12.063700000000001</v>
      </c>
      <c r="N376" s="9">
        <v>4.9444999999999997</v>
      </c>
      <c r="O376" s="9">
        <v>0.37409999999999999</v>
      </c>
      <c r="P376" s="9">
        <v>1.2927</v>
      </c>
      <c r="Q376" s="9">
        <v>20.5288</v>
      </c>
      <c r="R376" s="9"/>
      <c r="S376" s="11"/>
    </row>
    <row r="377" spans="1:19" ht="15.75">
      <c r="A377" s="13">
        <v>52627</v>
      </c>
      <c r="B377" s="8">
        <f>CHOOSE( CONTROL!$C$36, 11.7008, 11.6997) * CHOOSE(CONTROL!$C$19, $D$11, 100%, $F$11)</f>
        <v>11.700799999999999</v>
      </c>
      <c r="C377" s="8">
        <f>CHOOSE( CONTROL!$C$36, 11.7059, 11.7048) * CHOOSE(CONTROL!$C$19, $D$11, 100%, $F$11)</f>
        <v>11.7059</v>
      </c>
      <c r="D377" s="8">
        <f>CHOOSE( CONTROL!$C$36, 11.7072, 11.7061) * CHOOSE( CONTROL!$C$19, $D$11, 100%, $F$11)</f>
        <v>11.7072</v>
      </c>
      <c r="E377" s="12">
        <f>CHOOSE( CONTROL!$C$36, 11.7062, 11.7051) * CHOOSE( CONTROL!$C$19, $D$11, 100%, $F$11)</f>
        <v>11.706200000000001</v>
      </c>
      <c r="F377" s="4">
        <f>CHOOSE( CONTROL!$C$36, 12.3601, 12.359) * CHOOSE(CONTROL!$C$19, $D$11, 100%, $F$11)</f>
        <v>12.360099999999999</v>
      </c>
      <c r="G377" s="8">
        <f>CHOOSE( CONTROL!$C$36, 11.5844, 11.5833) * CHOOSE( CONTROL!$C$19, $D$11, 100%, $F$11)</f>
        <v>11.5844</v>
      </c>
      <c r="H377" s="4">
        <f>CHOOSE( CONTROL!$C$36, 12.4615, 12.4604) * CHOOSE(CONTROL!$C$19, $D$11, 100%, $F$11)</f>
        <v>12.461499999999999</v>
      </c>
      <c r="I377" s="8">
        <f>CHOOSE( CONTROL!$C$36, 11.5161, 11.515) * CHOOSE(CONTROL!$C$19, $D$11, 100%, $F$11)</f>
        <v>11.5161</v>
      </c>
      <c r="J377" s="4">
        <f>CHOOSE( CONTROL!$C$36, 11.3466, 11.3455) * CHOOSE(CONTROL!$C$19, $D$11, 100%, $F$11)</f>
        <v>11.3466</v>
      </c>
      <c r="K377" s="4"/>
      <c r="L377" s="9">
        <v>29.306000000000001</v>
      </c>
      <c r="M377" s="9">
        <v>12.063700000000001</v>
      </c>
      <c r="N377" s="9">
        <v>4.9444999999999997</v>
      </c>
      <c r="O377" s="9">
        <v>0.37409999999999999</v>
      </c>
      <c r="P377" s="9">
        <v>1.2927</v>
      </c>
      <c r="Q377" s="9">
        <v>20.4619</v>
      </c>
      <c r="R377" s="9"/>
      <c r="S377" s="11"/>
    </row>
    <row r="378" spans="1:19" ht="15.75">
      <c r="A378" s="13">
        <v>52655</v>
      </c>
      <c r="B378" s="8">
        <f>CHOOSE( CONTROL!$C$36, 10.9434, 10.9423) * CHOOSE(CONTROL!$C$19, $D$11, 100%, $F$11)</f>
        <v>10.9434</v>
      </c>
      <c r="C378" s="8">
        <f>CHOOSE( CONTROL!$C$36, 10.9485, 10.9474) * CHOOSE(CONTROL!$C$19, $D$11, 100%, $F$11)</f>
        <v>10.948499999999999</v>
      </c>
      <c r="D378" s="8">
        <f>CHOOSE( CONTROL!$C$36, 10.9496, 10.9485) * CHOOSE( CONTROL!$C$19, $D$11, 100%, $F$11)</f>
        <v>10.9496</v>
      </c>
      <c r="E378" s="12">
        <f>CHOOSE( CONTROL!$C$36, 10.9487, 10.9476) * CHOOSE( CONTROL!$C$19, $D$11, 100%, $F$11)</f>
        <v>10.948700000000001</v>
      </c>
      <c r="F378" s="4">
        <f>CHOOSE( CONTROL!$C$36, 11.6026, 11.6015) * CHOOSE(CONTROL!$C$19, $D$11, 100%, $F$11)</f>
        <v>11.602600000000001</v>
      </c>
      <c r="G378" s="8">
        <f>CHOOSE( CONTROL!$C$36, 10.8374, 10.8363) * CHOOSE( CONTROL!$C$19, $D$11, 100%, $F$11)</f>
        <v>10.837400000000001</v>
      </c>
      <c r="H378" s="4">
        <f>CHOOSE( CONTROL!$C$36, 11.7146, 11.7135) * CHOOSE(CONTROL!$C$19, $D$11, 100%, $F$11)</f>
        <v>11.714600000000001</v>
      </c>
      <c r="I378" s="8">
        <f>CHOOSE( CONTROL!$C$36, 10.7818, 10.7808) * CHOOSE(CONTROL!$C$19, $D$11, 100%, $F$11)</f>
        <v>10.7818</v>
      </c>
      <c r="J378" s="4">
        <f>CHOOSE( CONTROL!$C$36, 10.6131, 10.6121) * CHOOSE(CONTROL!$C$19, $D$11, 100%, $F$11)</f>
        <v>10.613099999999999</v>
      </c>
      <c r="K378" s="4"/>
      <c r="L378" s="9">
        <v>27.415299999999998</v>
      </c>
      <c r="M378" s="9">
        <v>11.285299999999999</v>
      </c>
      <c r="N378" s="9">
        <v>4.6254999999999997</v>
      </c>
      <c r="O378" s="9">
        <v>0.34989999999999999</v>
      </c>
      <c r="P378" s="9">
        <v>1.2093</v>
      </c>
      <c r="Q378" s="9">
        <v>19.1417</v>
      </c>
      <c r="R378" s="9"/>
      <c r="S378" s="11"/>
    </row>
    <row r="379" spans="1:19" ht="15.75">
      <c r="A379" s="13">
        <v>52687</v>
      </c>
      <c r="B379" s="8">
        <f>CHOOSE( CONTROL!$C$36, 10.7101, 10.709) * CHOOSE(CONTROL!$C$19, $D$11, 100%, $F$11)</f>
        <v>10.710100000000001</v>
      </c>
      <c r="C379" s="8">
        <f>CHOOSE( CONTROL!$C$36, 10.7152, 10.7141) * CHOOSE(CONTROL!$C$19, $D$11, 100%, $F$11)</f>
        <v>10.715199999999999</v>
      </c>
      <c r="D379" s="8">
        <f>CHOOSE( CONTROL!$C$36, 10.7157, 10.7146) * CHOOSE( CONTROL!$C$19, $D$11, 100%, $F$11)</f>
        <v>10.7157</v>
      </c>
      <c r="E379" s="12">
        <f>CHOOSE( CONTROL!$C$36, 10.715, 10.7139) * CHOOSE( CONTROL!$C$19, $D$11, 100%, $F$11)</f>
        <v>10.715</v>
      </c>
      <c r="F379" s="4">
        <f>CHOOSE( CONTROL!$C$36, 11.3693, 11.3682) * CHOOSE(CONTROL!$C$19, $D$11, 100%, $F$11)</f>
        <v>11.369300000000001</v>
      </c>
      <c r="G379" s="8">
        <f>CHOOSE( CONTROL!$C$36, 10.6069, 10.6058) * CHOOSE( CONTROL!$C$19, $D$11, 100%, $F$11)</f>
        <v>10.6069</v>
      </c>
      <c r="H379" s="4">
        <f>CHOOSE( CONTROL!$C$36, 11.4845, 11.4835) * CHOOSE(CONTROL!$C$19, $D$11, 100%, $F$11)</f>
        <v>11.484500000000001</v>
      </c>
      <c r="I379" s="8">
        <f>CHOOSE( CONTROL!$C$36, 10.5538, 10.5528) * CHOOSE(CONTROL!$C$19, $D$11, 100%, $F$11)</f>
        <v>10.553800000000001</v>
      </c>
      <c r="J379" s="4">
        <f>CHOOSE( CONTROL!$C$36, 10.3872, 10.3862) * CHOOSE(CONTROL!$C$19, $D$11, 100%, $F$11)</f>
        <v>10.3872</v>
      </c>
      <c r="K379" s="4"/>
      <c r="L379" s="9">
        <v>29.306000000000001</v>
      </c>
      <c r="M379" s="9">
        <v>12.063700000000001</v>
      </c>
      <c r="N379" s="9">
        <v>4.9444999999999997</v>
      </c>
      <c r="O379" s="9">
        <v>0.37409999999999999</v>
      </c>
      <c r="P379" s="9">
        <v>1.2927</v>
      </c>
      <c r="Q379" s="9">
        <v>20.4619</v>
      </c>
      <c r="R379" s="9"/>
      <c r="S379" s="11"/>
    </row>
    <row r="380" spans="1:19" ht="15.75">
      <c r="A380" s="13">
        <v>52717</v>
      </c>
      <c r="B380" s="8">
        <f>CHOOSE( CONTROL!$C$36, 10.8738, 10.8728) * CHOOSE(CONTROL!$C$19, $D$11, 100%, $F$11)</f>
        <v>10.873799999999999</v>
      </c>
      <c r="C380" s="8">
        <f>CHOOSE( CONTROL!$C$36, 10.8784, 10.8773) * CHOOSE(CONTROL!$C$19, $D$11, 100%, $F$11)</f>
        <v>10.878399999999999</v>
      </c>
      <c r="D380" s="8">
        <f>CHOOSE( CONTROL!$C$36, 10.8988, 10.8977) * CHOOSE( CONTROL!$C$19, $D$11, 100%, $F$11)</f>
        <v>10.8988</v>
      </c>
      <c r="E380" s="12">
        <f>CHOOSE( CONTROL!$C$36, 10.8915, 10.8904) * CHOOSE( CONTROL!$C$19, $D$11, 100%, $F$11)</f>
        <v>10.891500000000001</v>
      </c>
      <c r="F380" s="4">
        <f>CHOOSE( CONTROL!$C$36, 11.6082, 11.6072) * CHOOSE(CONTROL!$C$19, $D$11, 100%, $F$11)</f>
        <v>11.6082</v>
      </c>
      <c r="G380" s="8">
        <f>CHOOSE( CONTROL!$C$36, 10.7757, 10.7747) * CHOOSE( CONTROL!$C$19, $D$11, 100%, $F$11)</f>
        <v>10.775700000000001</v>
      </c>
      <c r="H380" s="4">
        <f>CHOOSE( CONTROL!$C$36, 11.7201, 11.7191) * CHOOSE(CONTROL!$C$19, $D$11, 100%, $F$11)</f>
        <v>11.7201</v>
      </c>
      <c r="I380" s="8">
        <f>CHOOSE( CONTROL!$C$36, 10.6813, 10.6802) * CHOOSE(CONTROL!$C$19, $D$11, 100%, $F$11)</f>
        <v>10.6813</v>
      </c>
      <c r="J380" s="4">
        <f>CHOOSE( CONTROL!$C$36, 10.5451, 10.544) * CHOOSE(CONTROL!$C$19, $D$11, 100%, $F$11)</f>
        <v>10.5451</v>
      </c>
      <c r="K380" s="4"/>
      <c r="L380" s="9">
        <v>30.092199999999998</v>
      </c>
      <c r="M380" s="9">
        <v>11.6745</v>
      </c>
      <c r="N380" s="9">
        <v>4.7850000000000001</v>
      </c>
      <c r="O380" s="9">
        <v>0.36199999999999999</v>
      </c>
      <c r="P380" s="9">
        <v>1.2509999999999999</v>
      </c>
      <c r="Q380" s="9">
        <v>19.8018</v>
      </c>
      <c r="R380" s="9"/>
      <c r="S380" s="11"/>
    </row>
    <row r="381" spans="1:19" ht="15.75">
      <c r="A381" s="13">
        <v>52748</v>
      </c>
      <c r="B381" s="8">
        <f>CHOOSE( CONTROL!$C$36, 11.1659, 11.1643) * CHOOSE(CONTROL!$C$19, $D$11, 100%, $F$11)</f>
        <v>11.165900000000001</v>
      </c>
      <c r="C381" s="8">
        <f>CHOOSE( CONTROL!$C$36, 11.1739, 11.1723) * CHOOSE(CONTROL!$C$19, $D$11, 100%, $F$11)</f>
        <v>11.1739</v>
      </c>
      <c r="D381" s="8">
        <f>CHOOSE( CONTROL!$C$36, 11.1881, 11.1865) * CHOOSE( CONTROL!$C$19, $D$11, 100%, $F$11)</f>
        <v>11.1881</v>
      </c>
      <c r="E381" s="12">
        <f>CHOOSE( CONTROL!$C$36, 11.1817, 11.1801) * CHOOSE( CONTROL!$C$19, $D$11, 100%, $F$11)</f>
        <v>11.181699999999999</v>
      </c>
      <c r="F381" s="4">
        <f>CHOOSE( CONTROL!$C$36, 11.899, 11.8973) * CHOOSE(CONTROL!$C$19, $D$11, 100%, $F$11)</f>
        <v>11.898999999999999</v>
      </c>
      <c r="G381" s="8">
        <f>CHOOSE( CONTROL!$C$36, 11.0623, 11.0607) * CHOOSE( CONTROL!$C$19, $D$11, 100%, $F$11)</f>
        <v>11.0623</v>
      </c>
      <c r="H381" s="4">
        <f>CHOOSE( CONTROL!$C$36, 12.0068, 12.0052) * CHOOSE(CONTROL!$C$19, $D$11, 100%, $F$11)</f>
        <v>12.0068</v>
      </c>
      <c r="I381" s="8">
        <f>CHOOSE( CONTROL!$C$36, 10.9625, 10.9609) * CHOOSE(CONTROL!$C$19, $D$11, 100%, $F$11)</f>
        <v>10.9625</v>
      </c>
      <c r="J381" s="4">
        <f>CHOOSE( CONTROL!$C$36, 10.8266, 10.825) * CHOOSE(CONTROL!$C$19, $D$11, 100%, $F$11)</f>
        <v>10.826599999999999</v>
      </c>
      <c r="K381" s="4"/>
      <c r="L381" s="9">
        <v>30.7165</v>
      </c>
      <c r="M381" s="9">
        <v>12.063700000000001</v>
      </c>
      <c r="N381" s="9">
        <v>4.9444999999999997</v>
      </c>
      <c r="O381" s="9">
        <v>0.37409999999999999</v>
      </c>
      <c r="P381" s="9">
        <v>1.2927</v>
      </c>
      <c r="Q381" s="9">
        <v>20.4619</v>
      </c>
      <c r="R381" s="9"/>
      <c r="S381" s="11"/>
    </row>
    <row r="382" spans="1:19" ht="15.75">
      <c r="A382" s="13">
        <v>52778</v>
      </c>
      <c r="B382" s="8">
        <f>CHOOSE( CONTROL!$C$36, 10.9862, 10.9845) * CHOOSE(CONTROL!$C$19, $D$11, 100%, $F$11)</f>
        <v>10.9862</v>
      </c>
      <c r="C382" s="8">
        <f>CHOOSE( CONTROL!$C$36, 10.9942, 10.9925) * CHOOSE(CONTROL!$C$19, $D$11, 100%, $F$11)</f>
        <v>10.994199999999999</v>
      </c>
      <c r="D382" s="8">
        <f>CHOOSE( CONTROL!$C$36, 11.0086, 11.0069) * CHOOSE( CONTROL!$C$19, $D$11, 100%, $F$11)</f>
        <v>11.008599999999999</v>
      </c>
      <c r="E382" s="12">
        <f>CHOOSE( CONTROL!$C$36, 11.0022, 11.0005) * CHOOSE( CONTROL!$C$19, $D$11, 100%, $F$11)</f>
        <v>11.0022</v>
      </c>
      <c r="F382" s="4">
        <f>CHOOSE( CONTROL!$C$36, 11.7192, 11.7176) * CHOOSE(CONTROL!$C$19, $D$11, 100%, $F$11)</f>
        <v>11.719200000000001</v>
      </c>
      <c r="G382" s="8">
        <f>CHOOSE( CONTROL!$C$36, 10.8853, 10.8836) * CHOOSE( CONTROL!$C$19, $D$11, 100%, $F$11)</f>
        <v>10.885300000000001</v>
      </c>
      <c r="H382" s="4">
        <f>CHOOSE( CONTROL!$C$36, 11.8296, 11.8279) * CHOOSE(CONTROL!$C$19, $D$11, 100%, $F$11)</f>
        <v>11.829599999999999</v>
      </c>
      <c r="I382" s="8">
        <f>CHOOSE( CONTROL!$C$36, 10.789, 10.7874) * CHOOSE(CONTROL!$C$19, $D$11, 100%, $F$11)</f>
        <v>10.789</v>
      </c>
      <c r="J382" s="4">
        <f>CHOOSE( CONTROL!$C$36, 10.6525, 10.6509) * CHOOSE(CONTROL!$C$19, $D$11, 100%, $F$11)</f>
        <v>10.6525</v>
      </c>
      <c r="K382" s="4"/>
      <c r="L382" s="9">
        <v>29.7257</v>
      </c>
      <c r="M382" s="9">
        <v>11.6745</v>
      </c>
      <c r="N382" s="9">
        <v>4.7850000000000001</v>
      </c>
      <c r="O382" s="9">
        <v>0.36199999999999999</v>
      </c>
      <c r="P382" s="9">
        <v>1.2509999999999999</v>
      </c>
      <c r="Q382" s="9">
        <v>19.8018</v>
      </c>
      <c r="R382" s="9"/>
      <c r="S382" s="11"/>
    </row>
    <row r="383" spans="1:19" ht="15.75">
      <c r="A383" s="13">
        <v>52809</v>
      </c>
      <c r="B383" s="8">
        <f>CHOOSE( CONTROL!$C$36, 11.4595, 11.4579) * CHOOSE(CONTROL!$C$19, $D$11, 100%, $F$11)</f>
        <v>11.4595</v>
      </c>
      <c r="C383" s="8">
        <f>CHOOSE( CONTROL!$C$36, 11.4675, 11.4658) * CHOOSE(CONTROL!$C$19, $D$11, 100%, $F$11)</f>
        <v>11.467499999999999</v>
      </c>
      <c r="D383" s="8">
        <f>CHOOSE( CONTROL!$C$36, 11.4821, 11.4805) * CHOOSE( CONTROL!$C$19, $D$11, 100%, $F$11)</f>
        <v>11.482100000000001</v>
      </c>
      <c r="E383" s="12">
        <f>CHOOSE( CONTROL!$C$36, 11.4756, 11.474) * CHOOSE( CONTROL!$C$19, $D$11, 100%, $F$11)</f>
        <v>11.4756</v>
      </c>
      <c r="F383" s="4">
        <f>CHOOSE( CONTROL!$C$36, 12.1925, 12.1909) * CHOOSE(CONTROL!$C$19, $D$11, 100%, $F$11)</f>
        <v>12.192500000000001</v>
      </c>
      <c r="G383" s="8">
        <f>CHOOSE( CONTROL!$C$36, 11.3522, 11.3505) * CHOOSE( CONTROL!$C$19, $D$11, 100%, $F$11)</f>
        <v>11.3522</v>
      </c>
      <c r="H383" s="4">
        <f>CHOOSE( CONTROL!$C$36, 12.2963, 12.2946) * CHOOSE(CONTROL!$C$19, $D$11, 100%, $F$11)</f>
        <v>12.2963</v>
      </c>
      <c r="I383" s="8">
        <f>CHOOSE( CONTROL!$C$36, 11.2484, 11.2468) * CHOOSE(CONTROL!$C$19, $D$11, 100%, $F$11)</f>
        <v>11.2484</v>
      </c>
      <c r="J383" s="4">
        <f>CHOOSE( CONTROL!$C$36, 11.1108, 11.1092) * CHOOSE(CONTROL!$C$19, $D$11, 100%, $F$11)</f>
        <v>11.110799999999999</v>
      </c>
      <c r="K383" s="4"/>
      <c r="L383" s="9">
        <v>30.7165</v>
      </c>
      <c r="M383" s="9">
        <v>12.063700000000001</v>
      </c>
      <c r="N383" s="9">
        <v>4.9444999999999997</v>
      </c>
      <c r="O383" s="9">
        <v>0.37409999999999999</v>
      </c>
      <c r="P383" s="9">
        <v>1.2927</v>
      </c>
      <c r="Q383" s="9">
        <v>20.4619</v>
      </c>
      <c r="R383" s="9"/>
      <c r="S383" s="11"/>
    </row>
    <row r="384" spans="1:19" ht="15.75">
      <c r="A384" s="13">
        <v>52840</v>
      </c>
      <c r="B384" s="8">
        <f>CHOOSE( CONTROL!$C$36, 10.5739, 10.5722) * CHOOSE(CONTROL!$C$19, $D$11, 100%, $F$11)</f>
        <v>10.5739</v>
      </c>
      <c r="C384" s="8">
        <f>CHOOSE( CONTROL!$C$36, 10.5819, 10.5802) * CHOOSE(CONTROL!$C$19, $D$11, 100%, $F$11)</f>
        <v>10.581899999999999</v>
      </c>
      <c r="D384" s="8">
        <f>CHOOSE( CONTROL!$C$36, 10.5966, 10.5949) * CHOOSE( CONTROL!$C$19, $D$11, 100%, $F$11)</f>
        <v>10.5966</v>
      </c>
      <c r="E384" s="12">
        <f>CHOOSE( CONTROL!$C$36, 10.5901, 10.5884) * CHOOSE( CONTROL!$C$19, $D$11, 100%, $F$11)</f>
        <v>10.5901</v>
      </c>
      <c r="F384" s="4">
        <f>CHOOSE( CONTROL!$C$36, 11.3069, 11.3053) * CHOOSE(CONTROL!$C$19, $D$11, 100%, $F$11)</f>
        <v>11.306900000000001</v>
      </c>
      <c r="G384" s="8">
        <f>CHOOSE( CONTROL!$C$36, 10.4789, 10.4773) * CHOOSE( CONTROL!$C$19, $D$11, 100%, $F$11)</f>
        <v>10.478899999999999</v>
      </c>
      <c r="H384" s="4">
        <f>CHOOSE( CONTROL!$C$36, 11.423, 11.4214) * CHOOSE(CONTROL!$C$19, $D$11, 100%, $F$11)</f>
        <v>11.423</v>
      </c>
      <c r="I384" s="8">
        <f>CHOOSE( CONTROL!$C$36, 10.3906, 10.389) * CHOOSE(CONTROL!$C$19, $D$11, 100%, $F$11)</f>
        <v>10.390599999999999</v>
      </c>
      <c r="J384" s="4">
        <f>CHOOSE( CONTROL!$C$36, 10.2533, 10.2517) * CHOOSE(CONTROL!$C$19, $D$11, 100%, $F$11)</f>
        <v>10.253299999999999</v>
      </c>
      <c r="K384" s="4"/>
      <c r="L384" s="9">
        <v>30.7165</v>
      </c>
      <c r="M384" s="9">
        <v>12.063700000000001</v>
      </c>
      <c r="N384" s="9">
        <v>4.9444999999999997</v>
      </c>
      <c r="O384" s="9">
        <v>0.37409999999999999</v>
      </c>
      <c r="P384" s="9">
        <v>1.2927</v>
      </c>
      <c r="Q384" s="9">
        <v>20.4619</v>
      </c>
      <c r="R384" s="9"/>
      <c r="S384" s="11"/>
    </row>
    <row r="385" spans="1:19" ht="15.75">
      <c r="A385" s="13">
        <v>52870</v>
      </c>
      <c r="B385" s="8">
        <f>CHOOSE( CONTROL!$C$36, 10.3521, 10.3505) * CHOOSE(CONTROL!$C$19, $D$11, 100%, $F$11)</f>
        <v>10.3521</v>
      </c>
      <c r="C385" s="8">
        <f>CHOOSE( CONTROL!$C$36, 10.3601, 10.3585) * CHOOSE(CONTROL!$C$19, $D$11, 100%, $F$11)</f>
        <v>10.360099999999999</v>
      </c>
      <c r="D385" s="8">
        <f>CHOOSE( CONTROL!$C$36, 10.3747, 10.373) * CHOOSE( CONTROL!$C$19, $D$11, 100%, $F$11)</f>
        <v>10.374700000000001</v>
      </c>
      <c r="E385" s="12">
        <f>CHOOSE( CONTROL!$C$36, 10.3682, 10.3665) * CHOOSE( CONTROL!$C$19, $D$11, 100%, $F$11)</f>
        <v>10.3682</v>
      </c>
      <c r="F385" s="4">
        <f>CHOOSE( CONTROL!$C$36, 11.0851, 11.0835) * CHOOSE(CONTROL!$C$19, $D$11, 100%, $F$11)</f>
        <v>11.085100000000001</v>
      </c>
      <c r="G385" s="8">
        <f>CHOOSE( CONTROL!$C$36, 10.2602, 10.2585) * CHOOSE( CONTROL!$C$19, $D$11, 100%, $F$11)</f>
        <v>10.260199999999999</v>
      </c>
      <c r="H385" s="4">
        <f>CHOOSE( CONTROL!$C$36, 11.2043, 11.2027) * CHOOSE(CONTROL!$C$19, $D$11, 100%, $F$11)</f>
        <v>11.2043</v>
      </c>
      <c r="I385" s="8">
        <f>CHOOSE( CONTROL!$C$36, 10.1754, 10.1738) * CHOOSE(CONTROL!$C$19, $D$11, 100%, $F$11)</f>
        <v>10.1754</v>
      </c>
      <c r="J385" s="4">
        <f>CHOOSE( CONTROL!$C$36, 10.0385, 10.0369) * CHOOSE(CONTROL!$C$19, $D$11, 100%, $F$11)</f>
        <v>10.038500000000001</v>
      </c>
      <c r="K385" s="4"/>
      <c r="L385" s="9">
        <v>29.7257</v>
      </c>
      <c r="M385" s="9">
        <v>11.6745</v>
      </c>
      <c r="N385" s="9">
        <v>4.7850000000000001</v>
      </c>
      <c r="O385" s="9">
        <v>0.36199999999999999</v>
      </c>
      <c r="P385" s="9">
        <v>1.2509999999999999</v>
      </c>
      <c r="Q385" s="9">
        <v>19.8018</v>
      </c>
      <c r="R385" s="9"/>
      <c r="S385" s="11"/>
    </row>
    <row r="386" spans="1:19" ht="15.75">
      <c r="A386" s="13">
        <v>52901</v>
      </c>
      <c r="B386" s="8">
        <f>CHOOSE( CONTROL!$C$36, 10.8103, 10.8092) * CHOOSE(CONTROL!$C$19, $D$11, 100%, $F$11)</f>
        <v>10.8103</v>
      </c>
      <c r="C386" s="8">
        <f>CHOOSE( CONTROL!$C$36, 10.8156, 10.8146) * CHOOSE(CONTROL!$C$19, $D$11, 100%, $F$11)</f>
        <v>10.8156</v>
      </c>
      <c r="D386" s="8">
        <f>CHOOSE( CONTROL!$C$36, 10.8361, 10.835) * CHOOSE( CONTROL!$C$19, $D$11, 100%, $F$11)</f>
        <v>10.8361</v>
      </c>
      <c r="E386" s="12">
        <f>CHOOSE( CONTROL!$C$36, 10.8288, 10.8277) * CHOOSE( CONTROL!$C$19, $D$11, 100%, $F$11)</f>
        <v>10.828799999999999</v>
      </c>
      <c r="F386" s="4">
        <f>CHOOSE( CONTROL!$C$36, 11.545, 11.544) * CHOOSE(CONTROL!$C$19, $D$11, 100%, $F$11)</f>
        <v>11.545</v>
      </c>
      <c r="G386" s="8">
        <f>CHOOSE( CONTROL!$C$36, 10.7139, 10.7128) * CHOOSE( CONTROL!$C$19, $D$11, 100%, $F$11)</f>
        <v>10.713900000000001</v>
      </c>
      <c r="H386" s="4">
        <f>CHOOSE( CONTROL!$C$36, 11.6578, 11.6567) * CHOOSE(CONTROL!$C$19, $D$11, 100%, $F$11)</f>
        <v>11.6578</v>
      </c>
      <c r="I386" s="8">
        <f>CHOOSE( CONTROL!$C$36, 10.622, 10.621) * CHOOSE(CONTROL!$C$19, $D$11, 100%, $F$11)</f>
        <v>10.622</v>
      </c>
      <c r="J386" s="4">
        <f>CHOOSE( CONTROL!$C$36, 10.4839, 10.4828) * CHOOSE(CONTROL!$C$19, $D$11, 100%, $F$11)</f>
        <v>10.4839</v>
      </c>
      <c r="K386" s="4"/>
      <c r="L386" s="9">
        <v>31.095300000000002</v>
      </c>
      <c r="M386" s="9">
        <v>12.063700000000001</v>
      </c>
      <c r="N386" s="9">
        <v>4.9444999999999997</v>
      </c>
      <c r="O386" s="9">
        <v>0.37409999999999999</v>
      </c>
      <c r="P386" s="9">
        <v>1.2927</v>
      </c>
      <c r="Q386" s="9">
        <v>20.4619</v>
      </c>
      <c r="R386" s="9"/>
      <c r="S386" s="11"/>
    </row>
    <row r="387" spans="1:19" ht="15.75">
      <c r="A387" s="13">
        <v>52931</v>
      </c>
      <c r="B387" s="8">
        <f>CHOOSE( CONTROL!$C$36, 11.6598, 11.6587) * CHOOSE(CONTROL!$C$19, $D$11, 100%, $F$11)</f>
        <v>11.659800000000001</v>
      </c>
      <c r="C387" s="8">
        <f>CHOOSE( CONTROL!$C$36, 11.6649, 11.6638) * CHOOSE(CONTROL!$C$19, $D$11, 100%, $F$11)</f>
        <v>11.664899999999999</v>
      </c>
      <c r="D387" s="8">
        <f>CHOOSE( CONTROL!$C$36, 11.6441, 11.6431) * CHOOSE( CONTROL!$C$19, $D$11, 100%, $F$11)</f>
        <v>11.6441</v>
      </c>
      <c r="E387" s="12">
        <f>CHOOSE( CONTROL!$C$36, 11.6512, 11.6501) * CHOOSE( CONTROL!$C$19, $D$11, 100%, $F$11)</f>
        <v>11.651199999999999</v>
      </c>
      <c r="F387" s="4">
        <f>CHOOSE( CONTROL!$C$36, 12.3191, 12.318) * CHOOSE(CONTROL!$C$19, $D$11, 100%, $F$11)</f>
        <v>12.319100000000001</v>
      </c>
      <c r="G387" s="8">
        <f>CHOOSE( CONTROL!$C$36, 11.5319, 11.5308) * CHOOSE( CONTROL!$C$19, $D$11, 100%, $F$11)</f>
        <v>11.5319</v>
      </c>
      <c r="H387" s="4">
        <f>CHOOSE( CONTROL!$C$36, 12.4211, 12.42) * CHOOSE(CONTROL!$C$19, $D$11, 100%, $F$11)</f>
        <v>12.421099999999999</v>
      </c>
      <c r="I387" s="8">
        <f>CHOOSE( CONTROL!$C$36, 11.4946, 11.4935) * CHOOSE(CONTROL!$C$19, $D$11, 100%, $F$11)</f>
        <v>11.4946</v>
      </c>
      <c r="J387" s="4">
        <f>CHOOSE( CONTROL!$C$36, 11.3069, 11.3058) * CHOOSE(CONTROL!$C$19, $D$11, 100%, $F$11)</f>
        <v>11.306900000000001</v>
      </c>
      <c r="K387" s="4"/>
      <c r="L387" s="9">
        <v>28.360600000000002</v>
      </c>
      <c r="M387" s="9">
        <v>11.6745</v>
      </c>
      <c r="N387" s="9">
        <v>4.7850000000000001</v>
      </c>
      <c r="O387" s="9">
        <v>0.36199999999999999</v>
      </c>
      <c r="P387" s="9">
        <v>1.2509999999999999</v>
      </c>
      <c r="Q387" s="9">
        <v>19.8018</v>
      </c>
      <c r="R387" s="9"/>
      <c r="S387" s="11"/>
    </row>
    <row r="388" spans="1:19" ht="15.75">
      <c r="A388" s="13">
        <v>52962</v>
      </c>
      <c r="B388" s="8">
        <f>CHOOSE( CONTROL!$C$36, 11.6386, 11.6375) * CHOOSE(CONTROL!$C$19, $D$11, 100%, $F$11)</f>
        <v>11.6386</v>
      </c>
      <c r="C388" s="8">
        <f>CHOOSE( CONTROL!$C$36, 11.6437, 11.6426) * CHOOSE(CONTROL!$C$19, $D$11, 100%, $F$11)</f>
        <v>11.643700000000001</v>
      </c>
      <c r="D388" s="8">
        <f>CHOOSE( CONTROL!$C$36, 11.6243, 11.6232) * CHOOSE( CONTROL!$C$19, $D$11, 100%, $F$11)</f>
        <v>11.6243</v>
      </c>
      <c r="E388" s="12">
        <f>CHOOSE( CONTROL!$C$36, 11.6309, 11.6298) * CHOOSE( CONTROL!$C$19, $D$11, 100%, $F$11)</f>
        <v>11.6309</v>
      </c>
      <c r="F388" s="4">
        <f>CHOOSE( CONTROL!$C$36, 12.2978, 12.2968) * CHOOSE(CONTROL!$C$19, $D$11, 100%, $F$11)</f>
        <v>12.297800000000001</v>
      </c>
      <c r="G388" s="8">
        <f>CHOOSE( CONTROL!$C$36, 11.512, 11.5109) * CHOOSE( CONTROL!$C$19, $D$11, 100%, $F$11)</f>
        <v>11.512</v>
      </c>
      <c r="H388" s="4">
        <f>CHOOSE( CONTROL!$C$36, 12.4001, 12.399) * CHOOSE(CONTROL!$C$19, $D$11, 100%, $F$11)</f>
        <v>12.4001</v>
      </c>
      <c r="I388" s="8">
        <f>CHOOSE( CONTROL!$C$36, 11.4783, 11.4772) * CHOOSE(CONTROL!$C$19, $D$11, 100%, $F$11)</f>
        <v>11.478300000000001</v>
      </c>
      <c r="J388" s="4">
        <f>CHOOSE( CONTROL!$C$36, 11.2863, 11.2853) * CHOOSE(CONTROL!$C$19, $D$11, 100%, $F$11)</f>
        <v>11.286300000000001</v>
      </c>
      <c r="K388" s="4"/>
      <c r="L388" s="9">
        <v>29.306000000000001</v>
      </c>
      <c r="M388" s="9">
        <v>12.063700000000001</v>
      </c>
      <c r="N388" s="9">
        <v>4.9444999999999997</v>
      </c>
      <c r="O388" s="9">
        <v>0.37409999999999999</v>
      </c>
      <c r="P388" s="9">
        <v>1.2927</v>
      </c>
      <c r="Q388" s="9">
        <v>20.4619</v>
      </c>
      <c r="R388" s="9"/>
      <c r="S388" s="11"/>
    </row>
    <row r="389" spans="1:19" ht="15.75">
      <c r="A389" s="13">
        <v>52993</v>
      </c>
      <c r="B389" s="8">
        <f>CHOOSE( CONTROL!$C$36, 11.9824, 11.9813) * CHOOSE(CONTROL!$C$19, $D$11, 100%, $F$11)</f>
        <v>11.9824</v>
      </c>
      <c r="C389" s="8">
        <f>CHOOSE( CONTROL!$C$36, 11.9875, 11.9864) * CHOOSE(CONTROL!$C$19, $D$11, 100%, $F$11)</f>
        <v>11.987500000000001</v>
      </c>
      <c r="D389" s="8">
        <f>CHOOSE( CONTROL!$C$36, 11.9888, 11.9877) * CHOOSE( CONTROL!$C$19, $D$11, 100%, $F$11)</f>
        <v>11.988799999999999</v>
      </c>
      <c r="E389" s="12">
        <f>CHOOSE( CONTROL!$C$36, 11.9878, 11.9867) * CHOOSE( CONTROL!$C$19, $D$11, 100%, $F$11)</f>
        <v>11.9878</v>
      </c>
      <c r="F389" s="4">
        <f>CHOOSE( CONTROL!$C$36, 12.6416, 12.6405) * CHOOSE(CONTROL!$C$19, $D$11, 100%, $F$11)</f>
        <v>12.6416</v>
      </c>
      <c r="G389" s="8">
        <f>CHOOSE( CONTROL!$C$36, 11.862, 11.8609) * CHOOSE( CONTROL!$C$19, $D$11, 100%, $F$11)</f>
        <v>11.862</v>
      </c>
      <c r="H389" s="4">
        <f>CHOOSE( CONTROL!$C$36, 12.7391, 12.738) * CHOOSE(CONTROL!$C$19, $D$11, 100%, $F$11)</f>
        <v>12.739100000000001</v>
      </c>
      <c r="I389" s="8">
        <f>CHOOSE( CONTROL!$C$36, 11.7888, 11.7878) * CHOOSE(CONTROL!$C$19, $D$11, 100%, $F$11)</f>
        <v>11.7888</v>
      </c>
      <c r="J389" s="4">
        <f>CHOOSE( CONTROL!$C$36, 11.6192, 11.6181) * CHOOSE(CONTROL!$C$19, $D$11, 100%, $F$11)</f>
        <v>11.619199999999999</v>
      </c>
      <c r="K389" s="4"/>
      <c r="L389" s="9">
        <v>29.306000000000001</v>
      </c>
      <c r="M389" s="9">
        <v>12.063700000000001</v>
      </c>
      <c r="N389" s="9">
        <v>4.9444999999999997</v>
      </c>
      <c r="O389" s="9">
        <v>0.37409999999999999</v>
      </c>
      <c r="P389" s="9">
        <v>1.2927</v>
      </c>
      <c r="Q389" s="9">
        <v>20.396799999999999</v>
      </c>
      <c r="R389" s="9"/>
      <c r="S389" s="11"/>
    </row>
    <row r="390" spans="1:19" ht="15.75">
      <c r="A390" s="13">
        <v>53021</v>
      </c>
      <c r="B390" s="8">
        <f>CHOOSE( CONTROL!$C$36, 11.2067, 11.2056) * CHOOSE(CONTROL!$C$19, $D$11, 100%, $F$11)</f>
        <v>11.2067</v>
      </c>
      <c r="C390" s="8">
        <f>CHOOSE( CONTROL!$C$36, 11.2118, 11.2107) * CHOOSE(CONTROL!$C$19, $D$11, 100%, $F$11)</f>
        <v>11.2118</v>
      </c>
      <c r="D390" s="8">
        <f>CHOOSE( CONTROL!$C$36, 11.2129, 11.2119) * CHOOSE( CONTROL!$C$19, $D$11, 100%, $F$11)</f>
        <v>11.212899999999999</v>
      </c>
      <c r="E390" s="12">
        <f>CHOOSE( CONTROL!$C$36, 11.212, 11.2109) * CHOOSE( CONTROL!$C$19, $D$11, 100%, $F$11)</f>
        <v>11.212</v>
      </c>
      <c r="F390" s="4">
        <f>CHOOSE( CONTROL!$C$36, 11.8659, 11.8649) * CHOOSE(CONTROL!$C$19, $D$11, 100%, $F$11)</f>
        <v>11.8659</v>
      </c>
      <c r="G390" s="8">
        <f>CHOOSE( CONTROL!$C$36, 11.097, 11.096) * CHOOSE( CONTROL!$C$19, $D$11, 100%, $F$11)</f>
        <v>11.097</v>
      </c>
      <c r="H390" s="4">
        <f>CHOOSE( CONTROL!$C$36, 11.9742, 11.9732) * CHOOSE(CONTROL!$C$19, $D$11, 100%, $F$11)</f>
        <v>11.9742</v>
      </c>
      <c r="I390" s="8">
        <f>CHOOSE( CONTROL!$C$36, 11.0369, 11.0359) * CHOOSE(CONTROL!$C$19, $D$11, 100%, $F$11)</f>
        <v>11.036899999999999</v>
      </c>
      <c r="J390" s="4">
        <f>CHOOSE( CONTROL!$C$36, 10.8681, 10.867) * CHOOSE(CONTROL!$C$19, $D$11, 100%, $F$11)</f>
        <v>10.8681</v>
      </c>
      <c r="K390" s="4"/>
      <c r="L390" s="9">
        <v>26.469899999999999</v>
      </c>
      <c r="M390" s="9">
        <v>10.8962</v>
      </c>
      <c r="N390" s="9">
        <v>4.4660000000000002</v>
      </c>
      <c r="O390" s="9">
        <v>0.33789999999999998</v>
      </c>
      <c r="P390" s="9">
        <v>1.1676</v>
      </c>
      <c r="Q390" s="9">
        <v>18.422899999999998</v>
      </c>
      <c r="R390" s="9"/>
      <c r="S390" s="11"/>
    </row>
    <row r="391" spans="1:19" ht="15.75">
      <c r="A391" s="13">
        <v>53052</v>
      </c>
      <c r="B391" s="8">
        <f>CHOOSE( CONTROL!$C$36, 10.9678, 10.9667) * CHOOSE(CONTROL!$C$19, $D$11, 100%, $F$11)</f>
        <v>10.9678</v>
      </c>
      <c r="C391" s="8">
        <f>CHOOSE( CONTROL!$C$36, 10.9729, 10.9718) * CHOOSE(CONTROL!$C$19, $D$11, 100%, $F$11)</f>
        <v>10.972899999999999</v>
      </c>
      <c r="D391" s="8">
        <f>CHOOSE( CONTROL!$C$36, 10.9734, 10.9723) * CHOOSE( CONTROL!$C$19, $D$11, 100%, $F$11)</f>
        <v>10.9734</v>
      </c>
      <c r="E391" s="12">
        <f>CHOOSE( CONTROL!$C$36, 10.9727, 10.9716) * CHOOSE( CONTROL!$C$19, $D$11, 100%, $F$11)</f>
        <v>10.9727</v>
      </c>
      <c r="F391" s="4">
        <f>CHOOSE( CONTROL!$C$36, 11.627, 11.6259) * CHOOSE(CONTROL!$C$19, $D$11, 100%, $F$11)</f>
        <v>11.627000000000001</v>
      </c>
      <c r="G391" s="8">
        <f>CHOOSE( CONTROL!$C$36, 10.861, 10.8599) * CHOOSE( CONTROL!$C$19, $D$11, 100%, $F$11)</f>
        <v>10.861000000000001</v>
      </c>
      <c r="H391" s="4">
        <f>CHOOSE( CONTROL!$C$36, 11.7387, 11.7376) * CHOOSE(CONTROL!$C$19, $D$11, 100%, $F$11)</f>
        <v>11.7387</v>
      </c>
      <c r="I391" s="8">
        <f>CHOOSE( CONTROL!$C$36, 10.8035, 10.8025) * CHOOSE(CONTROL!$C$19, $D$11, 100%, $F$11)</f>
        <v>10.8035</v>
      </c>
      <c r="J391" s="4">
        <f>CHOOSE( CONTROL!$C$36, 10.6368, 10.6357) * CHOOSE(CONTROL!$C$19, $D$11, 100%, $F$11)</f>
        <v>10.636799999999999</v>
      </c>
      <c r="K391" s="4"/>
      <c r="L391" s="9">
        <v>29.306000000000001</v>
      </c>
      <c r="M391" s="9">
        <v>12.063700000000001</v>
      </c>
      <c r="N391" s="9">
        <v>4.9444999999999997</v>
      </c>
      <c r="O391" s="9">
        <v>0.37409999999999999</v>
      </c>
      <c r="P391" s="9">
        <v>1.2927</v>
      </c>
      <c r="Q391" s="9">
        <v>20.396799999999999</v>
      </c>
      <c r="R391" s="9"/>
      <c r="S391" s="11"/>
    </row>
    <row r="392" spans="1:19" ht="15.75">
      <c r="A392" s="13">
        <v>53082</v>
      </c>
      <c r="B392" s="8">
        <f>CHOOSE( CONTROL!$C$36, 11.1355, 11.1344) * CHOOSE(CONTROL!$C$19, $D$11, 100%, $F$11)</f>
        <v>11.1355</v>
      </c>
      <c r="C392" s="8">
        <f>CHOOSE( CONTROL!$C$36, 11.14, 11.1389) * CHOOSE(CONTROL!$C$19, $D$11, 100%, $F$11)</f>
        <v>11.14</v>
      </c>
      <c r="D392" s="8">
        <f>CHOOSE( CONTROL!$C$36, 11.1604, 11.1593) * CHOOSE( CONTROL!$C$19, $D$11, 100%, $F$11)</f>
        <v>11.160399999999999</v>
      </c>
      <c r="E392" s="12">
        <f>CHOOSE( CONTROL!$C$36, 11.1531, 11.152) * CHOOSE( CONTROL!$C$19, $D$11, 100%, $F$11)</f>
        <v>11.1531</v>
      </c>
      <c r="F392" s="4">
        <f>CHOOSE( CONTROL!$C$36, 11.8699, 11.8688) * CHOOSE(CONTROL!$C$19, $D$11, 100%, $F$11)</f>
        <v>11.869899999999999</v>
      </c>
      <c r="G392" s="8">
        <f>CHOOSE( CONTROL!$C$36, 11.0337, 11.0326) * CHOOSE( CONTROL!$C$19, $D$11, 100%, $F$11)</f>
        <v>11.0337</v>
      </c>
      <c r="H392" s="4">
        <f>CHOOSE( CONTROL!$C$36, 11.9781, 11.9771) * CHOOSE(CONTROL!$C$19, $D$11, 100%, $F$11)</f>
        <v>11.9781</v>
      </c>
      <c r="I392" s="8">
        <f>CHOOSE( CONTROL!$C$36, 10.9347, 10.9337) * CHOOSE(CONTROL!$C$19, $D$11, 100%, $F$11)</f>
        <v>10.934699999999999</v>
      </c>
      <c r="J392" s="4">
        <f>CHOOSE( CONTROL!$C$36, 10.7984, 10.7974) * CHOOSE(CONTROL!$C$19, $D$11, 100%, $F$11)</f>
        <v>10.798400000000001</v>
      </c>
      <c r="K392" s="4"/>
      <c r="L392" s="9">
        <v>30.092199999999998</v>
      </c>
      <c r="M392" s="9">
        <v>11.6745</v>
      </c>
      <c r="N392" s="9">
        <v>4.7850000000000001</v>
      </c>
      <c r="O392" s="9">
        <v>0.36199999999999999</v>
      </c>
      <c r="P392" s="9">
        <v>1.2509999999999999</v>
      </c>
      <c r="Q392" s="9">
        <v>19.738800000000001</v>
      </c>
      <c r="R392" s="9"/>
      <c r="S392" s="11"/>
    </row>
    <row r="393" spans="1:19" ht="15.75">
      <c r="A393" s="13">
        <v>53113</v>
      </c>
      <c r="B393" s="8">
        <f>CHOOSE( CONTROL!$C$36, 11.4345, 11.4329) * CHOOSE(CONTROL!$C$19, $D$11, 100%, $F$11)</f>
        <v>11.4345</v>
      </c>
      <c r="C393" s="8">
        <f>CHOOSE( CONTROL!$C$36, 11.4425, 11.4409) * CHOOSE(CONTROL!$C$19, $D$11, 100%, $F$11)</f>
        <v>11.442500000000001</v>
      </c>
      <c r="D393" s="8">
        <f>CHOOSE( CONTROL!$C$36, 11.4567, 11.4551) * CHOOSE( CONTROL!$C$19, $D$11, 100%, $F$11)</f>
        <v>11.4567</v>
      </c>
      <c r="E393" s="12">
        <f>CHOOSE( CONTROL!$C$36, 11.4503, 11.4487) * CHOOSE( CONTROL!$C$19, $D$11, 100%, $F$11)</f>
        <v>11.4503</v>
      </c>
      <c r="F393" s="4">
        <f>CHOOSE( CONTROL!$C$36, 12.1676, 12.1659) * CHOOSE(CONTROL!$C$19, $D$11, 100%, $F$11)</f>
        <v>12.1676</v>
      </c>
      <c r="G393" s="8">
        <f>CHOOSE( CONTROL!$C$36, 11.3272, 11.3256) * CHOOSE( CONTROL!$C$19, $D$11, 100%, $F$11)</f>
        <v>11.327199999999999</v>
      </c>
      <c r="H393" s="4">
        <f>CHOOSE( CONTROL!$C$36, 12.2717, 12.27) * CHOOSE(CONTROL!$C$19, $D$11, 100%, $F$11)</f>
        <v>12.271699999999999</v>
      </c>
      <c r="I393" s="8">
        <f>CHOOSE( CONTROL!$C$36, 11.2227, 11.2211) * CHOOSE(CONTROL!$C$19, $D$11, 100%, $F$11)</f>
        <v>11.2227</v>
      </c>
      <c r="J393" s="4">
        <f>CHOOSE( CONTROL!$C$36, 11.0867, 11.0851) * CHOOSE(CONTROL!$C$19, $D$11, 100%, $F$11)</f>
        <v>11.0867</v>
      </c>
      <c r="K393" s="4"/>
      <c r="L393" s="9">
        <v>30.7165</v>
      </c>
      <c r="M393" s="9">
        <v>12.063700000000001</v>
      </c>
      <c r="N393" s="9">
        <v>4.9444999999999997</v>
      </c>
      <c r="O393" s="9">
        <v>0.37409999999999999</v>
      </c>
      <c r="P393" s="9">
        <v>1.2927</v>
      </c>
      <c r="Q393" s="9">
        <v>20.396799999999999</v>
      </c>
      <c r="R393" s="9"/>
      <c r="S393" s="11"/>
    </row>
    <row r="394" spans="1:19" ht="15.75">
      <c r="A394" s="13">
        <v>53143</v>
      </c>
      <c r="B394" s="8">
        <f>CHOOSE( CONTROL!$C$36, 11.2505, 11.2488) * CHOOSE(CONTROL!$C$19, $D$11, 100%, $F$11)</f>
        <v>11.250500000000001</v>
      </c>
      <c r="C394" s="8">
        <f>CHOOSE( CONTROL!$C$36, 11.2585, 11.2568) * CHOOSE(CONTROL!$C$19, $D$11, 100%, $F$11)</f>
        <v>11.2585</v>
      </c>
      <c r="D394" s="8">
        <f>CHOOSE( CONTROL!$C$36, 11.2729, 11.2712) * CHOOSE( CONTROL!$C$19, $D$11, 100%, $F$11)</f>
        <v>11.2729</v>
      </c>
      <c r="E394" s="12">
        <f>CHOOSE( CONTROL!$C$36, 11.2665, 11.2648) * CHOOSE( CONTROL!$C$19, $D$11, 100%, $F$11)</f>
        <v>11.266500000000001</v>
      </c>
      <c r="F394" s="4">
        <f>CHOOSE( CONTROL!$C$36, 11.9835, 11.9819) * CHOOSE(CONTROL!$C$19, $D$11, 100%, $F$11)</f>
        <v>11.983499999999999</v>
      </c>
      <c r="G394" s="8">
        <f>CHOOSE( CONTROL!$C$36, 11.1459, 11.1442) * CHOOSE( CONTROL!$C$19, $D$11, 100%, $F$11)</f>
        <v>11.145899999999999</v>
      </c>
      <c r="H394" s="4">
        <f>CHOOSE( CONTROL!$C$36, 12.0902, 12.0885) * CHOOSE(CONTROL!$C$19, $D$11, 100%, $F$11)</f>
        <v>12.090199999999999</v>
      </c>
      <c r="I394" s="8">
        <f>CHOOSE( CONTROL!$C$36, 11.0451, 11.0435) * CHOOSE(CONTROL!$C$19, $D$11, 100%, $F$11)</f>
        <v>11.0451</v>
      </c>
      <c r="J394" s="4">
        <f>CHOOSE( CONTROL!$C$36, 10.9084, 10.9068) * CHOOSE(CONTROL!$C$19, $D$11, 100%, $F$11)</f>
        <v>10.9084</v>
      </c>
      <c r="K394" s="4"/>
      <c r="L394" s="9">
        <v>29.7257</v>
      </c>
      <c r="M394" s="9">
        <v>11.6745</v>
      </c>
      <c r="N394" s="9">
        <v>4.7850000000000001</v>
      </c>
      <c r="O394" s="9">
        <v>0.36199999999999999</v>
      </c>
      <c r="P394" s="9">
        <v>1.2509999999999999</v>
      </c>
      <c r="Q394" s="9">
        <v>19.738800000000001</v>
      </c>
      <c r="R394" s="9"/>
      <c r="S394" s="11"/>
    </row>
    <row r="395" spans="1:19" ht="15.75">
      <c r="A395" s="13">
        <v>53174</v>
      </c>
      <c r="B395" s="8">
        <f>CHOOSE( CONTROL!$C$36, 11.7352, 11.7335) * CHOOSE(CONTROL!$C$19, $D$11, 100%, $F$11)</f>
        <v>11.735200000000001</v>
      </c>
      <c r="C395" s="8">
        <f>CHOOSE( CONTROL!$C$36, 11.7432, 11.7415) * CHOOSE(CONTROL!$C$19, $D$11, 100%, $F$11)</f>
        <v>11.7432</v>
      </c>
      <c r="D395" s="8">
        <f>CHOOSE( CONTROL!$C$36, 11.7578, 11.7561) * CHOOSE( CONTROL!$C$19, $D$11, 100%, $F$11)</f>
        <v>11.7578</v>
      </c>
      <c r="E395" s="12">
        <f>CHOOSE( CONTROL!$C$36, 11.7513, 11.7496) * CHOOSE( CONTROL!$C$19, $D$11, 100%, $F$11)</f>
        <v>11.751300000000001</v>
      </c>
      <c r="F395" s="4">
        <f>CHOOSE( CONTROL!$C$36, 12.4682, 12.4665) * CHOOSE(CONTROL!$C$19, $D$11, 100%, $F$11)</f>
        <v>12.4682</v>
      </c>
      <c r="G395" s="8">
        <f>CHOOSE( CONTROL!$C$36, 11.624, 11.6223) * CHOOSE( CONTROL!$C$19, $D$11, 100%, $F$11)</f>
        <v>11.624000000000001</v>
      </c>
      <c r="H395" s="4">
        <f>CHOOSE( CONTROL!$C$36, 12.5681, 12.5665) * CHOOSE(CONTROL!$C$19, $D$11, 100%, $F$11)</f>
        <v>12.568099999999999</v>
      </c>
      <c r="I395" s="8">
        <f>CHOOSE( CONTROL!$C$36, 11.5155, 11.5139) * CHOOSE(CONTROL!$C$19, $D$11, 100%, $F$11)</f>
        <v>11.515499999999999</v>
      </c>
      <c r="J395" s="4">
        <f>CHOOSE( CONTROL!$C$36, 11.3778, 11.3762) * CHOOSE(CONTROL!$C$19, $D$11, 100%, $F$11)</f>
        <v>11.377800000000001</v>
      </c>
      <c r="K395" s="4"/>
      <c r="L395" s="9">
        <v>30.7165</v>
      </c>
      <c r="M395" s="9">
        <v>12.063700000000001</v>
      </c>
      <c r="N395" s="9">
        <v>4.9444999999999997</v>
      </c>
      <c r="O395" s="9">
        <v>0.37409999999999999</v>
      </c>
      <c r="P395" s="9">
        <v>1.2927</v>
      </c>
      <c r="Q395" s="9">
        <v>20.396799999999999</v>
      </c>
      <c r="R395" s="9"/>
      <c r="S395" s="11"/>
    </row>
    <row r="396" spans="1:19" ht="15.75">
      <c r="A396" s="13">
        <v>53205</v>
      </c>
      <c r="B396" s="8">
        <f>CHOOSE( CONTROL!$C$36, 10.8283, 10.8266) * CHOOSE(CONTROL!$C$19, $D$11, 100%, $F$11)</f>
        <v>10.8283</v>
      </c>
      <c r="C396" s="8">
        <f>CHOOSE( CONTROL!$C$36, 10.8363, 10.8346) * CHOOSE(CONTROL!$C$19, $D$11, 100%, $F$11)</f>
        <v>10.8363</v>
      </c>
      <c r="D396" s="8">
        <f>CHOOSE( CONTROL!$C$36, 10.851, 10.8493) * CHOOSE( CONTROL!$C$19, $D$11, 100%, $F$11)</f>
        <v>10.851000000000001</v>
      </c>
      <c r="E396" s="12">
        <f>CHOOSE( CONTROL!$C$36, 10.8445, 10.8428) * CHOOSE( CONTROL!$C$19, $D$11, 100%, $F$11)</f>
        <v>10.8445</v>
      </c>
      <c r="F396" s="4">
        <f>CHOOSE( CONTROL!$C$36, 11.5613, 11.5596) * CHOOSE(CONTROL!$C$19, $D$11, 100%, $F$11)</f>
        <v>11.561299999999999</v>
      </c>
      <c r="G396" s="8">
        <f>CHOOSE( CONTROL!$C$36, 10.7298, 10.7281) * CHOOSE( CONTROL!$C$19, $D$11, 100%, $F$11)</f>
        <v>10.729799999999999</v>
      </c>
      <c r="H396" s="4">
        <f>CHOOSE( CONTROL!$C$36, 11.6739, 11.6722) * CHOOSE(CONTROL!$C$19, $D$11, 100%, $F$11)</f>
        <v>11.6739</v>
      </c>
      <c r="I396" s="8">
        <f>CHOOSE( CONTROL!$C$36, 10.6371, 10.6355) * CHOOSE(CONTROL!$C$19, $D$11, 100%, $F$11)</f>
        <v>10.6371</v>
      </c>
      <c r="J396" s="4">
        <f>CHOOSE( CONTROL!$C$36, 10.4996, 10.498) * CHOOSE(CONTROL!$C$19, $D$11, 100%, $F$11)</f>
        <v>10.499599999999999</v>
      </c>
      <c r="K396" s="4"/>
      <c r="L396" s="9">
        <v>30.7165</v>
      </c>
      <c r="M396" s="9">
        <v>12.063700000000001</v>
      </c>
      <c r="N396" s="9">
        <v>4.9444999999999997</v>
      </c>
      <c r="O396" s="9">
        <v>0.37409999999999999</v>
      </c>
      <c r="P396" s="9">
        <v>1.2927</v>
      </c>
      <c r="Q396" s="9">
        <v>20.396799999999999</v>
      </c>
      <c r="R396" s="9"/>
      <c r="S396" s="11"/>
    </row>
    <row r="397" spans="1:19" ht="15.75">
      <c r="A397" s="13">
        <v>53235</v>
      </c>
      <c r="B397" s="8">
        <f>CHOOSE( CONTROL!$C$36, 10.6012, 10.5995) * CHOOSE(CONTROL!$C$19, $D$11, 100%, $F$11)</f>
        <v>10.6012</v>
      </c>
      <c r="C397" s="8">
        <f>CHOOSE( CONTROL!$C$36, 10.6092, 10.6075) * CHOOSE(CONTROL!$C$19, $D$11, 100%, $F$11)</f>
        <v>10.6092</v>
      </c>
      <c r="D397" s="8">
        <f>CHOOSE( CONTROL!$C$36, 10.6238, 10.6221) * CHOOSE( CONTROL!$C$19, $D$11, 100%, $F$11)</f>
        <v>10.623799999999999</v>
      </c>
      <c r="E397" s="12">
        <f>CHOOSE( CONTROL!$C$36, 10.6173, 10.6156) * CHOOSE( CONTROL!$C$19, $D$11, 100%, $F$11)</f>
        <v>10.6173</v>
      </c>
      <c r="F397" s="4">
        <f>CHOOSE( CONTROL!$C$36, 11.3342, 11.3325) * CHOOSE(CONTROL!$C$19, $D$11, 100%, $F$11)</f>
        <v>11.334199999999999</v>
      </c>
      <c r="G397" s="8">
        <f>CHOOSE( CONTROL!$C$36, 10.5058, 10.5041) * CHOOSE( CONTROL!$C$19, $D$11, 100%, $F$11)</f>
        <v>10.505800000000001</v>
      </c>
      <c r="H397" s="4">
        <f>CHOOSE( CONTROL!$C$36, 11.4499, 11.4483) * CHOOSE(CONTROL!$C$19, $D$11, 100%, $F$11)</f>
        <v>11.4499</v>
      </c>
      <c r="I397" s="8">
        <f>CHOOSE( CONTROL!$C$36, 10.4167, 10.4151) * CHOOSE(CONTROL!$C$19, $D$11, 100%, $F$11)</f>
        <v>10.416700000000001</v>
      </c>
      <c r="J397" s="4">
        <f>CHOOSE( CONTROL!$C$36, 10.2797, 10.2781) * CHOOSE(CONTROL!$C$19, $D$11, 100%, $F$11)</f>
        <v>10.2797</v>
      </c>
      <c r="K397" s="4"/>
      <c r="L397" s="9">
        <v>29.7257</v>
      </c>
      <c r="M397" s="9">
        <v>11.6745</v>
      </c>
      <c r="N397" s="9">
        <v>4.7850000000000001</v>
      </c>
      <c r="O397" s="9">
        <v>0.36199999999999999</v>
      </c>
      <c r="P397" s="9">
        <v>1.2509999999999999</v>
      </c>
      <c r="Q397" s="9">
        <v>19.738800000000001</v>
      </c>
      <c r="R397" s="9"/>
      <c r="S397" s="11"/>
    </row>
    <row r="398" spans="1:19" ht="15.75">
      <c r="A398" s="13">
        <v>53266</v>
      </c>
      <c r="B398" s="8">
        <f>CHOOSE( CONTROL!$C$36, 11.0704, 11.0693) * CHOOSE(CONTROL!$C$19, $D$11, 100%, $F$11)</f>
        <v>11.070399999999999</v>
      </c>
      <c r="C398" s="8">
        <f>CHOOSE( CONTROL!$C$36, 11.0758, 11.0747) * CHOOSE(CONTROL!$C$19, $D$11, 100%, $F$11)</f>
        <v>11.075799999999999</v>
      </c>
      <c r="D398" s="8">
        <f>CHOOSE( CONTROL!$C$36, 11.0962, 11.0952) * CHOOSE( CONTROL!$C$19, $D$11, 100%, $F$11)</f>
        <v>11.0962</v>
      </c>
      <c r="E398" s="12">
        <f>CHOOSE( CONTROL!$C$36, 11.0889, 11.0879) * CHOOSE( CONTROL!$C$19, $D$11, 100%, $F$11)</f>
        <v>11.088900000000001</v>
      </c>
      <c r="F398" s="4">
        <f>CHOOSE( CONTROL!$C$36, 11.8052, 11.8041) * CHOOSE(CONTROL!$C$19, $D$11, 100%, $F$11)</f>
        <v>11.805199999999999</v>
      </c>
      <c r="G398" s="8">
        <f>CHOOSE( CONTROL!$C$36, 10.9704, 10.9693) * CHOOSE( CONTROL!$C$19, $D$11, 100%, $F$11)</f>
        <v>10.9704</v>
      </c>
      <c r="H398" s="4">
        <f>CHOOSE( CONTROL!$C$36, 11.9143, 11.9132) * CHOOSE(CONTROL!$C$19, $D$11, 100%, $F$11)</f>
        <v>11.914300000000001</v>
      </c>
      <c r="I398" s="8">
        <f>CHOOSE( CONTROL!$C$36, 10.874, 10.873) * CHOOSE(CONTROL!$C$19, $D$11, 100%, $F$11)</f>
        <v>10.874000000000001</v>
      </c>
      <c r="J398" s="4">
        <f>CHOOSE( CONTROL!$C$36, 10.7357, 10.7347) * CHOOSE(CONTROL!$C$19, $D$11, 100%, $F$11)</f>
        <v>10.7357</v>
      </c>
      <c r="K398" s="4"/>
      <c r="L398" s="9">
        <v>31.095300000000002</v>
      </c>
      <c r="M398" s="9">
        <v>12.063700000000001</v>
      </c>
      <c r="N398" s="9">
        <v>4.9444999999999997</v>
      </c>
      <c r="O398" s="9">
        <v>0.37409999999999999</v>
      </c>
      <c r="P398" s="9">
        <v>1.2927</v>
      </c>
      <c r="Q398" s="9">
        <v>20.396799999999999</v>
      </c>
      <c r="R398" s="9"/>
      <c r="S398" s="11"/>
    </row>
    <row r="399" spans="1:19" ht="15.75">
      <c r="A399" s="13">
        <v>53296</v>
      </c>
      <c r="B399" s="8">
        <f>CHOOSE( CONTROL!$C$36, 11.9404, 11.9393) * CHOOSE(CONTROL!$C$19, $D$11, 100%, $F$11)</f>
        <v>11.9404</v>
      </c>
      <c r="C399" s="8">
        <f>CHOOSE( CONTROL!$C$36, 11.9455, 11.9444) * CHOOSE(CONTROL!$C$19, $D$11, 100%, $F$11)</f>
        <v>11.945499999999999</v>
      </c>
      <c r="D399" s="8">
        <f>CHOOSE( CONTROL!$C$36, 11.9247, 11.9236) * CHOOSE( CONTROL!$C$19, $D$11, 100%, $F$11)</f>
        <v>11.9247</v>
      </c>
      <c r="E399" s="12">
        <f>CHOOSE( CONTROL!$C$36, 11.9318, 11.9307) * CHOOSE( CONTROL!$C$19, $D$11, 100%, $F$11)</f>
        <v>11.931800000000001</v>
      </c>
      <c r="F399" s="4">
        <f>CHOOSE( CONTROL!$C$36, 12.5996, 12.5985) * CHOOSE(CONTROL!$C$19, $D$11, 100%, $F$11)</f>
        <v>12.599600000000001</v>
      </c>
      <c r="G399" s="8">
        <f>CHOOSE( CONTROL!$C$36, 11.8085, 11.8075) * CHOOSE( CONTROL!$C$19, $D$11, 100%, $F$11)</f>
        <v>11.8085</v>
      </c>
      <c r="H399" s="4">
        <f>CHOOSE( CONTROL!$C$36, 12.6977, 12.6966) * CHOOSE(CONTROL!$C$19, $D$11, 100%, $F$11)</f>
        <v>12.697699999999999</v>
      </c>
      <c r="I399" s="8">
        <f>CHOOSE( CONTROL!$C$36, 11.7663, 11.7653) * CHOOSE(CONTROL!$C$19, $D$11, 100%, $F$11)</f>
        <v>11.766299999999999</v>
      </c>
      <c r="J399" s="4">
        <f>CHOOSE( CONTROL!$C$36, 11.5785, 11.5775) * CHOOSE(CONTROL!$C$19, $D$11, 100%, $F$11)</f>
        <v>11.5785</v>
      </c>
      <c r="K399" s="4"/>
      <c r="L399" s="9">
        <v>28.360600000000002</v>
      </c>
      <c r="M399" s="9">
        <v>11.6745</v>
      </c>
      <c r="N399" s="9">
        <v>4.7850000000000001</v>
      </c>
      <c r="O399" s="9">
        <v>0.36199999999999999</v>
      </c>
      <c r="P399" s="9">
        <v>1.2509999999999999</v>
      </c>
      <c r="Q399" s="9">
        <v>19.738800000000001</v>
      </c>
      <c r="R399" s="9"/>
      <c r="S399" s="11"/>
    </row>
    <row r="400" spans="1:19" ht="15.75">
      <c r="A400" s="13">
        <v>53327</v>
      </c>
      <c r="B400" s="8">
        <f>CHOOSE( CONTROL!$C$36, 11.9186, 11.9175) * CHOOSE(CONTROL!$C$19, $D$11, 100%, $F$11)</f>
        <v>11.9186</v>
      </c>
      <c r="C400" s="8">
        <f>CHOOSE( CONTROL!$C$36, 11.9237, 11.9226) * CHOOSE(CONTROL!$C$19, $D$11, 100%, $F$11)</f>
        <v>11.9237</v>
      </c>
      <c r="D400" s="8">
        <f>CHOOSE( CONTROL!$C$36, 11.9043, 11.9032) * CHOOSE( CONTROL!$C$19, $D$11, 100%, $F$11)</f>
        <v>11.904299999999999</v>
      </c>
      <c r="E400" s="12">
        <f>CHOOSE( CONTROL!$C$36, 11.9109, 11.9098) * CHOOSE( CONTROL!$C$19, $D$11, 100%, $F$11)</f>
        <v>11.9109</v>
      </c>
      <c r="F400" s="4">
        <f>CHOOSE( CONTROL!$C$36, 12.5779, 12.5768) * CHOOSE(CONTROL!$C$19, $D$11, 100%, $F$11)</f>
        <v>12.5779</v>
      </c>
      <c r="G400" s="8">
        <f>CHOOSE( CONTROL!$C$36, 11.7881, 11.787) * CHOOSE( CONTROL!$C$19, $D$11, 100%, $F$11)</f>
        <v>11.7881</v>
      </c>
      <c r="H400" s="4">
        <f>CHOOSE( CONTROL!$C$36, 12.6762, 12.6752) * CHOOSE(CONTROL!$C$19, $D$11, 100%, $F$11)</f>
        <v>12.6762</v>
      </c>
      <c r="I400" s="8">
        <f>CHOOSE( CONTROL!$C$36, 11.7496, 11.7485) * CHOOSE(CONTROL!$C$19, $D$11, 100%, $F$11)</f>
        <v>11.749599999999999</v>
      </c>
      <c r="J400" s="4">
        <f>CHOOSE( CONTROL!$C$36, 11.5575, 11.5564) * CHOOSE(CONTROL!$C$19, $D$11, 100%, $F$11)</f>
        <v>11.557499999999999</v>
      </c>
      <c r="K400" s="4"/>
      <c r="L400" s="9">
        <v>29.306000000000001</v>
      </c>
      <c r="M400" s="9">
        <v>12.063700000000001</v>
      </c>
      <c r="N400" s="9">
        <v>4.9444999999999997</v>
      </c>
      <c r="O400" s="9">
        <v>0.37409999999999999</v>
      </c>
      <c r="P400" s="9">
        <v>1.2927</v>
      </c>
      <c r="Q400" s="9">
        <v>20.396799999999999</v>
      </c>
      <c r="R400" s="9"/>
      <c r="S400" s="11"/>
    </row>
    <row r="401" spans="1:19" ht="15.75">
      <c r="A401" s="13">
        <v>53358</v>
      </c>
      <c r="B401" s="8">
        <f>CHOOSE( CONTROL!$C$36, 12.2707, 12.2696) * CHOOSE(CONTROL!$C$19, $D$11, 100%, $F$11)</f>
        <v>12.2707</v>
      </c>
      <c r="C401" s="8">
        <f>CHOOSE( CONTROL!$C$36, 12.2758, 12.2747) * CHOOSE(CONTROL!$C$19, $D$11, 100%, $F$11)</f>
        <v>12.2758</v>
      </c>
      <c r="D401" s="8">
        <f>CHOOSE( CONTROL!$C$36, 12.277, 12.276) * CHOOSE( CONTROL!$C$19, $D$11, 100%, $F$11)</f>
        <v>12.276999999999999</v>
      </c>
      <c r="E401" s="12">
        <f>CHOOSE( CONTROL!$C$36, 12.276, 12.275) * CHOOSE( CONTROL!$C$19, $D$11, 100%, $F$11)</f>
        <v>12.276</v>
      </c>
      <c r="F401" s="4">
        <f>CHOOSE( CONTROL!$C$36, 12.9299, 12.9288) * CHOOSE(CONTROL!$C$19, $D$11, 100%, $F$11)</f>
        <v>12.9299</v>
      </c>
      <c r="G401" s="8">
        <f>CHOOSE( CONTROL!$C$36, 12.1463, 12.1452) * CHOOSE( CONTROL!$C$19, $D$11, 100%, $F$11)</f>
        <v>12.1463</v>
      </c>
      <c r="H401" s="4">
        <f>CHOOSE( CONTROL!$C$36, 13.0234, 13.0223) * CHOOSE(CONTROL!$C$19, $D$11, 100%, $F$11)</f>
        <v>13.023400000000001</v>
      </c>
      <c r="I401" s="8">
        <f>CHOOSE( CONTROL!$C$36, 12.0681, 12.0671) * CHOOSE(CONTROL!$C$19, $D$11, 100%, $F$11)</f>
        <v>12.068099999999999</v>
      </c>
      <c r="J401" s="4">
        <f>CHOOSE( CONTROL!$C$36, 11.8983, 11.8973) * CHOOSE(CONTROL!$C$19, $D$11, 100%, $F$11)</f>
        <v>11.898300000000001</v>
      </c>
      <c r="K401" s="4"/>
      <c r="L401" s="9">
        <v>29.306000000000001</v>
      </c>
      <c r="M401" s="9">
        <v>12.063700000000001</v>
      </c>
      <c r="N401" s="9">
        <v>4.9444999999999997</v>
      </c>
      <c r="O401" s="9">
        <v>0.37409999999999999</v>
      </c>
      <c r="P401" s="9">
        <v>1.2927</v>
      </c>
      <c r="Q401" s="9">
        <v>20.331700000000001</v>
      </c>
      <c r="R401" s="9"/>
      <c r="S401" s="11"/>
    </row>
    <row r="402" spans="1:19" ht="15.75">
      <c r="A402" s="13">
        <v>53386</v>
      </c>
      <c r="B402" s="8">
        <f>CHOOSE( CONTROL!$C$36, 11.4763, 11.4753) * CHOOSE(CONTROL!$C$19, $D$11, 100%, $F$11)</f>
        <v>11.4763</v>
      </c>
      <c r="C402" s="8">
        <f>CHOOSE( CONTROL!$C$36, 11.4814, 11.4804) * CHOOSE(CONTROL!$C$19, $D$11, 100%, $F$11)</f>
        <v>11.481400000000001</v>
      </c>
      <c r="D402" s="8">
        <f>CHOOSE( CONTROL!$C$36, 11.4826, 11.4815) * CHOOSE( CONTROL!$C$19, $D$11, 100%, $F$11)</f>
        <v>11.4826</v>
      </c>
      <c r="E402" s="12">
        <f>CHOOSE( CONTROL!$C$36, 11.4816, 11.4806) * CHOOSE( CONTROL!$C$19, $D$11, 100%, $F$11)</f>
        <v>11.4816</v>
      </c>
      <c r="F402" s="4">
        <f>CHOOSE( CONTROL!$C$36, 12.1356, 12.1345) * CHOOSE(CONTROL!$C$19, $D$11, 100%, $F$11)</f>
        <v>12.1356</v>
      </c>
      <c r="G402" s="8">
        <f>CHOOSE( CONTROL!$C$36, 11.3629, 11.3619) * CHOOSE( CONTROL!$C$19, $D$11, 100%, $F$11)</f>
        <v>11.3629</v>
      </c>
      <c r="H402" s="4">
        <f>CHOOSE( CONTROL!$C$36, 12.2401, 12.2391) * CHOOSE(CONTROL!$C$19, $D$11, 100%, $F$11)</f>
        <v>12.2401</v>
      </c>
      <c r="I402" s="8">
        <f>CHOOSE( CONTROL!$C$36, 11.2982, 11.2971) * CHOOSE(CONTROL!$C$19, $D$11, 100%, $F$11)</f>
        <v>11.2982</v>
      </c>
      <c r="J402" s="4">
        <f>CHOOSE( CONTROL!$C$36, 11.1292, 11.1281) * CHOOSE(CONTROL!$C$19, $D$11, 100%, $F$11)</f>
        <v>11.129200000000001</v>
      </c>
      <c r="K402" s="4"/>
      <c r="L402" s="9">
        <v>26.469899999999999</v>
      </c>
      <c r="M402" s="9">
        <v>10.8962</v>
      </c>
      <c r="N402" s="9">
        <v>4.4660000000000002</v>
      </c>
      <c r="O402" s="9">
        <v>0.33789999999999998</v>
      </c>
      <c r="P402" s="9">
        <v>1.1676</v>
      </c>
      <c r="Q402" s="9">
        <v>18.364100000000001</v>
      </c>
      <c r="R402" s="9"/>
      <c r="S402" s="11"/>
    </row>
    <row r="403" spans="1:19" ht="15.75">
      <c r="A403" s="13">
        <v>53417</v>
      </c>
      <c r="B403" s="8">
        <f>CHOOSE( CONTROL!$C$36, 11.2317, 11.2306) * CHOOSE(CONTROL!$C$19, $D$11, 100%, $F$11)</f>
        <v>11.2317</v>
      </c>
      <c r="C403" s="8">
        <f>CHOOSE( CONTROL!$C$36, 11.2368, 11.2357) * CHOOSE(CONTROL!$C$19, $D$11, 100%, $F$11)</f>
        <v>11.236800000000001</v>
      </c>
      <c r="D403" s="8">
        <f>CHOOSE( CONTROL!$C$36, 11.2373, 11.2362) * CHOOSE( CONTROL!$C$19, $D$11, 100%, $F$11)</f>
        <v>11.237299999999999</v>
      </c>
      <c r="E403" s="12">
        <f>CHOOSE( CONTROL!$C$36, 11.2366, 11.2355) * CHOOSE( CONTROL!$C$19, $D$11, 100%, $F$11)</f>
        <v>11.236599999999999</v>
      </c>
      <c r="F403" s="4">
        <f>CHOOSE( CONTROL!$C$36, 11.8909, 11.8899) * CHOOSE(CONTROL!$C$19, $D$11, 100%, $F$11)</f>
        <v>11.8909</v>
      </c>
      <c r="G403" s="8">
        <f>CHOOSE( CONTROL!$C$36, 11.1212, 11.1202) * CHOOSE( CONTROL!$C$19, $D$11, 100%, $F$11)</f>
        <v>11.1212</v>
      </c>
      <c r="H403" s="4">
        <f>CHOOSE( CONTROL!$C$36, 11.9989, 11.9978) * CHOOSE(CONTROL!$C$19, $D$11, 100%, $F$11)</f>
        <v>11.998900000000001</v>
      </c>
      <c r="I403" s="8">
        <f>CHOOSE( CONTROL!$C$36, 11.0592, 11.0581) * CHOOSE(CONTROL!$C$19, $D$11, 100%, $F$11)</f>
        <v>11.059200000000001</v>
      </c>
      <c r="J403" s="4">
        <f>CHOOSE( CONTROL!$C$36, 10.8923, 10.8913) * CHOOSE(CONTROL!$C$19, $D$11, 100%, $F$11)</f>
        <v>10.892300000000001</v>
      </c>
      <c r="K403" s="4"/>
      <c r="L403" s="9">
        <v>29.306000000000001</v>
      </c>
      <c r="M403" s="9">
        <v>12.063700000000001</v>
      </c>
      <c r="N403" s="9">
        <v>4.9444999999999997</v>
      </c>
      <c r="O403" s="9">
        <v>0.37409999999999999</v>
      </c>
      <c r="P403" s="9">
        <v>1.2927</v>
      </c>
      <c r="Q403" s="9">
        <v>20.331700000000001</v>
      </c>
      <c r="R403" s="9"/>
      <c r="S403" s="11"/>
    </row>
    <row r="404" spans="1:19" ht="15.75">
      <c r="A404" s="13">
        <v>53447</v>
      </c>
      <c r="B404" s="8">
        <f>CHOOSE( CONTROL!$C$36, 11.4034, 11.4023) * CHOOSE(CONTROL!$C$19, $D$11, 100%, $F$11)</f>
        <v>11.4034</v>
      </c>
      <c r="C404" s="8">
        <f>CHOOSE( CONTROL!$C$36, 11.4079, 11.4069) * CHOOSE(CONTROL!$C$19, $D$11, 100%, $F$11)</f>
        <v>11.4079</v>
      </c>
      <c r="D404" s="8">
        <f>CHOOSE( CONTROL!$C$36, 11.4283, 11.4272) * CHOOSE( CONTROL!$C$19, $D$11, 100%, $F$11)</f>
        <v>11.4283</v>
      </c>
      <c r="E404" s="12">
        <f>CHOOSE( CONTROL!$C$36, 11.421, 11.42) * CHOOSE( CONTROL!$C$19, $D$11, 100%, $F$11)</f>
        <v>11.420999999999999</v>
      </c>
      <c r="F404" s="4">
        <f>CHOOSE( CONTROL!$C$36, 12.1378, 12.1367) * CHOOSE(CONTROL!$C$19, $D$11, 100%, $F$11)</f>
        <v>12.1378</v>
      </c>
      <c r="G404" s="8">
        <f>CHOOSE( CONTROL!$C$36, 11.2979, 11.2968) * CHOOSE( CONTROL!$C$19, $D$11, 100%, $F$11)</f>
        <v>11.2979</v>
      </c>
      <c r="H404" s="4">
        <f>CHOOSE( CONTROL!$C$36, 12.2423, 12.2412) * CHOOSE(CONTROL!$C$19, $D$11, 100%, $F$11)</f>
        <v>12.2423</v>
      </c>
      <c r="I404" s="8">
        <f>CHOOSE( CONTROL!$C$36, 11.1943, 11.1932) * CHOOSE(CONTROL!$C$19, $D$11, 100%, $F$11)</f>
        <v>11.1943</v>
      </c>
      <c r="J404" s="4">
        <f>CHOOSE( CONTROL!$C$36, 11.0578, 11.0568) * CHOOSE(CONTROL!$C$19, $D$11, 100%, $F$11)</f>
        <v>11.0578</v>
      </c>
      <c r="K404" s="4"/>
      <c r="L404" s="9">
        <v>30.092199999999998</v>
      </c>
      <c r="M404" s="9">
        <v>11.6745</v>
      </c>
      <c r="N404" s="9">
        <v>4.7850000000000001</v>
      </c>
      <c r="O404" s="9">
        <v>0.36199999999999999</v>
      </c>
      <c r="P404" s="9">
        <v>1.2509999999999999</v>
      </c>
      <c r="Q404" s="9">
        <v>19.675799999999999</v>
      </c>
      <c r="R404" s="9"/>
      <c r="S404" s="11"/>
    </row>
    <row r="405" spans="1:19" ht="15.75">
      <c r="A405" s="13">
        <v>53478</v>
      </c>
      <c r="B405" s="8">
        <f>CHOOSE( CONTROL!$C$36, 11.7096, 11.7079) * CHOOSE(CONTROL!$C$19, $D$11, 100%, $F$11)</f>
        <v>11.7096</v>
      </c>
      <c r="C405" s="8">
        <f>CHOOSE( CONTROL!$C$36, 11.7176, 11.7159) * CHOOSE(CONTROL!$C$19, $D$11, 100%, $F$11)</f>
        <v>11.717599999999999</v>
      </c>
      <c r="D405" s="8">
        <f>CHOOSE( CONTROL!$C$36, 11.7318, 11.7301) * CHOOSE( CONTROL!$C$19, $D$11, 100%, $F$11)</f>
        <v>11.7318</v>
      </c>
      <c r="E405" s="12">
        <f>CHOOSE( CONTROL!$C$36, 11.7254, 11.7237) * CHOOSE( CONTROL!$C$19, $D$11, 100%, $F$11)</f>
        <v>11.7254</v>
      </c>
      <c r="F405" s="4">
        <f>CHOOSE( CONTROL!$C$36, 12.4426, 12.441) * CHOOSE(CONTROL!$C$19, $D$11, 100%, $F$11)</f>
        <v>12.442600000000001</v>
      </c>
      <c r="G405" s="8">
        <f>CHOOSE( CONTROL!$C$36, 11.5984, 11.5968) * CHOOSE( CONTROL!$C$19, $D$11, 100%, $F$11)</f>
        <v>11.5984</v>
      </c>
      <c r="H405" s="4">
        <f>CHOOSE( CONTROL!$C$36, 12.5429, 12.5413) * CHOOSE(CONTROL!$C$19, $D$11, 100%, $F$11)</f>
        <v>12.542899999999999</v>
      </c>
      <c r="I405" s="8">
        <f>CHOOSE( CONTROL!$C$36, 11.4892, 11.4876) * CHOOSE(CONTROL!$C$19, $D$11, 100%, $F$11)</f>
        <v>11.4892</v>
      </c>
      <c r="J405" s="4">
        <f>CHOOSE( CONTROL!$C$36, 11.353, 11.3514) * CHOOSE(CONTROL!$C$19, $D$11, 100%, $F$11)</f>
        <v>11.353</v>
      </c>
      <c r="K405" s="4"/>
      <c r="L405" s="9">
        <v>30.7165</v>
      </c>
      <c r="M405" s="9">
        <v>12.063700000000001</v>
      </c>
      <c r="N405" s="9">
        <v>4.9444999999999997</v>
      </c>
      <c r="O405" s="9">
        <v>0.37409999999999999</v>
      </c>
      <c r="P405" s="9">
        <v>1.2927</v>
      </c>
      <c r="Q405" s="9">
        <v>20.331700000000001</v>
      </c>
      <c r="R405" s="9"/>
      <c r="S405" s="11"/>
    </row>
    <row r="406" spans="1:19" ht="15.75">
      <c r="A406" s="13">
        <v>53508</v>
      </c>
      <c r="B406" s="8">
        <f>CHOOSE( CONTROL!$C$36, 11.5211, 11.5195) * CHOOSE(CONTROL!$C$19, $D$11, 100%, $F$11)</f>
        <v>11.521100000000001</v>
      </c>
      <c r="C406" s="8">
        <f>CHOOSE( CONTROL!$C$36, 11.5291, 11.5275) * CHOOSE(CONTROL!$C$19, $D$11, 100%, $F$11)</f>
        <v>11.5291</v>
      </c>
      <c r="D406" s="8">
        <f>CHOOSE( CONTROL!$C$36, 11.5435, 11.5419) * CHOOSE( CONTROL!$C$19, $D$11, 100%, $F$11)</f>
        <v>11.5435</v>
      </c>
      <c r="E406" s="12">
        <f>CHOOSE( CONTROL!$C$36, 11.5371, 11.5355) * CHOOSE( CONTROL!$C$19, $D$11, 100%, $F$11)</f>
        <v>11.537100000000001</v>
      </c>
      <c r="F406" s="4">
        <f>CHOOSE( CONTROL!$C$36, 12.2542, 12.2525) * CHOOSE(CONTROL!$C$19, $D$11, 100%, $F$11)</f>
        <v>12.254200000000001</v>
      </c>
      <c r="G406" s="8">
        <f>CHOOSE( CONTROL!$C$36, 11.4127, 11.4111) * CHOOSE( CONTROL!$C$19, $D$11, 100%, $F$11)</f>
        <v>11.412699999999999</v>
      </c>
      <c r="H406" s="4">
        <f>CHOOSE( CONTROL!$C$36, 12.357, 12.3554) * CHOOSE(CONTROL!$C$19, $D$11, 100%, $F$11)</f>
        <v>12.356999999999999</v>
      </c>
      <c r="I406" s="8">
        <f>CHOOSE( CONTROL!$C$36, 11.3073, 11.3057) * CHOOSE(CONTROL!$C$19, $D$11, 100%, $F$11)</f>
        <v>11.3073</v>
      </c>
      <c r="J406" s="4">
        <f>CHOOSE( CONTROL!$C$36, 11.1705, 11.1689) * CHOOSE(CONTROL!$C$19, $D$11, 100%, $F$11)</f>
        <v>11.170500000000001</v>
      </c>
      <c r="K406" s="4"/>
      <c r="L406" s="9">
        <v>29.7257</v>
      </c>
      <c r="M406" s="9">
        <v>11.6745</v>
      </c>
      <c r="N406" s="9">
        <v>4.7850000000000001</v>
      </c>
      <c r="O406" s="9">
        <v>0.36199999999999999</v>
      </c>
      <c r="P406" s="9">
        <v>1.2509999999999999</v>
      </c>
      <c r="Q406" s="9">
        <v>19.675799999999999</v>
      </c>
      <c r="R406" s="9"/>
      <c r="S406" s="11"/>
    </row>
    <row r="407" spans="1:19" ht="15.75">
      <c r="A407" s="13">
        <v>53539</v>
      </c>
      <c r="B407" s="8">
        <f>CHOOSE( CONTROL!$C$36, 12.0175, 12.0158) * CHOOSE(CONTROL!$C$19, $D$11, 100%, $F$11)</f>
        <v>12.0175</v>
      </c>
      <c r="C407" s="8">
        <f>CHOOSE( CONTROL!$C$36, 12.0255, 12.0238) * CHOOSE(CONTROL!$C$19, $D$11, 100%, $F$11)</f>
        <v>12.025499999999999</v>
      </c>
      <c r="D407" s="8">
        <f>CHOOSE( CONTROL!$C$36, 12.0401, 12.0384) * CHOOSE( CONTROL!$C$19, $D$11, 100%, $F$11)</f>
        <v>12.040100000000001</v>
      </c>
      <c r="E407" s="12">
        <f>CHOOSE( CONTROL!$C$36, 12.0336, 12.0319) * CHOOSE( CONTROL!$C$19, $D$11, 100%, $F$11)</f>
        <v>12.0336</v>
      </c>
      <c r="F407" s="4">
        <f>CHOOSE( CONTROL!$C$36, 12.7505, 12.7488) * CHOOSE(CONTROL!$C$19, $D$11, 100%, $F$11)</f>
        <v>12.750500000000001</v>
      </c>
      <c r="G407" s="8">
        <f>CHOOSE( CONTROL!$C$36, 11.9023, 11.9007) * CHOOSE( CONTROL!$C$19, $D$11, 100%, $F$11)</f>
        <v>11.9023</v>
      </c>
      <c r="H407" s="4">
        <f>CHOOSE( CONTROL!$C$36, 12.8465, 12.8448) * CHOOSE(CONTROL!$C$19, $D$11, 100%, $F$11)</f>
        <v>12.846500000000001</v>
      </c>
      <c r="I407" s="8">
        <f>CHOOSE( CONTROL!$C$36, 11.789, 11.7873) * CHOOSE(CONTROL!$C$19, $D$11, 100%, $F$11)</f>
        <v>11.789</v>
      </c>
      <c r="J407" s="4">
        <f>CHOOSE( CONTROL!$C$36, 11.6511, 11.6495) * CHOOSE(CONTROL!$C$19, $D$11, 100%, $F$11)</f>
        <v>11.6511</v>
      </c>
      <c r="K407" s="4"/>
      <c r="L407" s="9">
        <v>30.7165</v>
      </c>
      <c r="M407" s="9">
        <v>12.063700000000001</v>
      </c>
      <c r="N407" s="9">
        <v>4.9444999999999997</v>
      </c>
      <c r="O407" s="9">
        <v>0.37409999999999999</v>
      </c>
      <c r="P407" s="9">
        <v>1.2927</v>
      </c>
      <c r="Q407" s="9">
        <v>20.331700000000001</v>
      </c>
      <c r="R407" s="9"/>
      <c r="S407" s="11"/>
    </row>
    <row r="408" spans="1:19" ht="15.75">
      <c r="A408" s="13">
        <v>53570</v>
      </c>
      <c r="B408" s="8">
        <f>CHOOSE( CONTROL!$C$36, 11.0888, 11.0871) * CHOOSE(CONTROL!$C$19, $D$11, 100%, $F$11)</f>
        <v>11.088800000000001</v>
      </c>
      <c r="C408" s="8">
        <f>CHOOSE( CONTROL!$C$36, 11.0968, 11.0951) * CHOOSE(CONTROL!$C$19, $D$11, 100%, $F$11)</f>
        <v>11.0968</v>
      </c>
      <c r="D408" s="8">
        <f>CHOOSE( CONTROL!$C$36, 11.1115, 11.1098) * CHOOSE( CONTROL!$C$19, $D$11, 100%, $F$11)</f>
        <v>11.111499999999999</v>
      </c>
      <c r="E408" s="12">
        <f>CHOOSE( CONTROL!$C$36, 11.105, 11.1033) * CHOOSE( CONTROL!$C$19, $D$11, 100%, $F$11)</f>
        <v>11.105</v>
      </c>
      <c r="F408" s="4">
        <f>CHOOSE( CONTROL!$C$36, 11.8218, 11.8201) * CHOOSE(CONTROL!$C$19, $D$11, 100%, $F$11)</f>
        <v>11.8218</v>
      </c>
      <c r="G408" s="8">
        <f>CHOOSE( CONTROL!$C$36, 10.9866, 10.985) * CHOOSE( CONTROL!$C$19, $D$11, 100%, $F$11)</f>
        <v>10.986599999999999</v>
      </c>
      <c r="H408" s="4">
        <f>CHOOSE( CONTROL!$C$36, 11.9307, 11.9291) * CHOOSE(CONTROL!$C$19, $D$11, 100%, $F$11)</f>
        <v>11.9307</v>
      </c>
      <c r="I408" s="8">
        <f>CHOOSE( CONTROL!$C$36, 10.8895, 10.8878) * CHOOSE(CONTROL!$C$19, $D$11, 100%, $F$11)</f>
        <v>10.8895</v>
      </c>
      <c r="J408" s="4">
        <f>CHOOSE( CONTROL!$C$36, 10.7519, 10.7502) * CHOOSE(CONTROL!$C$19, $D$11, 100%, $F$11)</f>
        <v>10.751899999999999</v>
      </c>
      <c r="K408" s="4"/>
      <c r="L408" s="9">
        <v>30.7165</v>
      </c>
      <c r="M408" s="9">
        <v>12.063700000000001</v>
      </c>
      <c r="N408" s="9">
        <v>4.9444999999999997</v>
      </c>
      <c r="O408" s="9">
        <v>0.37409999999999999</v>
      </c>
      <c r="P408" s="9">
        <v>1.2927</v>
      </c>
      <c r="Q408" s="9">
        <v>20.331700000000001</v>
      </c>
      <c r="R408" s="9"/>
      <c r="S408" s="11"/>
    </row>
    <row r="409" spans="1:19" ht="15.75">
      <c r="A409" s="13">
        <v>53600</v>
      </c>
      <c r="B409" s="8">
        <f>CHOOSE( CONTROL!$C$36, 10.8562, 10.8546) * CHOOSE(CONTROL!$C$19, $D$11, 100%, $F$11)</f>
        <v>10.856199999999999</v>
      </c>
      <c r="C409" s="8">
        <f>CHOOSE( CONTROL!$C$36, 10.8642, 10.8626) * CHOOSE(CONTROL!$C$19, $D$11, 100%, $F$11)</f>
        <v>10.8642</v>
      </c>
      <c r="D409" s="8">
        <f>CHOOSE( CONTROL!$C$36, 10.8788, 10.8771) * CHOOSE( CONTROL!$C$19, $D$11, 100%, $F$11)</f>
        <v>10.8788</v>
      </c>
      <c r="E409" s="12">
        <f>CHOOSE( CONTROL!$C$36, 10.8723, 10.8706) * CHOOSE( CONTROL!$C$19, $D$11, 100%, $F$11)</f>
        <v>10.872299999999999</v>
      </c>
      <c r="F409" s="4">
        <f>CHOOSE( CONTROL!$C$36, 11.5892, 11.5876) * CHOOSE(CONTROL!$C$19, $D$11, 100%, $F$11)</f>
        <v>11.5892</v>
      </c>
      <c r="G409" s="8">
        <f>CHOOSE( CONTROL!$C$36, 10.7572, 10.7556) * CHOOSE( CONTROL!$C$19, $D$11, 100%, $F$11)</f>
        <v>10.757199999999999</v>
      </c>
      <c r="H409" s="4">
        <f>CHOOSE( CONTROL!$C$36, 11.7014, 11.6998) * CHOOSE(CONTROL!$C$19, $D$11, 100%, $F$11)</f>
        <v>11.7014</v>
      </c>
      <c r="I409" s="8">
        <f>CHOOSE( CONTROL!$C$36, 10.6638, 10.6622) * CHOOSE(CONTROL!$C$19, $D$11, 100%, $F$11)</f>
        <v>10.6638</v>
      </c>
      <c r="J409" s="4">
        <f>CHOOSE( CONTROL!$C$36, 10.5267, 10.5251) * CHOOSE(CONTROL!$C$19, $D$11, 100%, $F$11)</f>
        <v>10.5267</v>
      </c>
      <c r="K409" s="4"/>
      <c r="L409" s="9">
        <v>29.7257</v>
      </c>
      <c r="M409" s="9">
        <v>11.6745</v>
      </c>
      <c r="N409" s="9">
        <v>4.7850000000000001</v>
      </c>
      <c r="O409" s="9">
        <v>0.36199999999999999</v>
      </c>
      <c r="P409" s="9">
        <v>1.2509999999999999</v>
      </c>
      <c r="Q409" s="9">
        <v>19.675799999999999</v>
      </c>
      <c r="R409" s="9"/>
      <c r="S409" s="11"/>
    </row>
    <row r="410" spans="1:19" ht="15.75">
      <c r="A410" s="13">
        <v>53631</v>
      </c>
      <c r="B410" s="8">
        <f>CHOOSE( CONTROL!$C$36, 11.3368, 11.3357) * CHOOSE(CONTROL!$C$19, $D$11, 100%, $F$11)</f>
        <v>11.3368</v>
      </c>
      <c r="C410" s="8">
        <f>CHOOSE( CONTROL!$C$36, 11.3421, 11.341) * CHOOSE(CONTROL!$C$19, $D$11, 100%, $F$11)</f>
        <v>11.3421</v>
      </c>
      <c r="D410" s="8">
        <f>CHOOSE( CONTROL!$C$36, 11.3626, 11.3615) * CHOOSE( CONTROL!$C$19, $D$11, 100%, $F$11)</f>
        <v>11.3626</v>
      </c>
      <c r="E410" s="12">
        <f>CHOOSE( CONTROL!$C$36, 11.3553, 11.3542) * CHOOSE( CONTROL!$C$19, $D$11, 100%, $F$11)</f>
        <v>11.3553</v>
      </c>
      <c r="F410" s="4">
        <f>CHOOSE( CONTROL!$C$36, 12.0715, 12.0704) * CHOOSE(CONTROL!$C$19, $D$11, 100%, $F$11)</f>
        <v>12.0715</v>
      </c>
      <c r="G410" s="8">
        <f>CHOOSE( CONTROL!$C$36, 11.233, 11.2319) * CHOOSE( CONTROL!$C$19, $D$11, 100%, $F$11)</f>
        <v>11.233000000000001</v>
      </c>
      <c r="H410" s="4">
        <f>CHOOSE( CONTROL!$C$36, 12.177, 12.1759) * CHOOSE(CONTROL!$C$19, $D$11, 100%, $F$11)</f>
        <v>12.177</v>
      </c>
      <c r="I410" s="8">
        <f>CHOOSE( CONTROL!$C$36, 11.1321, 11.131) * CHOOSE(CONTROL!$C$19, $D$11, 100%, $F$11)</f>
        <v>11.132099999999999</v>
      </c>
      <c r="J410" s="4">
        <f>CHOOSE( CONTROL!$C$36, 10.9937, 10.9926) * CHOOSE(CONTROL!$C$19, $D$11, 100%, $F$11)</f>
        <v>10.9937</v>
      </c>
      <c r="K410" s="4"/>
      <c r="L410" s="9">
        <v>31.095300000000002</v>
      </c>
      <c r="M410" s="9">
        <v>12.063700000000001</v>
      </c>
      <c r="N410" s="9">
        <v>4.9444999999999997</v>
      </c>
      <c r="O410" s="9">
        <v>0.37409999999999999</v>
      </c>
      <c r="P410" s="9">
        <v>1.2927</v>
      </c>
      <c r="Q410" s="9">
        <v>20.331700000000001</v>
      </c>
      <c r="R410" s="9"/>
      <c r="S410" s="11"/>
    </row>
    <row r="411" spans="1:19" ht="15.75">
      <c r="A411" s="13">
        <v>53661</v>
      </c>
      <c r="B411" s="8">
        <f>CHOOSE( CONTROL!$C$36, 12.2277, 12.2266) * CHOOSE(CONTROL!$C$19, $D$11, 100%, $F$11)</f>
        <v>12.2277</v>
      </c>
      <c r="C411" s="8">
        <f>CHOOSE( CONTROL!$C$36, 12.2327, 12.2317) * CHOOSE(CONTROL!$C$19, $D$11, 100%, $F$11)</f>
        <v>12.232699999999999</v>
      </c>
      <c r="D411" s="8">
        <f>CHOOSE( CONTROL!$C$36, 12.212, 12.2109) * CHOOSE( CONTROL!$C$19, $D$11, 100%, $F$11)</f>
        <v>12.212</v>
      </c>
      <c r="E411" s="12">
        <f>CHOOSE( CONTROL!$C$36, 12.219, 12.218) * CHOOSE( CONTROL!$C$19, $D$11, 100%, $F$11)</f>
        <v>12.218999999999999</v>
      </c>
      <c r="F411" s="4">
        <f>CHOOSE( CONTROL!$C$36, 12.8869, 12.8858) * CHOOSE(CONTROL!$C$19, $D$11, 100%, $F$11)</f>
        <v>12.886900000000001</v>
      </c>
      <c r="G411" s="8">
        <f>CHOOSE( CONTROL!$C$36, 12.0918, 12.0907) * CHOOSE( CONTROL!$C$19, $D$11, 100%, $F$11)</f>
        <v>12.091799999999999</v>
      </c>
      <c r="H411" s="4">
        <f>CHOOSE( CONTROL!$C$36, 12.981, 12.9799) * CHOOSE(CONTROL!$C$19, $D$11, 100%, $F$11)</f>
        <v>12.981</v>
      </c>
      <c r="I411" s="8">
        <f>CHOOSE( CONTROL!$C$36, 12.0447, 12.0436) * CHOOSE(CONTROL!$C$19, $D$11, 100%, $F$11)</f>
        <v>12.044700000000001</v>
      </c>
      <c r="J411" s="4">
        <f>CHOOSE( CONTROL!$C$36, 11.8567, 11.8556) * CHOOSE(CONTROL!$C$19, $D$11, 100%, $F$11)</f>
        <v>11.8567</v>
      </c>
      <c r="K411" s="4"/>
      <c r="L411" s="9">
        <v>28.360600000000002</v>
      </c>
      <c r="M411" s="9">
        <v>11.6745</v>
      </c>
      <c r="N411" s="9">
        <v>4.7850000000000001</v>
      </c>
      <c r="O411" s="9">
        <v>0.36199999999999999</v>
      </c>
      <c r="P411" s="9">
        <v>1.2509999999999999</v>
      </c>
      <c r="Q411" s="9">
        <v>19.675799999999999</v>
      </c>
      <c r="R411" s="9"/>
      <c r="S411" s="11"/>
    </row>
    <row r="412" spans="1:19" ht="15.75">
      <c r="A412" s="13">
        <v>53692</v>
      </c>
      <c r="B412" s="8">
        <f>CHOOSE( CONTROL!$C$36, 12.2054, 12.2043) * CHOOSE(CONTROL!$C$19, $D$11, 100%, $F$11)</f>
        <v>12.205399999999999</v>
      </c>
      <c r="C412" s="8">
        <f>CHOOSE( CONTROL!$C$36, 12.2105, 12.2094) * CHOOSE(CONTROL!$C$19, $D$11, 100%, $F$11)</f>
        <v>12.2105</v>
      </c>
      <c r="D412" s="8">
        <f>CHOOSE( CONTROL!$C$36, 12.1911, 12.19) * CHOOSE( CONTROL!$C$19, $D$11, 100%, $F$11)</f>
        <v>12.1911</v>
      </c>
      <c r="E412" s="12">
        <f>CHOOSE( CONTROL!$C$36, 12.1977, 12.1966) * CHOOSE( CONTROL!$C$19, $D$11, 100%, $F$11)</f>
        <v>12.197699999999999</v>
      </c>
      <c r="F412" s="4">
        <f>CHOOSE( CONTROL!$C$36, 12.8646, 12.8635) * CHOOSE(CONTROL!$C$19, $D$11, 100%, $F$11)</f>
        <v>12.864599999999999</v>
      </c>
      <c r="G412" s="8">
        <f>CHOOSE( CONTROL!$C$36, 12.0708, 12.0698) * CHOOSE( CONTROL!$C$19, $D$11, 100%, $F$11)</f>
        <v>12.0708</v>
      </c>
      <c r="H412" s="4">
        <f>CHOOSE( CONTROL!$C$36, 12.959, 12.9579) * CHOOSE(CONTROL!$C$19, $D$11, 100%, $F$11)</f>
        <v>12.959</v>
      </c>
      <c r="I412" s="8">
        <f>CHOOSE( CONTROL!$C$36, 12.0274, 12.0263) * CHOOSE(CONTROL!$C$19, $D$11, 100%, $F$11)</f>
        <v>12.0274</v>
      </c>
      <c r="J412" s="4">
        <f>CHOOSE( CONTROL!$C$36, 11.8351, 11.8341) * CHOOSE(CONTROL!$C$19, $D$11, 100%, $F$11)</f>
        <v>11.835100000000001</v>
      </c>
      <c r="K412" s="4"/>
      <c r="L412" s="9">
        <v>29.306000000000001</v>
      </c>
      <c r="M412" s="9">
        <v>12.063700000000001</v>
      </c>
      <c r="N412" s="9">
        <v>4.9444999999999997</v>
      </c>
      <c r="O412" s="9">
        <v>0.37409999999999999</v>
      </c>
      <c r="P412" s="9">
        <v>1.2927</v>
      </c>
      <c r="Q412" s="9">
        <v>20.331700000000001</v>
      </c>
      <c r="R412" s="9"/>
      <c r="S412" s="11"/>
    </row>
    <row r="413" spans="1:19" ht="15.75">
      <c r="A413" s="13">
        <v>53723</v>
      </c>
      <c r="B413" s="8">
        <f>CHOOSE( CONTROL!$C$36, 12.5659, 12.5648) * CHOOSE(CONTROL!$C$19, $D$11, 100%, $F$11)</f>
        <v>12.565899999999999</v>
      </c>
      <c r="C413" s="8">
        <f>CHOOSE( CONTROL!$C$36, 12.571, 12.5699) * CHOOSE(CONTROL!$C$19, $D$11, 100%, $F$11)</f>
        <v>12.571</v>
      </c>
      <c r="D413" s="8">
        <f>CHOOSE( CONTROL!$C$36, 12.5723, 12.5712) * CHOOSE( CONTROL!$C$19, $D$11, 100%, $F$11)</f>
        <v>12.5723</v>
      </c>
      <c r="E413" s="12">
        <f>CHOOSE( CONTROL!$C$36, 12.5713, 12.5702) * CHOOSE( CONTROL!$C$19, $D$11, 100%, $F$11)</f>
        <v>12.571300000000001</v>
      </c>
      <c r="F413" s="4">
        <f>CHOOSE( CONTROL!$C$36, 13.2251, 13.224) * CHOOSE(CONTROL!$C$19, $D$11, 100%, $F$11)</f>
        <v>13.225099999999999</v>
      </c>
      <c r="G413" s="8">
        <f>CHOOSE( CONTROL!$C$36, 12.4374, 12.4363) * CHOOSE( CONTROL!$C$19, $D$11, 100%, $F$11)</f>
        <v>12.4374</v>
      </c>
      <c r="H413" s="4">
        <f>CHOOSE( CONTROL!$C$36, 13.3145, 13.3134) * CHOOSE(CONTROL!$C$19, $D$11, 100%, $F$11)</f>
        <v>13.314500000000001</v>
      </c>
      <c r="I413" s="8">
        <f>CHOOSE( CONTROL!$C$36, 12.3541, 12.3531) * CHOOSE(CONTROL!$C$19, $D$11, 100%, $F$11)</f>
        <v>12.354100000000001</v>
      </c>
      <c r="J413" s="4">
        <f>CHOOSE( CONTROL!$C$36, 12.1842, 12.1831) * CHOOSE(CONTROL!$C$19, $D$11, 100%, $F$11)</f>
        <v>12.184200000000001</v>
      </c>
      <c r="K413" s="4"/>
      <c r="L413" s="9">
        <v>29.306000000000001</v>
      </c>
      <c r="M413" s="9">
        <v>12.063700000000001</v>
      </c>
      <c r="N413" s="9">
        <v>4.9444999999999997</v>
      </c>
      <c r="O413" s="9">
        <v>0.37409999999999999</v>
      </c>
      <c r="P413" s="9">
        <v>1.2927</v>
      </c>
      <c r="Q413" s="9">
        <v>20.2666</v>
      </c>
      <c r="R413" s="9"/>
      <c r="S413" s="11"/>
    </row>
    <row r="414" spans="1:19" ht="15.75">
      <c r="A414" s="13">
        <v>53751</v>
      </c>
      <c r="B414" s="8">
        <f>CHOOSE( CONTROL!$C$36, 11.7525, 11.7514) * CHOOSE(CONTROL!$C$19, $D$11, 100%, $F$11)</f>
        <v>11.7525</v>
      </c>
      <c r="C414" s="8">
        <f>CHOOSE( CONTROL!$C$36, 11.7576, 11.7565) * CHOOSE(CONTROL!$C$19, $D$11, 100%, $F$11)</f>
        <v>11.7576</v>
      </c>
      <c r="D414" s="8">
        <f>CHOOSE( CONTROL!$C$36, 11.7587, 11.7576) * CHOOSE( CONTROL!$C$19, $D$11, 100%, $F$11)</f>
        <v>11.758699999999999</v>
      </c>
      <c r="E414" s="12">
        <f>CHOOSE( CONTROL!$C$36, 11.7578, 11.7567) * CHOOSE( CONTROL!$C$19, $D$11, 100%, $F$11)</f>
        <v>11.7578</v>
      </c>
      <c r="F414" s="4">
        <f>CHOOSE( CONTROL!$C$36, 12.4117, 12.4106) * CHOOSE(CONTROL!$C$19, $D$11, 100%, $F$11)</f>
        <v>12.4117</v>
      </c>
      <c r="G414" s="8">
        <f>CHOOSE( CONTROL!$C$36, 11.6352, 11.6341) * CHOOSE( CONTROL!$C$19, $D$11, 100%, $F$11)</f>
        <v>11.635199999999999</v>
      </c>
      <c r="H414" s="4">
        <f>CHOOSE( CONTROL!$C$36, 12.5124, 12.5113) * CHOOSE(CONTROL!$C$19, $D$11, 100%, $F$11)</f>
        <v>12.5124</v>
      </c>
      <c r="I414" s="8">
        <f>CHOOSE( CONTROL!$C$36, 11.5657, 11.5646) * CHOOSE(CONTROL!$C$19, $D$11, 100%, $F$11)</f>
        <v>11.5657</v>
      </c>
      <c r="J414" s="4">
        <f>CHOOSE( CONTROL!$C$36, 11.3966, 11.3955) * CHOOSE(CONTROL!$C$19, $D$11, 100%, $F$11)</f>
        <v>11.396599999999999</v>
      </c>
      <c r="K414" s="4"/>
      <c r="L414" s="9">
        <v>26.469899999999999</v>
      </c>
      <c r="M414" s="9">
        <v>10.8962</v>
      </c>
      <c r="N414" s="9">
        <v>4.4660000000000002</v>
      </c>
      <c r="O414" s="9">
        <v>0.33789999999999998</v>
      </c>
      <c r="P414" s="9">
        <v>1.1676</v>
      </c>
      <c r="Q414" s="9">
        <v>18.305299999999999</v>
      </c>
      <c r="R414" s="9"/>
      <c r="S414" s="11"/>
    </row>
    <row r="415" spans="1:19" ht="15.75">
      <c r="A415" s="13">
        <v>53782</v>
      </c>
      <c r="B415" s="8">
        <f>CHOOSE( CONTROL!$C$36, 11.5019, 11.5009) * CHOOSE(CONTROL!$C$19, $D$11, 100%, $F$11)</f>
        <v>11.501899999999999</v>
      </c>
      <c r="C415" s="8">
        <f>CHOOSE( CONTROL!$C$36, 11.507, 11.506) * CHOOSE(CONTROL!$C$19, $D$11, 100%, $F$11)</f>
        <v>11.507</v>
      </c>
      <c r="D415" s="8">
        <f>CHOOSE( CONTROL!$C$36, 11.5076, 11.5065) * CHOOSE( CONTROL!$C$19, $D$11, 100%, $F$11)</f>
        <v>11.5076</v>
      </c>
      <c r="E415" s="12">
        <f>CHOOSE( CONTROL!$C$36, 11.5068, 11.5058) * CHOOSE( CONTROL!$C$19, $D$11, 100%, $F$11)</f>
        <v>11.5068</v>
      </c>
      <c r="F415" s="4">
        <f>CHOOSE( CONTROL!$C$36, 12.1612, 12.1601) * CHOOSE(CONTROL!$C$19, $D$11, 100%, $F$11)</f>
        <v>12.161199999999999</v>
      </c>
      <c r="G415" s="8">
        <f>CHOOSE( CONTROL!$C$36, 11.3877, 11.3866) * CHOOSE( CONTROL!$C$19, $D$11, 100%, $F$11)</f>
        <v>11.387700000000001</v>
      </c>
      <c r="H415" s="4">
        <f>CHOOSE( CONTROL!$C$36, 12.2654, 12.2643) * CHOOSE(CONTROL!$C$19, $D$11, 100%, $F$11)</f>
        <v>12.2654</v>
      </c>
      <c r="I415" s="8">
        <f>CHOOSE( CONTROL!$C$36, 11.321, 11.3199) * CHOOSE(CONTROL!$C$19, $D$11, 100%, $F$11)</f>
        <v>11.321</v>
      </c>
      <c r="J415" s="4">
        <f>CHOOSE( CONTROL!$C$36, 11.154, 11.1529) * CHOOSE(CONTROL!$C$19, $D$11, 100%, $F$11)</f>
        <v>11.154</v>
      </c>
      <c r="K415" s="4"/>
      <c r="L415" s="9">
        <v>29.306000000000001</v>
      </c>
      <c r="M415" s="9">
        <v>12.063700000000001</v>
      </c>
      <c r="N415" s="9">
        <v>4.9444999999999997</v>
      </c>
      <c r="O415" s="9">
        <v>0.37409999999999999</v>
      </c>
      <c r="P415" s="9">
        <v>1.2927</v>
      </c>
      <c r="Q415" s="9">
        <v>20.2666</v>
      </c>
      <c r="R415" s="9"/>
      <c r="S415" s="11"/>
    </row>
    <row r="416" spans="1:19" ht="15.75">
      <c r="A416" s="13">
        <v>53812</v>
      </c>
      <c r="B416" s="8">
        <f>CHOOSE( CONTROL!$C$36, 11.6778, 11.6767) * CHOOSE(CONTROL!$C$19, $D$11, 100%, $F$11)</f>
        <v>11.6778</v>
      </c>
      <c r="C416" s="8">
        <f>CHOOSE( CONTROL!$C$36, 11.6823, 11.6812) * CHOOSE(CONTROL!$C$19, $D$11, 100%, $F$11)</f>
        <v>11.6823</v>
      </c>
      <c r="D416" s="8">
        <f>CHOOSE( CONTROL!$C$36, 11.7027, 11.7016) * CHOOSE( CONTROL!$C$19, $D$11, 100%, $F$11)</f>
        <v>11.7027</v>
      </c>
      <c r="E416" s="12">
        <f>CHOOSE( CONTROL!$C$36, 11.6954, 11.6943) * CHOOSE( CONTROL!$C$19, $D$11, 100%, $F$11)</f>
        <v>11.695399999999999</v>
      </c>
      <c r="F416" s="4">
        <f>CHOOSE( CONTROL!$C$36, 12.4122, 12.4111) * CHOOSE(CONTROL!$C$19, $D$11, 100%, $F$11)</f>
        <v>12.4122</v>
      </c>
      <c r="G416" s="8">
        <f>CHOOSE( CONTROL!$C$36, 11.5684, 11.5674) * CHOOSE( CONTROL!$C$19, $D$11, 100%, $F$11)</f>
        <v>11.5684</v>
      </c>
      <c r="H416" s="4">
        <f>CHOOSE( CONTROL!$C$36, 12.5128, 12.5118) * CHOOSE(CONTROL!$C$19, $D$11, 100%, $F$11)</f>
        <v>12.5128</v>
      </c>
      <c r="I416" s="8">
        <f>CHOOSE( CONTROL!$C$36, 11.4601, 11.459) * CHOOSE(CONTROL!$C$19, $D$11, 100%, $F$11)</f>
        <v>11.460100000000001</v>
      </c>
      <c r="J416" s="4">
        <f>CHOOSE( CONTROL!$C$36, 11.3235, 11.3225) * CHOOSE(CONTROL!$C$19, $D$11, 100%, $F$11)</f>
        <v>11.323499999999999</v>
      </c>
      <c r="K416" s="4"/>
      <c r="L416" s="9">
        <v>30.092199999999998</v>
      </c>
      <c r="M416" s="9">
        <v>11.6745</v>
      </c>
      <c r="N416" s="9">
        <v>4.7850000000000001</v>
      </c>
      <c r="O416" s="9">
        <v>0.36199999999999999</v>
      </c>
      <c r="P416" s="9">
        <v>1.2509999999999999</v>
      </c>
      <c r="Q416" s="9">
        <v>19.6128</v>
      </c>
      <c r="R416" s="9"/>
      <c r="S416" s="11"/>
    </row>
    <row r="417" spans="1:19" ht="15.75">
      <c r="A417" s="13">
        <v>53843</v>
      </c>
      <c r="B417" s="8">
        <f>CHOOSE( CONTROL!$C$36, 11.9913, 11.9896) * CHOOSE(CONTROL!$C$19, $D$11, 100%, $F$11)</f>
        <v>11.991300000000001</v>
      </c>
      <c r="C417" s="8">
        <f>CHOOSE( CONTROL!$C$36, 11.9993, 11.9976) * CHOOSE(CONTROL!$C$19, $D$11, 100%, $F$11)</f>
        <v>11.9993</v>
      </c>
      <c r="D417" s="8">
        <f>CHOOSE( CONTROL!$C$36, 12.0135, 12.0118) * CHOOSE( CONTROL!$C$19, $D$11, 100%, $F$11)</f>
        <v>12.013500000000001</v>
      </c>
      <c r="E417" s="12">
        <f>CHOOSE( CONTROL!$C$36, 12.0071, 12.0054) * CHOOSE( CONTROL!$C$19, $D$11, 100%, $F$11)</f>
        <v>12.007099999999999</v>
      </c>
      <c r="F417" s="4">
        <f>CHOOSE( CONTROL!$C$36, 12.7243, 12.7227) * CHOOSE(CONTROL!$C$19, $D$11, 100%, $F$11)</f>
        <v>12.724299999999999</v>
      </c>
      <c r="G417" s="8">
        <f>CHOOSE( CONTROL!$C$36, 11.8762, 11.8745) * CHOOSE( CONTROL!$C$19, $D$11, 100%, $F$11)</f>
        <v>11.876200000000001</v>
      </c>
      <c r="H417" s="4">
        <f>CHOOSE( CONTROL!$C$36, 12.8206, 12.819) * CHOOSE(CONTROL!$C$19, $D$11, 100%, $F$11)</f>
        <v>12.820600000000001</v>
      </c>
      <c r="I417" s="8">
        <f>CHOOSE( CONTROL!$C$36, 11.7621, 11.7605) * CHOOSE(CONTROL!$C$19, $D$11, 100%, $F$11)</f>
        <v>11.7621</v>
      </c>
      <c r="J417" s="4">
        <f>CHOOSE( CONTROL!$C$36, 11.6258, 11.6241) * CHOOSE(CONTROL!$C$19, $D$11, 100%, $F$11)</f>
        <v>11.6258</v>
      </c>
      <c r="K417" s="4"/>
      <c r="L417" s="9">
        <v>30.7165</v>
      </c>
      <c r="M417" s="9">
        <v>12.063700000000001</v>
      </c>
      <c r="N417" s="9">
        <v>4.9444999999999997</v>
      </c>
      <c r="O417" s="9">
        <v>0.37409999999999999</v>
      </c>
      <c r="P417" s="9">
        <v>1.2927</v>
      </c>
      <c r="Q417" s="9">
        <v>20.2666</v>
      </c>
      <c r="R417" s="9"/>
      <c r="S417" s="11"/>
    </row>
    <row r="418" spans="1:19" ht="15.75">
      <c r="A418" s="13">
        <v>53873</v>
      </c>
      <c r="B418" s="8">
        <f>CHOOSE( CONTROL!$C$36, 11.7983, 11.7966) * CHOOSE(CONTROL!$C$19, $D$11, 100%, $F$11)</f>
        <v>11.798299999999999</v>
      </c>
      <c r="C418" s="8">
        <f>CHOOSE( CONTROL!$C$36, 11.8063, 11.8046) * CHOOSE(CONTROL!$C$19, $D$11, 100%, $F$11)</f>
        <v>11.8063</v>
      </c>
      <c r="D418" s="8">
        <f>CHOOSE( CONTROL!$C$36, 11.8207, 11.819) * CHOOSE( CONTROL!$C$19, $D$11, 100%, $F$11)</f>
        <v>11.8207</v>
      </c>
      <c r="E418" s="12">
        <f>CHOOSE( CONTROL!$C$36, 11.8143, 11.8126) * CHOOSE( CONTROL!$C$19, $D$11, 100%, $F$11)</f>
        <v>11.814299999999999</v>
      </c>
      <c r="F418" s="4">
        <f>CHOOSE( CONTROL!$C$36, 12.5313, 12.5296) * CHOOSE(CONTROL!$C$19, $D$11, 100%, $F$11)</f>
        <v>12.5313</v>
      </c>
      <c r="G418" s="8">
        <f>CHOOSE( CONTROL!$C$36, 11.686, 11.6844) * CHOOSE( CONTROL!$C$19, $D$11, 100%, $F$11)</f>
        <v>11.686</v>
      </c>
      <c r="H418" s="4">
        <f>CHOOSE( CONTROL!$C$36, 12.6303, 12.6287) * CHOOSE(CONTROL!$C$19, $D$11, 100%, $F$11)</f>
        <v>12.6303</v>
      </c>
      <c r="I418" s="8">
        <f>CHOOSE( CONTROL!$C$36, 11.5758, 11.5742) * CHOOSE(CONTROL!$C$19, $D$11, 100%, $F$11)</f>
        <v>11.575799999999999</v>
      </c>
      <c r="J418" s="4">
        <f>CHOOSE( CONTROL!$C$36, 11.4389, 11.4373) * CHOOSE(CONTROL!$C$19, $D$11, 100%, $F$11)</f>
        <v>11.4389</v>
      </c>
      <c r="K418" s="4"/>
      <c r="L418" s="9">
        <v>29.7257</v>
      </c>
      <c r="M418" s="9">
        <v>11.6745</v>
      </c>
      <c r="N418" s="9">
        <v>4.7850000000000001</v>
      </c>
      <c r="O418" s="9">
        <v>0.36199999999999999</v>
      </c>
      <c r="P418" s="9">
        <v>1.2509999999999999</v>
      </c>
      <c r="Q418" s="9">
        <v>19.6128</v>
      </c>
      <c r="R418" s="9"/>
      <c r="S418" s="11"/>
    </row>
    <row r="419" spans="1:19" ht="15.75">
      <c r="A419" s="13">
        <v>53904</v>
      </c>
      <c r="B419" s="8">
        <f>CHOOSE( CONTROL!$C$36, 12.3065, 12.3049) * CHOOSE(CONTROL!$C$19, $D$11, 100%, $F$11)</f>
        <v>12.3065</v>
      </c>
      <c r="C419" s="8">
        <f>CHOOSE( CONTROL!$C$36, 12.3145, 12.3129) * CHOOSE(CONTROL!$C$19, $D$11, 100%, $F$11)</f>
        <v>12.314500000000001</v>
      </c>
      <c r="D419" s="8">
        <f>CHOOSE( CONTROL!$C$36, 12.3292, 12.3275) * CHOOSE( CONTROL!$C$19, $D$11, 100%, $F$11)</f>
        <v>12.3292</v>
      </c>
      <c r="E419" s="12">
        <f>CHOOSE( CONTROL!$C$36, 12.3227, 12.321) * CHOOSE( CONTROL!$C$19, $D$11, 100%, $F$11)</f>
        <v>12.322699999999999</v>
      </c>
      <c r="F419" s="4">
        <f>CHOOSE( CONTROL!$C$36, 13.0396, 13.0379) * CHOOSE(CONTROL!$C$19, $D$11, 100%, $F$11)</f>
        <v>13.0396</v>
      </c>
      <c r="G419" s="8">
        <f>CHOOSE( CONTROL!$C$36, 12.1874, 12.1857) * CHOOSE( CONTROL!$C$19, $D$11, 100%, $F$11)</f>
        <v>12.1874</v>
      </c>
      <c r="H419" s="4">
        <f>CHOOSE( CONTROL!$C$36, 13.1315, 13.1299) * CHOOSE(CONTROL!$C$19, $D$11, 100%, $F$11)</f>
        <v>13.131500000000001</v>
      </c>
      <c r="I419" s="8">
        <f>CHOOSE( CONTROL!$C$36, 12.069, 12.0674) * CHOOSE(CONTROL!$C$19, $D$11, 100%, $F$11)</f>
        <v>12.069000000000001</v>
      </c>
      <c r="J419" s="4">
        <f>CHOOSE( CONTROL!$C$36, 11.931, 11.9294) * CHOOSE(CONTROL!$C$19, $D$11, 100%, $F$11)</f>
        <v>11.930999999999999</v>
      </c>
      <c r="K419" s="4"/>
      <c r="L419" s="9">
        <v>30.7165</v>
      </c>
      <c r="M419" s="9">
        <v>12.063700000000001</v>
      </c>
      <c r="N419" s="9">
        <v>4.9444999999999997</v>
      </c>
      <c r="O419" s="9">
        <v>0.37409999999999999</v>
      </c>
      <c r="P419" s="9">
        <v>1.2927</v>
      </c>
      <c r="Q419" s="9">
        <v>20.2666</v>
      </c>
      <c r="R419" s="9"/>
      <c r="S419" s="11"/>
    </row>
    <row r="420" spans="1:19" ht="15.75">
      <c r="A420" s="13">
        <v>53935</v>
      </c>
      <c r="B420" s="8">
        <f>CHOOSE( CONTROL!$C$36, 11.3555, 11.3539) * CHOOSE(CONTROL!$C$19, $D$11, 100%, $F$11)</f>
        <v>11.355499999999999</v>
      </c>
      <c r="C420" s="8">
        <f>CHOOSE( CONTROL!$C$36, 11.3635, 11.3619) * CHOOSE(CONTROL!$C$19, $D$11, 100%, $F$11)</f>
        <v>11.3635</v>
      </c>
      <c r="D420" s="8">
        <f>CHOOSE( CONTROL!$C$36, 11.3782, 11.3766) * CHOOSE( CONTROL!$C$19, $D$11, 100%, $F$11)</f>
        <v>11.3782</v>
      </c>
      <c r="E420" s="12">
        <f>CHOOSE( CONTROL!$C$36, 11.3717, 11.3701) * CHOOSE( CONTROL!$C$19, $D$11, 100%, $F$11)</f>
        <v>11.371700000000001</v>
      </c>
      <c r="F420" s="4">
        <f>CHOOSE( CONTROL!$C$36, 12.0886, 12.0869) * CHOOSE(CONTROL!$C$19, $D$11, 100%, $F$11)</f>
        <v>12.0886</v>
      </c>
      <c r="G420" s="8">
        <f>CHOOSE( CONTROL!$C$36, 11.2497, 11.248) * CHOOSE( CONTROL!$C$19, $D$11, 100%, $F$11)</f>
        <v>11.249700000000001</v>
      </c>
      <c r="H420" s="4">
        <f>CHOOSE( CONTROL!$C$36, 12.1938, 12.1921) * CHOOSE(CONTROL!$C$19, $D$11, 100%, $F$11)</f>
        <v>12.1938</v>
      </c>
      <c r="I420" s="8">
        <f>CHOOSE( CONTROL!$C$36, 11.1479, 11.1463) * CHOOSE(CONTROL!$C$19, $D$11, 100%, $F$11)</f>
        <v>11.1479</v>
      </c>
      <c r="J420" s="4">
        <f>CHOOSE( CONTROL!$C$36, 11.0102, 11.0085) * CHOOSE(CONTROL!$C$19, $D$11, 100%, $F$11)</f>
        <v>11.010199999999999</v>
      </c>
      <c r="K420" s="4"/>
      <c r="L420" s="9">
        <v>30.7165</v>
      </c>
      <c r="M420" s="9">
        <v>12.063700000000001</v>
      </c>
      <c r="N420" s="9">
        <v>4.9444999999999997</v>
      </c>
      <c r="O420" s="9">
        <v>0.37409999999999999</v>
      </c>
      <c r="P420" s="9">
        <v>1.2927</v>
      </c>
      <c r="Q420" s="9">
        <v>20.2666</v>
      </c>
      <c r="R420" s="9"/>
      <c r="S420" s="11"/>
    </row>
    <row r="421" spans="1:19" ht="15.75">
      <c r="A421" s="13">
        <v>53965</v>
      </c>
      <c r="B421" s="8">
        <f>CHOOSE( CONTROL!$C$36, 11.1174, 11.1157) * CHOOSE(CONTROL!$C$19, $D$11, 100%, $F$11)</f>
        <v>11.1174</v>
      </c>
      <c r="C421" s="8">
        <f>CHOOSE( CONTROL!$C$36, 11.1254, 11.1237) * CHOOSE(CONTROL!$C$19, $D$11, 100%, $F$11)</f>
        <v>11.125400000000001</v>
      </c>
      <c r="D421" s="8">
        <f>CHOOSE( CONTROL!$C$36, 11.14, 11.1383) * CHOOSE( CONTROL!$C$19, $D$11, 100%, $F$11)</f>
        <v>11.14</v>
      </c>
      <c r="E421" s="12">
        <f>CHOOSE( CONTROL!$C$36, 11.1335, 11.1318) * CHOOSE( CONTROL!$C$19, $D$11, 100%, $F$11)</f>
        <v>11.1335</v>
      </c>
      <c r="F421" s="4">
        <f>CHOOSE( CONTROL!$C$36, 11.8504, 11.8488) * CHOOSE(CONTROL!$C$19, $D$11, 100%, $F$11)</f>
        <v>11.8504</v>
      </c>
      <c r="G421" s="8">
        <f>CHOOSE( CONTROL!$C$36, 11.0148, 11.0131) * CHOOSE( CONTROL!$C$19, $D$11, 100%, $F$11)</f>
        <v>11.014799999999999</v>
      </c>
      <c r="H421" s="4">
        <f>CHOOSE( CONTROL!$C$36, 11.9589, 11.9573) * CHOOSE(CONTROL!$C$19, $D$11, 100%, $F$11)</f>
        <v>11.9589</v>
      </c>
      <c r="I421" s="8">
        <f>CHOOSE( CONTROL!$C$36, 10.9168, 10.9152) * CHOOSE(CONTROL!$C$19, $D$11, 100%, $F$11)</f>
        <v>10.9168</v>
      </c>
      <c r="J421" s="4">
        <f>CHOOSE( CONTROL!$C$36, 10.7796, 10.7779) * CHOOSE(CONTROL!$C$19, $D$11, 100%, $F$11)</f>
        <v>10.7796</v>
      </c>
      <c r="K421" s="4"/>
      <c r="L421" s="9">
        <v>29.7257</v>
      </c>
      <c r="M421" s="9">
        <v>11.6745</v>
      </c>
      <c r="N421" s="9">
        <v>4.7850000000000001</v>
      </c>
      <c r="O421" s="9">
        <v>0.36199999999999999</v>
      </c>
      <c r="P421" s="9">
        <v>1.2509999999999999</v>
      </c>
      <c r="Q421" s="9">
        <v>19.6128</v>
      </c>
      <c r="R421" s="9"/>
      <c r="S421" s="11"/>
    </row>
    <row r="422" spans="1:19" ht="15.75">
      <c r="A422" s="13">
        <v>53996</v>
      </c>
      <c r="B422" s="8">
        <f>CHOOSE( CONTROL!$C$36, 11.6096, 11.6085) * CHOOSE(CONTROL!$C$19, $D$11, 100%, $F$11)</f>
        <v>11.6096</v>
      </c>
      <c r="C422" s="8">
        <f>CHOOSE( CONTROL!$C$36, 11.6149, 11.6138) * CHOOSE(CONTROL!$C$19, $D$11, 100%, $F$11)</f>
        <v>11.6149</v>
      </c>
      <c r="D422" s="8">
        <f>CHOOSE( CONTROL!$C$36, 11.6354, 11.6343) * CHOOSE( CONTROL!$C$19, $D$11, 100%, $F$11)</f>
        <v>11.635400000000001</v>
      </c>
      <c r="E422" s="12">
        <f>CHOOSE( CONTROL!$C$36, 11.6281, 11.627) * CHOOSE( CONTROL!$C$19, $D$11, 100%, $F$11)</f>
        <v>11.6281</v>
      </c>
      <c r="F422" s="4">
        <f>CHOOSE( CONTROL!$C$36, 12.3443, 12.3432) * CHOOSE(CONTROL!$C$19, $D$11, 100%, $F$11)</f>
        <v>12.3443</v>
      </c>
      <c r="G422" s="8">
        <f>CHOOSE( CONTROL!$C$36, 11.502, 11.5009) * CHOOSE( CONTROL!$C$19, $D$11, 100%, $F$11)</f>
        <v>11.502000000000001</v>
      </c>
      <c r="H422" s="4">
        <f>CHOOSE( CONTROL!$C$36, 12.4459, 12.4449) * CHOOSE(CONTROL!$C$19, $D$11, 100%, $F$11)</f>
        <v>12.4459</v>
      </c>
      <c r="I422" s="8">
        <f>CHOOSE( CONTROL!$C$36, 11.3963, 11.3953) * CHOOSE(CONTROL!$C$19, $D$11, 100%, $F$11)</f>
        <v>11.3963</v>
      </c>
      <c r="J422" s="4">
        <f>CHOOSE( CONTROL!$C$36, 11.2578, 11.2567) * CHOOSE(CONTROL!$C$19, $D$11, 100%, $F$11)</f>
        <v>11.2578</v>
      </c>
      <c r="K422" s="4"/>
      <c r="L422" s="9">
        <v>31.095300000000002</v>
      </c>
      <c r="M422" s="9">
        <v>12.063700000000001</v>
      </c>
      <c r="N422" s="9">
        <v>4.9444999999999997</v>
      </c>
      <c r="O422" s="9">
        <v>0.37409999999999999</v>
      </c>
      <c r="P422" s="9">
        <v>1.2927</v>
      </c>
      <c r="Q422" s="9">
        <v>20.2666</v>
      </c>
      <c r="R422" s="9"/>
      <c r="S422" s="11"/>
    </row>
    <row r="423" spans="1:19" ht="15.75">
      <c r="A423" s="13">
        <v>54026</v>
      </c>
      <c r="B423" s="8">
        <f>CHOOSE( CONTROL!$C$36, 12.5218, 12.5208) * CHOOSE(CONTROL!$C$19, $D$11, 100%, $F$11)</f>
        <v>12.521800000000001</v>
      </c>
      <c r="C423" s="8">
        <f>CHOOSE( CONTROL!$C$36, 12.5269, 12.5258) * CHOOSE(CONTROL!$C$19, $D$11, 100%, $F$11)</f>
        <v>12.526899999999999</v>
      </c>
      <c r="D423" s="8">
        <f>CHOOSE( CONTROL!$C$36, 12.5062, 12.5051) * CHOOSE( CONTROL!$C$19, $D$11, 100%, $F$11)</f>
        <v>12.5062</v>
      </c>
      <c r="E423" s="12">
        <f>CHOOSE( CONTROL!$C$36, 12.5132, 12.5121) * CHOOSE( CONTROL!$C$19, $D$11, 100%, $F$11)</f>
        <v>12.513199999999999</v>
      </c>
      <c r="F423" s="4">
        <f>CHOOSE( CONTROL!$C$36, 13.1811, 13.18) * CHOOSE(CONTROL!$C$19, $D$11, 100%, $F$11)</f>
        <v>13.181100000000001</v>
      </c>
      <c r="G423" s="8">
        <f>CHOOSE( CONTROL!$C$36, 12.3819, 12.3808) * CHOOSE( CONTROL!$C$19, $D$11, 100%, $F$11)</f>
        <v>12.3819</v>
      </c>
      <c r="H423" s="4">
        <f>CHOOSE( CONTROL!$C$36, 13.271, 13.27) * CHOOSE(CONTROL!$C$19, $D$11, 100%, $F$11)</f>
        <v>13.271000000000001</v>
      </c>
      <c r="I423" s="8">
        <f>CHOOSE( CONTROL!$C$36, 12.3297, 12.3286) * CHOOSE(CONTROL!$C$19, $D$11, 100%, $F$11)</f>
        <v>12.329700000000001</v>
      </c>
      <c r="J423" s="4">
        <f>CHOOSE( CONTROL!$C$36, 12.1416, 12.1405) * CHOOSE(CONTROL!$C$19, $D$11, 100%, $F$11)</f>
        <v>12.1416</v>
      </c>
      <c r="K423" s="4"/>
      <c r="L423" s="9">
        <v>28.360600000000002</v>
      </c>
      <c r="M423" s="9">
        <v>11.6745</v>
      </c>
      <c r="N423" s="9">
        <v>4.7850000000000001</v>
      </c>
      <c r="O423" s="9">
        <v>0.36199999999999999</v>
      </c>
      <c r="P423" s="9">
        <v>1.2509999999999999</v>
      </c>
      <c r="Q423" s="9">
        <v>19.6128</v>
      </c>
      <c r="R423" s="9"/>
      <c r="S423" s="11"/>
    </row>
    <row r="424" spans="1:19" ht="15.75">
      <c r="A424" s="13">
        <v>54057</v>
      </c>
      <c r="B424" s="8">
        <f>CHOOSE( CONTROL!$C$36, 12.499, 12.4979) * CHOOSE(CONTROL!$C$19, $D$11, 100%, $F$11)</f>
        <v>12.499000000000001</v>
      </c>
      <c r="C424" s="8">
        <f>CHOOSE( CONTROL!$C$36, 12.5041, 12.503) * CHOOSE(CONTROL!$C$19, $D$11, 100%, $F$11)</f>
        <v>12.504099999999999</v>
      </c>
      <c r="D424" s="8">
        <f>CHOOSE( CONTROL!$C$36, 12.4847, 12.4837) * CHOOSE( CONTROL!$C$19, $D$11, 100%, $F$11)</f>
        <v>12.4847</v>
      </c>
      <c r="E424" s="12">
        <f>CHOOSE( CONTROL!$C$36, 12.4913, 12.4902) * CHOOSE( CONTROL!$C$19, $D$11, 100%, $F$11)</f>
        <v>12.491300000000001</v>
      </c>
      <c r="F424" s="4">
        <f>CHOOSE( CONTROL!$C$36, 13.1583, 13.1572) * CHOOSE(CONTROL!$C$19, $D$11, 100%, $F$11)</f>
        <v>13.158300000000001</v>
      </c>
      <c r="G424" s="8">
        <f>CHOOSE( CONTROL!$C$36, 12.3604, 12.3593) * CHOOSE( CONTROL!$C$19, $D$11, 100%, $F$11)</f>
        <v>12.3604</v>
      </c>
      <c r="H424" s="4">
        <f>CHOOSE( CONTROL!$C$36, 13.2486, 13.2475) * CHOOSE(CONTROL!$C$19, $D$11, 100%, $F$11)</f>
        <v>13.2486</v>
      </c>
      <c r="I424" s="8">
        <f>CHOOSE( CONTROL!$C$36, 12.3119, 12.3108) * CHOOSE(CONTROL!$C$19, $D$11, 100%, $F$11)</f>
        <v>12.3119</v>
      </c>
      <c r="J424" s="4">
        <f>CHOOSE( CONTROL!$C$36, 12.1195, 12.1184) * CHOOSE(CONTROL!$C$19, $D$11, 100%, $F$11)</f>
        <v>12.1195</v>
      </c>
      <c r="K424" s="4"/>
      <c r="L424" s="9">
        <v>29.306000000000001</v>
      </c>
      <c r="M424" s="9">
        <v>12.063700000000001</v>
      </c>
      <c r="N424" s="9">
        <v>4.9444999999999997</v>
      </c>
      <c r="O424" s="9">
        <v>0.37409999999999999</v>
      </c>
      <c r="P424" s="9">
        <v>1.2927</v>
      </c>
      <c r="Q424" s="9">
        <v>20.2666</v>
      </c>
      <c r="R424" s="9"/>
      <c r="S424" s="11"/>
    </row>
    <row r="425" spans="1:19" ht="15.75">
      <c r="A425" s="13">
        <v>54088</v>
      </c>
      <c r="B425" s="8">
        <f>CHOOSE( CONTROL!$C$36, 12.8682, 12.8671) * CHOOSE(CONTROL!$C$19, $D$11, 100%, $F$11)</f>
        <v>12.8682</v>
      </c>
      <c r="C425" s="8">
        <f>CHOOSE( CONTROL!$C$36, 12.8733, 12.8722) * CHOOSE(CONTROL!$C$19, $D$11, 100%, $F$11)</f>
        <v>12.8733</v>
      </c>
      <c r="D425" s="8">
        <f>CHOOSE( CONTROL!$C$36, 12.8746, 12.8735) * CHOOSE( CONTROL!$C$19, $D$11, 100%, $F$11)</f>
        <v>12.874599999999999</v>
      </c>
      <c r="E425" s="12">
        <f>CHOOSE( CONTROL!$C$36, 12.8736, 12.8725) * CHOOSE( CONTROL!$C$19, $D$11, 100%, $F$11)</f>
        <v>12.8736</v>
      </c>
      <c r="F425" s="4">
        <f>CHOOSE( CONTROL!$C$36, 13.5274, 13.5264) * CHOOSE(CONTROL!$C$19, $D$11, 100%, $F$11)</f>
        <v>13.5274</v>
      </c>
      <c r="G425" s="8">
        <f>CHOOSE( CONTROL!$C$36, 12.7355, 12.7344) * CHOOSE( CONTROL!$C$19, $D$11, 100%, $F$11)</f>
        <v>12.7355</v>
      </c>
      <c r="H425" s="4">
        <f>CHOOSE( CONTROL!$C$36, 13.6126, 13.6115) * CHOOSE(CONTROL!$C$19, $D$11, 100%, $F$11)</f>
        <v>13.6126</v>
      </c>
      <c r="I425" s="8">
        <f>CHOOSE( CONTROL!$C$36, 12.647, 12.6459) * CHOOSE(CONTROL!$C$19, $D$11, 100%, $F$11)</f>
        <v>12.647</v>
      </c>
      <c r="J425" s="4">
        <f>CHOOSE( CONTROL!$C$36, 12.4769, 12.4759) * CHOOSE(CONTROL!$C$19, $D$11, 100%, $F$11)</f>
        <v>12.476900000000001</v>
      </c>
      <c r="K425" s="4"/>
      <c r="L425" s="9">
        <v>29.306000000000001</v>
      </c>
      <c r="M425" s="9">
        <v>12.063700000000001</v>
      </c>
      <c r="N425" s="9">
        <v>4.9444999999999997</v>
      </c>
      <c r="O425" s="9">
        <v>0.37409999999999999</v>
      </c>
      <c r="P425" s="9">
        <v>1.2927</v>
      </c>
      <c r="Q425" s="9">
        <v>20.201499999999999</v>
      </c>
      <c r="R425" s="9"/>
      <c r="S425" s="11"/>
    </row>
    <row r="426" spans="1:19" ht="15.75">
      <c r="A426" s="13">
        <v>54116</v>
      </c>
      <c r="B426" s="8">
        <f>CHOOSE( CONTROL!$C$36, 12.0352, 12.0342) * CHOOSE(CONTROL!$C$19, $D$11, 100%, $F$11)</f>
        <v>12.0352</v>
      </c>
      <c r="C426" s="8">
        <f>CHOOSE( CONTROL!$C$36, 12.0403, 12.0393) * CHOOSE(CONTROL!$C$19, $D$11, 100%, $F$11)</f>
        <v>12.0403</v>
      </c>
      <c r="D426" s="8">
        <f>CHOOSE( CONTROL!$C$36, 12.0415, 12.0404) * CHOOSE( CONTROL!$C$19, $D$11, 100%, $F$11)</f>
        <v>12.041499999999999</v>
      </c>
      <c r="E426" s="12">
        <f>CHOOSE( CONTROL!$C$36, 12.0405, 12.0395) * CHOOSE( CONTROL!$C$19, $D$11, 100%, $F$11)</f>
        <v>12.0405</v>
      </c>
      <c r="F426" s="4">
        <f>CHOOSE( CONTROL!$C$36, 12.6945, 12.6934) * CHOOSE(CONTROL!$C$19, $D$11, 100%, $F$11)</f>
        <v>12.6945</v>
      </c>
      <c r="G426" s="8">
        <f>CHOOSE( CONTROL!$C$36, 11.914, 11.913) * CHOOSE( CONTROL!$C$19, $D$11, 100%, $F$11)</f>
        <v>11.914</v>
      </c>
      <c r="H426" s="4">
        <f>CHOOSE( CONTROL!$C$36, 12.7912, 12.7902) * CHOOSE(CONTROL!$C$19, $D$11, 100%, $F$11)</f>
        <v>12.7912</v>
      </c>
      <c r="I426" s="8">
        <f>CHOOSE( CONTROL!$C$36, 11.8396, 11.8386) * CHOOSE(CONTROL!$C$19, $D$11, 100%, $F$11)</f>
        <v>11.839600000000001</v>
      </c>
      <c r="J426" s="4">
        <f>CHOOSE( CONTROL!$C$36, 11.6704, 11.6693) * CHOOSE(CONTROL!$C$19, $D$11, 100%, $F$11)</f>
        <v>11.670400000000001</v>
      </c>
      <c r="K426" s="4"/>
      <c r="L426" s="9">
        <v>27.415299999999998</v>
      </c>
      <c r="M426" s="9">
        <v>11.285299999999999</v>
      </c>
      <c r="N426" s="9">
        <v>4.6254999999999997</v>
      </c>
      <c r="O426" s="9">
        <v>0.34989999999999999</v>
      </c>
      <c r="P426" s="9">
        <v>1.2093</v>
      </c>
      <c r="Q426" s="9">
        <v>18.898099999999999</v>
      </c>
      <c r="R426" s="9"/>
      <c r="S426" s="11"/>
    </row>
    <row r="427" spans="1:19" ht="15.75">
      <c r="A427" s="13">
        <v>54148</v>
      </c>
      <c r="B427" s="8">
        <f>CHOOSE( CONTROL!$C$36, 11.7787, 11.7776) * CHOOSE(CONTROL!$C$19, $D$11, 100%, $F$11)</f>
        <v>11.778700000000001</v>
      </c>
      <c r="C427" s="8">
        <f>CHOOSE( CONTROL!$C$36, 11.7838, 11.7827) * CHOOSE(CONTROL!$C$19, $D$11, 100%, $F$11)</f>
        <v>11.783799999999999</v>
      </c>
      <c r="D427" s="8">
        <f>CHOOSE( CONTROL!$C$36, 11.7843, 11.7832) * CHOOSE( CONTROL!$C$19, $D$11, 100%, $F$11)</f>
        <v>11.7843</v>
      </c>
      <c r="E427" s="12">
        <f>CHOOSE( CONTROL!$C$36, 11.7836, 11.7825) * CHOOSE( CONTROL!$C$19, $D$11, 100%, $F$11)</f>
        <v>11.7836</v>
      </c>
      <c r="F427" s="4">
        <f>CHOOSE( CONTROL!$C$36, 12.438, 12.4369) * CHOOSE(CONTROL!$C$19, $D$11, 100%, $F$11)</f>
        <v>12.438000000000001</v>
      </c>
      <c r="G427" s="8">
        <f>CHOOSE( CONTROL!$C$36, 11.6606, 11.6595) * CHOOSE( CONTROL!$C$19, $D$11, 100%, $F$11)</f>
        <v>11.660600000000001</v>
      </c>
      <c r="H427" s="4">
        <f>CHOOSE( CONTROL!$C$36, 12.5383, 12.5372) * CHOOSE(CONTROL!$C$19, $D$11, 100%, $F$11)</f>
        <v>12.5383</v>
      </c>
      <c r="I427" s="8">
        <f>CHOOSE( CONTROL!$C$36, 11.5891, 11.5881) * CHOOSE(CONTROL!$C$19, $D$11, 100%, $F$11)</f>
        <v>11.5891</v>
      </c>
      <c r="J427" s="4">
        <f>CHOOSE( CONTROL!$C$36, 11.422, 11.4209) * CHOOSE(CONTROL!$C$19, $D$11, 100%, $F$11)</f>
        <v>11.422000000000001</v>
      </c>
      <c r="K427" s="4"/>
      <c r="L427" s="9">
        <v>29.306000000000001</v>
      </c>
      <c r="M427" s="9">
        <v>12.063700000000001</v>
      </c>
      <c r="N427" s="9">
        <v>4.9444999999999997</v>
      </c>
      <c r="O427" s="9">
        <v>0.37409999999999999</v>
      </c>
      <c r="P427" s="9">
        <v>1.2927</v>
      </c>
      <c r="Q427" s="9">
        <v>20.201499999999999</v>
      </c>
      <c r="R427" s="9"/>
      <c r="S427" s="11"/>
    </row>
    <row r="428" spans="1:19" ht="15.75">
      <c r="A428" s="13">
        <v>54178</v>
      </c>
      <c r="B428" s="8">
        <f>CHOOSE( CONTROL!$C$36, 11.9587, 11.9576) * CHOOSE(CONTROL!$C$19, $D$11, 100%, $F$11)</f>
        <v>11.9587</v>
      </c>
      <c r="C428" s="8">
        <f>CHOOSE( CONTROL!$C$36, 11.9633, 11.9622) * CHOOSE(CONTROL!$C$19, $D$11, 100%, $F$11)</f>
        <v>11.9633</v>
      </c>
      <c r="D428" s="8">
        <f>CHOOSE( CONTROL!$C$36, 11.9837, 11.9826) * CHOOSE( CONTROL!$C$19, $D$11, 100%, $F$11)</f>
        <v>11.983700000000001</v>
      </c>
      <c r="E428" s="12">
        <f>CHOOSE( CONTROL!$C$36, 11.9764, 11.9753) * CHOOSE( CONTROL!$C$19, $D$11, 100%, $F$11)</f>
        <v>11.9764</v>
      </c>
      <c r="F428" s="4">
        <f>CHOOSE( CONTROL!$C$36, 12.6931, 12.692) * CHOOSE(CONTROL!$C$19, $D$11, 100%, $F$11)</f>
        <v>12.693099999999999</v>
      </c>
      <c r="G428" s="8">
        <f>CHOOSE( CONTROL!$C$36, 11.8455, 11.8444) * CHOOSE( CONTROL!$C$19, $D$11, 100%, $F$11)</f>
        <v>11.845499999999999</v>
      </c>
      <c r="H428" s="4">
        <f>CHOOSE( CONTROL!$C$36, 12.7899, 12.7888) * CHOOSE(CONTROL!$C$19, $D$11, 100%, $F$11)</f>
        <v>12.789899999999999</v>
      </c>
      <c r="I428" s="8">
        <f>CHOOSE( CONTROL!$C$36, 11.7323, 11.7312) * CHOOSE(CONTROL!$C$19, $D$11, 100%, $F$11)</f>
        <v>11.7323</v>
      </c>
      <c r="J428" s="4">
        <f>CHOOSE( CONTROL!$C$36, 11.5956, 11.5945) * CHOOSE(CONTROL!$C$19, $D$11, 100%, $F$11)</f>
        <v>11.595599999999999</v>
      </c>
      <c r="K428" s="4"/>
      <c r="L428" s="9">
        <v>30.092199999999998</v>
      </c>
      <c r="M428" s="9">
        <v>11.6745</v>
      </c>
      <c r="N428" s="9">
        <v>4.7850000000000001</v>
      </c>
      <c r="O428" s="9">
        <v>0.36199999999999999</v>
      </c>
      <c r="P428" s="9">
        <v>1.2509999999999999</v>
      </c>
      <c r="Q428" s="9">
        <v>19.549800000000001</v>
      </c>
      <c r="R428" s="9"/>
      <c r="S428" s="11"/>
    </row>
    <row r="429" spans="1:19" ht="15.75">
      <c r="A429" s="13">
        <v>54209</v>
      </c>
      <c r="B429" s="8">
        <f>CHOOSE( CONTROL!$C$36, 12.2797, 12.2781) * CHOOSE(CONTROL!$C$19, $D$11, 100%, $F$11)</f>
        <v>12.2797</v>
      </c>
      <c r="C429" s="8">
        <f>CHOOSE( CONTROL!$C$36, 12.2877, 12.2861) * CHOOSE(CONTROL!$C$19, $D$11, 100%, $F$11)</f>
        <v>12.287699999999999</v>
      </c>
      <c r="D429" s="8">
        <f>CHOOSE( CONTROL!$C$36, 12.3019, 12.3003) * CHOOSE( CONTROL!$C$19, $D$11, 100%, $F$11)</f>
        <v>12.3019</v>
      </c>
      <c r="E429" s="12">
        <f>CHOOSE( CONTROL!$C$36, 12.2955, 12.2939) * CHOOSE( CONTROL!$C$19, $D$11, 100%, $F$11)</f>
        <v>12.295500000000001</v>
      </c>
      <c r="F429" s="4">
        <f>CHOOSE( CONTROL!$C$36, 13.0128, 13.0111) * CHOOSE(CONTROL!$C$19, $D$11, 100%, $F$11)</f>
        <v>13.0128</v>
      </c>
      <c r="G429" s="8">
        <f>CHOOSE( CONTROL!$C$36, 12.1606, 12.159) * CHOOSE( CONTROL!$C$19, $D$11, 100%, $F$11)</f>
        <v>12.160600000000001</v>
      </c>
      <c r="H429" s="4">
        <f>CHOOSE( CONTROL!$C$36, 13.1051, 13.1034) * CHOOSE(CONTROL!$C$19, $D$11, 100%, $F$11)</f>
        <v>13.1051</v>
      </c>
      <c r="I429" s="8">
        <f>CHOOSE( CONTROL!$C$36, 12.0415, 12.0399) * CHOOSE(CONTROL!$C$19, $D$11, 100%, $F$11)</f>
        <v>12.041499999999999</v>
      </c>
      <c r="J429" s="4">
        <f>CHOOSE( CONTROL!$C$36, 11.9051, 11.9034) * CHOOSE(CONTROL!$C$19, $D$11, 100%, $F$11)</f>
        <v>11.905099999999999</v>
      </c>
      <c r="K429" s="4"/>
      <c r="L429" s="9">
        <v>30.7165</v>
      </c>
      <c r="M429" s="9">
        <v>12.063700000000001</v>
      </c>
      <c r="N429" s="9">
        <v>4.9444999999999997</v>
      </c>
      <c r="O429" s="9">
        <v>0.37409999999999999</v>
      </c>
      <c r="P429" s="9">
        <v>1.2927</v>
      </c>
      <c r="Q429" s="9">
        <v>20.201499999999999</v>
      </c>
      <c r="R429" s="9"/>
      <c r="S429" s="11"/>
    </row>
    <row r="430" spans="1:19" ht="15.75">
      <c r="A430" s="13">
        <v>54239</v>
      </c>
      <c r="B430" s="8">
        <f>CHOOSE( CONTROL!$C$36, 12.0821, 12.0804) * CHOOSE(CONTROL!$C$19, $D$11, 100%, $F$11)</f>
        <v>12.082100000000001</v>
      </c>
      <c r="C430" s="8">
        <f>CHOOSE( CONTROL!$C$36, 12.0901, 12.0884) * CHOOSE(CONTROL!$C$19, $D$11, 100%, $F$11)</f>
        <v>12.0901</v>
      </c>
      <c r="D430" s="8">
        <f>CHOOSE( CONTROL!$C$36, 12.1045, 12.1028) * CHOOSE( CONTROL!$C$19, $D$11, 100%, $F$11)</f>
        <v>12.1045</v>
      </c>
      <c r="E430" s="12">
        <f>CHOOSE( CONTROL!$C$36, 12.0981, 12.0964) * CHOOSE( CONTROL!$C$19, $D$11, 100%, $F$11)</f>
        <v>12.098100000000001</v>
      </c>
      <c r="F430" s="4">
        <f>CHOOSE( CONTROL!$C$36, 12.8151, 12.8135) * CHOOSE(CONTROL!$C$19, $D$11, 100%, $F$11)</f>
        <v>12.815099999999999</v>
      </c>
      <c r="G430" s="8">
        <f>CHOOSE( CONTROL!$C$36, 11.9659, 11.9642) * CHOOSE( CONTROL!$C$19, $D$11, 100%, $F$11)</f>
        <v>11.9659</v>
      </c>
      <c r="H430" s="4">
        <f>CHOOSE( CONTROL!$C$36, 12.9102, 12.9085) * CHOOSE(CONTROL!$C$19, $D$11, 100%, $F$11)</f>
        <v>12.9102</v>
      </c>
      <c r="I430" s="8">
        <f>CHOOSE( CONTROL!$C$36, 11.8507, 11.8491) * CHOOSE(CONTROL!$C$19, $D$11, 100%, $F$11)</f>
        <v>11.8507</v>
      </c>
      <c r="J430" s="4">
        <f>CHOOSE( CONTROL!$C$36, 11.7137, 11.7121) * CHOOSE(CONTROL!$C$19, $D$11, 100%, $F$11)</f>
        <v>11.713699999999999</v>
      </c>
      <c r="K430" s="4"/>
      <c r="L430" s="9">
        <v>29.7257</v>
      </c>
      <c r="M430" s="9">
        <v>11.6745</v>
      </c>
      <c r="N430" s="9">
        <v>4.7850000000000001</v>
      </c>
      <c r="O430" s="9">
        <v>0.36199999999999999</v>
      </c>
      <c r="P430" s="9">
        <v>1.2509999999999999</v>
      </c>
      <c r="Q430" s="9">
        <v>19.549800000000001</v>
      </c>
      <c r="R430" s="9"/>
      <c r="S430" s="11"/>
    </row>
    <row r="431" spans="1:19" ht="15.75">
      <c r="A431" s="13">
        <v>54270</v>
      </c>
      <c r="B431" s="8">
        <f>CHOOSE( CONTROL!$C$36, 12.6026, 12.6009) * CHOOSE(CONTROL!$C$19, $D$11, 100%, $F$11)</f>
        <v>12.602600000000001</v>
      </c>
      <c r="C431" s="8">
        <f>CHOOSE( CONTROL!$C$36, 12.6106, 12.6089) * CHOOSE(CONTROL!$C$19, $D$11, 100%, $F$11)</f>
        <v>12.6106</v>
      </c>
      <c r="D431" s="8">
        <f>CHOOSE( CONTROL!$C$36, 12.6252, 12.6235) * CHOOSE( CONTROL!$C$19, $D$11, 100%, $F$11)</f>
        <v>12.6252</v>
      </c>
      <c r="E431" s="12">
        <f>CHOOSE( CONTROL!$C$36, 12.6187, 12.617) * CHOOSE( CONTROL!$C$19, $D$11, 100%, $F$11)</f>
        <v>12.6187</v>
      </c>
      <c r="F431" s="4">
        <f>CHOOSE( CONTROL!$C$36, 13.3356, 13.3339) * CHOOSE(CONTROL!$C$19, $D$11, 100%, $F$11)</f>
        <v>13.335599999999999</v>
      </c>
      <c r="G431" s="8">
        <f>CHOOSE( CONTROL!$C$36, 12.4793, 12.4776) * CHOOSE( CONTROL!$C$19, $D$11, 100%, $F$11)</f>
        <v>12.4793</v>
      </c>
      <c r="H431" s="4">
        <f>CHOOSE( CONTROL!$C$36, 13.4234, 13.4217) * CHOOSE(CONTROL!$C$19, $D$11, 100%, $F$11)</f>
        <v>13.423400000000001</v>
      </c>
      <c r="I431" s="8">
        <f>CHOOSE( CONTROL!$C$36, 12.3558, 12.3542) * CHOOSE(CONTROL!$C$19, $D$11, 100%, $F$11)</f>
        <v>12.3558</v>
      </c>
      <c r="J431" s="4">
        <f>CHOOSE( CONTROL!$C$36, 12.2176, 12.216) * CHOOSE(CONTROL!$C$19, $D$11, 100%, $F$11)</f>
        <v>12.217599999999999</v>
      </c>
      <c r="K431" s="4"/>
      <c r="L431" s="9">
        <v>30.7165</v>
      </c>
      <c r="M431" s="9">
        <v>12.063700000000001</v>
      </c>
      <c r="N431" s="9">
        <v>4.9444999999999997</v>
      </c>
      <c r="O431" s="9">
        <v>0.37409999999999999</v>
      </c>
      <c r="P431" s="9">
        <v>1.2927</v>
      </c>
      <c r="Q431" s="9">
        <v>20.201499999999999</v>
      </c>
      <c r="R431" s="9"/>
      <c r="S431" s="11"/>
    </row>
    <row r="432" spans="1:19" ht="15.75">
      <c r="A432" s="13">
        <v>54301</v>
      </c>
      <c r="B432" s="8">
        <f>CHOOSE( CONTROL!$C$36, 11.6287, 11.627) * CHOOSE(CONTROL!$C$19, $D$11, 100%, $F$11)</f>
        <v>11.6287</v>
      </c>
      <c r="C432" s="8">
        <f>CHOOSE( CONTROL!$C$36, 11.6367, 11.635) * CHOOSE(CONTROL!$C$19, $D$11, 100%, $F$11)</f>
        <v>11.636699999999999</v>
      </c>
      <c r="D432" s="8">
        <f>CHOOSE( CONTROL!$C$36, 11.6514, 11.6497) * CHOOSE( CONTROL!$C$19, $D$11, 100%, $F$11)</f>
        <v>11.651400000000001</v>
      </c>
      <c r="E432" s="12">
        <f>CHOOSE( CONTROL!$C$36, 11.6449, 11.6432) * CHOOSE( CONTROL!$C$19, $D$11, 100%, $F$11)</f>
        <v>11.6449</v>
      </c>
      <c r="F432" s="4">
        <f>CHOOSE( CONTROL!$C$36, 12.3617, 12.3601) * CHOOSE(CONTROL!$C$19, $D$11, 100%, $F$11)</f>
        <v>12.361700000000001</v>
      </c>
      <c r="G432" s="8">
        <f>CHOOSE( CONTROL!$C$36, 11.519, 11.5174) * CHOOSE( CONTROL!$C$19, $D$11, 100%, $F$11)</f>
        <v>11.519</v>
      </c>
      <c r="H432" s="4">
        <f>CHOOSE( CONTROL!$C$36, 12.4631, 12.4615) * CHOOSE(CONTROL!$C$19, $D$11, 100%, $F$11)</f>
        <v>12.463100000000001</v>
      </c>
      <c r="I432" s="8">
        <f>CHOOSE( CONTROL!$C$36, 11.4125, 11.4109) * CHOOSE(CONTROL!$C$19, $D$11, 100%, $F$11)</f>
        <v>11.4125</v>
      </c>
      <c r="J432" s="4">
        <f>CHOOSE( CONTROL!$C$36, 11.2747, 11.2731) * CHOOSE(CONTROL!$C$19, $D$11, 100%, $F$11)</f>
        <v>11.274699999999999</v>
      </c>
      <c r="K432" s="4"/>
      <c r="L432" s="9">
        <v>30.7165</v>
      </c>
      <c r="M432" s="9">
        <v>12.063700000000001</v>
      </c>
      <c r="N432" s="9">
        <v>4.9444999999999997</v>
      </c>
      <c r="O432" s="9">
        <v>0.37409999999999999</v>
      </c>
      <c r="P432" s="9">
        <v>1.2927</v>
      </c>
      <c r="Q432" s="9">
        <v>20.201499999999999</v>
      </c>
      <c r="R432" s="9"/>
      <c r="S432" s="11"/>
    </row>
    <row r="433" spans="1:19" ht="15.75">
      <c r="A433" s="13">
        <v>54331</v>
      </c>
      <c r="B433" s="8">
        <f>CHOOSE( CONTROL!$C$36, 11.3848, 11.3832) * CHOOSE(CONTROL!$C$19, $D$11, 100%, $F$11)</f>
        <v>11.3848</v>
      </c>
      <c r="C433" s="8">
        <f>CHOOSE( CONTROL!$C$36, 11.3928, 11.3912) * CHOOSE(CONTROL!$C$19, $D$11, 100%, $F$11)</f>
        <v>11.392799999999999</v>
      </c>
      <c r="D433" s="8">
        <f>CHOOSE( CONTROL!$C$36, 11.4074, 11.4058) * CHOOSE( CONTROL!$C$19, $D$11, 100%, $F$11)</f>
        <v>11.407400000000001</v>
      </c>
      <c r="E433" s="12">
        <f>CHOOSE( CONTROL!$C$36, 11.4009, 11.3993) * CHOOSE( CONTROL!$C$19, $D$11, 100%, $F$11)</f>
        <v>11.4009</v>
      </c>
      <c r="F433" s="4">
        <f>CHOOSE( CONTROL!$C$36, 12.1179, 12.1162) * CHOOSE(CONTROL!$C$19, $D$11, 100%, $F$11)</f>
        <v>12.117900000000001</v>
      </c>
      <c r="G433" s="8">
        <f>CHOOSE( CONTROL!$C$36, 11.2785, 11.2769) * CHOOSE( CONTROL!$C$19, $D$11, 100%, $F$11)</f>
        <v>11.278499999999999</v>
      </c>
      <c r="H433" s="4">
        <f>CHOOSE( CONTROL!$C$36, 12.2226, 12.221) * CHOOSE(CONTROL!$C$19, $D$11, 100%, $F$11)</f>
        <v>12.2226</v>
      </c>
      <c r="I433" s="8">
        <f>CHOOSE( CONTROL!$C$36, 11.1759, 11.1743) * CHOOSE(CONTROL!$C$19, $D$11, 100%, $F$11)</f>
        <v>11.1759</v>
      </c>
      <c r="J433" s="4">
        <f>CHOOSE( CONTROL!$C$36, 11.0385, 11.0369) * CHOOSE(CONTROL!$C$19, $D$11, 100%, $F$11)</f>
        <v>11.038500000000001</v>
      </c>
      <c r="K433" s="4"/>
      <c r="L433" s="9">
        <v>29.7257</v>
      </c>
      <c r="M433" s="9">
        <v>11.6745</v>
      </c>
      <c r="N433" s="9">
        <v>4.7850000000000001</v>
      </c>
      <c r="O433" s="9">
        <v>0.36199999999999999</v>
      </c>
      <c r="P433" s="9">
        <v>1.2509999999999999</v>
      </c>
      <c r="Q433" s="9">
        <v>19.549800000000001</v>
      </c>
      <c r="R433" s="9"/>
      <c r="S433" s="11"/>
    </row>
    <row r="434" spans="1:19" ht="15.75">
      <c r="A434" s="13">
        <v>54362</v>
      </c>
      <c r="B434" s="8">
        <f>CHOOSE( CONTROL!$C$36, 11.8889, 11.8878) * CHOOSE(CONTROL!$C$19, $D$11, 100%, $F$11)</f>
        <v>11.8889</v>
      </c>
      <c r="C434" s="8">
        <f>CHOOSE( CONTROL!$C$36, 11.8942, 11.8931) * CHOOSE(CONTROL!$C$19, $D$11, 100%, $F$11)</f>
        <v>11.8942</v>
      </c>
      <c r="D434" s="8">
        <f>CHOOSE( CONTROL!$C$36, 11.9147, 11.9136) * CHOOSE( CONTROL!$C$19, $D$11, 100%, $F$11)</f>
        <v>11.9147</v>
      </c>
      <c r="E434" s="12">
        <f>CHOOSE( CONTROL!$C$36, 11.9074, 11.9063) * CHOOSE( CONTROL!$C$19, $D$11, 100%, $F$11)</f>
        <v>11.907400000000001</v>
      </c>
      <c r="F434" s="4">
        <f>CHOOSE( CONTROL!$C$36, 12.6236, 12.6225) * CHOOSE(CONTROL!$C$19, $D$11, 100%, $F$11)</f>
        <v>12.6236</v>
      </c>
      <c r="G434" s="8">
        <f>CHOOSE( CONTROL!$C$36, 11.7774, 11.7763) * CHOOSE( CONTROL!$C$19, $D$11, 100%, $F$11)</f>
        <v>11.7774</v>
      </c>
      <c r="H434" s="4">
        <f>CHOOSE( CONTROL!$C$36, 12.7214, 12.7203) * CHOOSE(CONTROL!$C$19, $D$11, 100%, $F$11)</f>
        <v>12.721399999999999</v>
      </c>
      <c r="I434" s="8">
        <f>CHOOSE( CONTROL!$C$36, 11.6669, 11.6659) * CHOOSE(CONTROL!$C$19, $D$11, 100%, $F$11)</f>
        <v>11.6669</v>
      </c>
      <c r="J434" s="4">
        <f>CHOOSE( CONTROL!$C$36, 11.5283, 11.5272) * CHOOSE(CONTROL!$C$19, $D$11, 100%, $F$11)</f>
        <v>11.5283</v>
      </c>
      <c r="K434" s="4"/>
      <c r="L434" s="9">
        <v>31.095300000000002</v>
      </c>
      <c r="M434" s="9">
        <v>12.063700000000001</v>
      </c>
      <c r="N434" s="9">
        <v>4.9444999999999997</v>
      </c>
      <c r="O434" s="9">
        <v>0.37409999999999999</v>
      </c>
      <c r="P434" s="9">
        <v>1.2927</v>
      </c>
      <c r="Q434" s="9">
        <v>20.201499999999999</v>
      </c>
      <c r="R434" s="9"/>
      <c r="S434" s="11"/>
    </row>
    <row r="435" spans="1:19" ht="15.75">
      <c r="A435" s="13">
        <v>54392</v>
      </c>
      <c r="B435" s="8">
        <f>CHOOSE( CONTROL!$C$36, 12.8231, 12.822) * CHOOSE(CONTROL!$C$19, $D$11, 100%, $F$11)</f>
        <v>12.8231</v>
      </c>
      <c r="C435" s="8">
        <f>CHOOSE( CONTROL!$C$36, 12.8282, 12.8271) * CHOOSE(CONTROL!$C$19, $D$11, 100%, $F$11)</f>
        <v>12.828200000000001</v>
      </c>
      <c r="D435" s="8">
        <f>CHOOSE( CONTROL!$C$36, 12.8074, 12.8063) * CHOOSE( CONTROL!$C$19, $D$11, 100%, $F$11)</f>
        <v>12.807399999999999</v>
      </c>
      <c r="E435" s="12">
        <f>CHOOSE( CONTROL!$C$36, 12.8145, 12.8134) * CHOOSE( CONTROL!$C$19, $D$11, 100%, $F$11)</f>
        <v>12.814500000000001</v>
      </c>
      <c r="F435" s="4">
        <f>CHOOSE( CONTROL!$C$36, 13.4823, 13.4813) * CHOOSE(CONTROL!$C$19, $D$11, 100%, $F$11)</f>
        <v>13.4823</v>
      </c>
      <c r="G435" s="8">
        <f>CHOOSE( CONTROL!$C$36, 12.6789, 12.6779) * CHOOSE( CONTROL!$C$19, $D$11, 100%, $F$11)</f>
        <v>12.678900000000001</v>
      </c>
      <c r="H435" s="4">
        <f>CHOOSE( CONTROL!$C$36, 13.5681, 13.567) * CHOOSE(CONTROL!$C$19, $D$11, 100%, $F$11)</f>
        <v>13.568099999999999</v>
      </c>
      <c r="I435" s="8">
        <f>CHOOSE( CONTROL!$C$36, 12.6215, 12.6205) * CHOOSE(CONTROL!$C$19, $D$11, 100%, $F$11)</f>
        <v>12.621499999999999</v>
      </c>
      <c r="J435" s="4">
        <f>CHOOSE( CONTROL!$C$36, 12.4333, 12.4322) * CHOOSE(CONTROL!$C$19, $D$11, 100%, $F$11)</f>
        <v>12.433299999999999</v>
      </c>
      <c r="K435" s="4"/>
      <c r="L435" s="9">
        <v>28.360600000000002</v>
      </c>
      <c r="M435" s="9">
        <v>11.6745</v>
      </c>
      <c r="N435" s="9">
        <v>4.7850000000000001</v>
      </c>
      <c r="O435" s="9">
        <v>0.36199999999999999</v>
      </c>
      <c r="P435" s="9">
        <v>1.2509999999999999</v>
      </c>
      <c r="Q435" s="9">
        <v>19.549800000000001</v>
      </c>
      <c r="R435" s="9"/>
      <c r="S435" s="11"/>
    </row>
    <row r="436" spans="1:19" ht="15.75">
      <c r="A436" s="13">
        <v>54423</v>
      </c>
      <c r="B436" s="8">
        <f>CHOOSE( CONTROL!$C$36, 12.7997, 12.7987) * CHOOSE(CONTROL!$C$19, $D$11, 100%, $F$11)</f>
        <v>12.7997</v>
      </c>
      <c r="C436" s="8">
        <f>CHOOSE( CONTROL!$C$36, 12.8048, 12.8038) * CHOOSE(CONTROL!$C$19, $D$11, 100%, $F$11)</f>
        <v>12.8048</v>
      </c>
      <c r="D436" s="8">
        <f>CHOOSE( CONTROL!$C$36, 12.7854, 12.7844) * CHOOSE( CONTROL!$C$19, $D$11, 100%, $F$11)</f>
        <v>12.785399999999999</v>
      </c>
      <c r="E436" s="12">
        <f>CHOOSE( CONTROL!$C$36, 12.792, 12.791) * CHOOSE( CONTROL!$C$19, $D$11, 100%, $F$11)</f>
        <v>12.792</v>
      </c>
      <c r="F436" s="4">
        <f>CHOOSE( CONTROL!$C$36, 13.459, 13.4579) * CHOOSE(CONTROL!$C$19, $D$11, 100%, $F$11)</f>
        <v>13.459</v>
      </c>
      <c r="G436" s="8">
        <f>CHOOSE( CONTROL!$C$36, 12.6569, 12.6558) * CHOOSE( CONTROL!$C$19, $D$11, 100%, $F$11)</f>
        <v>12.6569</v>
      </c>
      <c r="H436" s="4">
        <f>CHOOSE( CONTROL!$C$36, 13.5451, 13.544) * CHOOSE(CONTROL!$C$19, $D$11, 100%, $F$11)</f>
        <v>13.5451</v>
      </c>
      <c r="I436" s="8">
        <f>CHOOSE( CONTROL!$C$36, 12.6032, 12.6021) * CHOOSE(CONTROL!$C$19, $D$11, 100%, $F$11)</f>
        <v>12.603199999999999</v>
      </c>
      <c r="J436" s="4">
        <f>CHOOSE( CONTROL!$C$36, 12.4106, 12.4096) * CHOOSE(CONTROL!$C$19, $D$11, 100%, $F$11)</f>
        <v>12.410600000000001</v>
      </c>
      <c r="K436" s="4"/>
      <c r="L436" s="9">
        <v>29.306000000000001</v>
      </c>
      <c r="M436" s="9">
        <v>12.063700000000001</v>
      </c>
      <c r="N436" s="9">
        <v>4.9444999999999997</v>
      </c>
      <c r="O436" s="9">
        <v>0.37409999999999999</v>
      </c>
      <c r="P436" s="9">
        <v>1.2927</v>
      </c>
      <c r="Q436" s="9">
        <v>20.201499999999999</v>
      </c>
      <c r="R436" s="9"/>
      <c r="S436" s="11"/>
    </row>
    <row r="437" spans="1:19" ht="15.75">
      <c r="A437" s="13">
        <v>54454</v>
      </c>
      <c r="B437" s="8">
        <f>CHOOSE( CONTROL!$C$36, 13.1778, 13.1767) * CHOOSE(CONTROL!$C$19, $D$11, 100%, $F$11)</f>
        <v>13.1778</v>
      </c>
      <c r="C437" s="8">
        <f>CHOOSE( CONTROL!$C$36, 13.1829, 13.1818) * CHOOSE(CONTROL!$C$19, $D$11, 100%, $F$11)</f>
        <v>13.1829</v>
      </c>
      <c r="D437" s="8">
        <f>CHOOSE( CONTROL!$C$36, 13.1842, 13.1831) * CHOOSE( CONTROL!$C$19, $D$11, 100%, $F$11)</f>
        <v>13.184200000000001</v>
      </c>
      <c r="E437" s="12">
        <f>CHOOSE( CONTROL!$C$36, 13.1832, 13.1821) * CHOOSE( CONTROL!$C$19, $D$11, 100%, $F$11)</f>
        <v>13.183199999999999</v>
      </c>
      <c r="F437" s="4">
        <f>CHOOSE( CONTROL!$C$36, 13.837, 13.8359) * CHOOSE(CONTROL!$C$19, $D$11, 100%, $F$11)</f>
        <v>13.837</v>
      </c>
      <c r="G437" s="8">
        <f>CHOOSE( CONTROL!$C$36, 13.0407, 13.0396) * CHOOSE( CONTROL!$C$19, $D$11, 100%, $F$11)</f>
        <v>13.040699999999999</v>
      </c>
      <c r="H437" s="4">
        <f>CHOOSE( CONTROL!$C$36, 13.9178, 13.9168) * CHOOSE(CONTROL!$C$19, $D$11, 100%, $F$11)</f>
        <v>13.9178</v>
      </c>
      <c r="I437" s="8">
        <f>CHOOSE( CONTROL!$C$36, 12.9469, 12.9458) * CHOOSE(CONTROL!$C$19, $D$11, 100%, $F$11)</f>
        <v>12.946899999999999</v>
      </c>
      <c r="J437" s="4">
        <f>CHOOSE( CONTROL!$C$36, 12.7767, 12.7756) * CHOOSE(CONTROL!$C$19, $D$11, 100%, $F$11)</f>
        <v>12.7767</v>
      </c>
      <c r="K437" s="4"/>
      <c r="L437" s="9">
        <v>29.306000000000001</v>
      </c>
      <c r="M437" s="9">
        <v>12.063700000000001</v>
      </c>
      <c r="N437" s="9">
        <v>4.9444999999999997</v>
      </c>
      <c r="O437" s="9">
        <v>0.37409999999999999</v>
      </c>
      <c r="P437" s="9">
        <v>1.2927</v>
      </c>
      <c r="Q437" s="9">
        <v>20.136399999999998</v>
      </c>
      <c r="R437" s="9"/>
      <c r="S437" s="11"/>
    </row>
    <row r="438" spans="1:19" ht="15.75">
      <c r="A438" s="13">
        <v>54482</v>
      </c>
      <c r="B438" s="8">
        <f>CHOOSE( CONTROL!$C$36, 12.3248, 12.3237) * CHOOSE(CONTROL!$C$19, $D$11, 100%, $F$11)</f>
        <v>12.3248</v>
      </c>
      <c r="C438" s="8">
        <f>CHOOSE( CONTROL!$C$36, 12.3299, 12.3288) * CHOOSE(CONTROL!$C$19, $D$11, 100%, $F$11)</f>
        <v>12.3299</v>
      </c>
      <c r="D438" s="8">
        <f>CHOOSE( CONTROL!$C$36, 12.3311, 12.33) * CHOOSE( CONTROL!$C$19, $D$11, 100%, $F$11)</f>
        <v>12.331099999999999</v>
      </c>
      <c r="E438" s="12">
        <f>CHOOSE( CONTROL!$C$36, 12.3301, 12.329) * CHOOSE( CONTROL!$C$19, $D$11, 100%, $F$11)</f>
        <v>12.3301</v>
      </c>
      <c r="F438" s="4">
        <f>CHOOSE( CONTROL!$C$36, 12.9841, 12.983) * CHOOSE(CONTROL!$C$19, $D$11, 100%, $F$11)</f>
        <v>12.9841</v>
      </c>
      <c r="G438" s="8">
        <f>CHOOSE( CONTROL!$C$36, 12.1996, 12.1985) * CHOOSE( CONTROL!$C$19, $D$11, 100%, $F$11)</f>
        <v>12.1996</v>
      </c>
      <c r="H438" s="4">
        <f>CHOOSE( CONTROL!$C$36, 13.0768, 13.0757) * CHOOSE(CONTROL!$C$19, $D$11, 100%, $F$11)</f>
        <v>13.0768</v>
      </c>
      <c r="I438" s="8">
        <f>CHOOSE( CONTROL!$C$36, 12.1202, 12.1191) * CHOOSE(CONTROL!$C$19, $D$11, 100%, $F$11)</f>
        <v>12.120200000000001</v>
      </c>
      <c r="J438" s="4">
        <f>CHOOSE( CONTROL!$C$36, 11.9508, 11.9497) * CHOOSE(CONTROL!$C$19, $D$11, 100%, $F$11)</f>
        <v>11.950799999999999</v>
      </c>
      <c r="K438" s="4"/>
      <c r="L438" s="9">
        <v>26.469899999999999</v>
      </c>
      <c r="M438" s="9">
        <v>10.8962</v>
      </c>
      <c r="N438" s="9">
        <v>4.4660000000000002</v>
      </c>
      <c r="O438" s="9">
        <v>0.33789999999999998</v>
      </c>
      <c r="P438" s="9">
        <v>1.1676</v>
      </c>
      <c r="Q438" s="9">
        <v>18.1877</v>
      </c>
      <c r="R438" s="9"/>
      <c r="S438" s="11"/>
    </row>
    <row r="439" spans="1:19" ht="15.75">
      <c r="A439" s="13">
        <v>54513</v>
      </c>
      <c r="B439" s="8">
        <f>CHOOSE( CONTROL!$C$36, 12.0621, 12.061) * CHOOSE(CONTROL!$C$19, $D$11, 100%, $F$11)</f>
        <v>12.062099999999999</v>
      </c>
      <c r="C439" s="8">
        <f>CHOOSE( CONTROL!$C$36, 12.0672, 12.0661) * CHOOSE(CONTROL!$C$19, $D$11, 100%, $F$11)</f>
        <v>12.0672</v>
      </c>
      <c r="D439" s="8">
        <f>CHOOSE( CONTROL!$C$36, 12.0677, 12.0666) * CHOOSE( CONTROL!$C$19, $D$11, 100%, $F$11)</f>
        <v>12.0677</v>
      </c>
      <c r="E439" s="12">
        <f>CHOOSE( CONTROL!$C$36, 12.067, 12.0659) * CHOOSE( CONTROL!$C$19, $D$11, 100%, $F$11)</f>
        <v>12.067</v>
      </c>
      <c r="F439" s="4">
        <f>CHOOSE( CONTROL!$C$36, 12.7213, 12.7203) * CHOOSE(CONTROL!$C$19, $D$11, 100%, $F$11)</f>
        <v>12.721299999999999</v>
      </c>
      <c r="G439" s="8">
        <f>CHOOSE( CONTROL!$C$36, 11.94, 11.939) * CHOOSE( CONTROL!$C$19, $D$11, 100%, $F$11)</f>
        <v>11.94</v>
      </c>
      <c r="H439" s="4">
        <f>CHOOSE( CONTROL!$C$36, 12.8177, 12.8166) * CHOOSE(CONTROL!$C$19, $D$11, 100%, $F$11)</f>
        <v>12.8177</v>
      </c>
      <c r="I439" s="8">
        <f>CHOOSE( CONTROL!$C$36, 11.8637, 11.8626) * CHOOSE(CONTROL!$C$19, $D$11, 100%, $F$11)</f>
        <v>11.8637</v>
      </c>
      <c r="J439" s="4">
        <f>CHOOSE( CONTROL!$C$36, 11.6964, 11.6953) * CHOOSE(CONTROL!$C$19, $D$11, 100%, $F$11)</f>
        <v>11.696400000000001</v>
      </c>
      <c r="K439" s="4"/>
      <c r="L439" s="9">
        <v>29.306000000000001</v>
      </c>
      <c r="M439" s="9">
        <v>12.063700000000001</v>
      </c>
      <c r="N439" s="9">
        <v>4.9444999999999997</v>
      </c>
      <c r="O439" s="9">
        <v>0.37409999999999999</v>
      </c>
      <c r="P439" s="9">
        <v>1.2927</v>
      </c>
      <c r="Q439" s="9">
        <v>20.136399999999998</v>
      </c>
      <c r="R439" s="9"/>
      <c r="S439" s="11"/>
    </row>
    <row r="440" spans="1:19" ht="15.75">
      <c r="A440" s="13">
        <v>54543</v>
      </c>
      <c r="B440" s="8">
        <f>CHOOSE( CONTROL!$C$36, 12.2464, 12.2454) * CHOOSE(CONTROL!$C$19, $D$11, 100%, $F$11)</f>
        <v>12.2464</v>
      </c>
      <c r="C440" s="8">
        <f>CHOOSE( CONTROL!$C$36, 12.251, 12.2499) * CHOOSE(CONTROL!$C$19, $D$11, 100%, $F$11)</f>
        <v>12.250999999999999</v>
      </c>
      <c r="D440" s="8">
        <f>CHOOSE( CONTROL!$C$36, 12.2714, 12.2703) * CHOOSE( CONTROL!$C$19, $D$11, 100%, $F$11)</f>
        <v>12.2714</v>
      </c>
      <c r="E440" s="12">
        <f>CHOOSE( CONTROL!$C$36, 12.2641, 12.263) * CHOOSE( CONTROL!$C$19, $D$11, 100%, $F$11)</f>
        <v>12.264099999999999</v>
      </c>
      <c r="F440" s="4">
        <f>CHOOSE( CONTROL!$C$36, 12.9808, 12.9797) * CHOOSE(CONTROL!$C$19, $D$11, 100%, $F$11)</f>
        <v>12.9808</v>
      </c>
      <c r="G440" s="8">
        <f>CHOOSE( CONTROL!$C$36, 12.1292, 12.1281) * CHOOSE( CONTROL!$C$19, $D$11, 100%, $F$11)</f>
        <v>12.129200000000001</v>
      </c>
      <c r="H440" s="4">
        <f>CHOOSE( CONTROL!$C$36, 13.0736, 13.0725) * CHOOSE(CONTROL!$C$19, $D$11, 100%, $F$11)</f>
        <v>13.073600000000001</v>
      </c>
      <c r="I440" s="8">
        <f>CHOOSE( CONTROL!$C$36, 12.011, 12.01) * CHOOSE(CONTROL!$C$19, $D$11, 100%, $F$11)</f>
        <v>12.010999999999999</v>
      </c>
      <c r="J440" s="4">
        <f>CHOOSE( CONTROL!$C$36, 11.8741, 11.8731) * CHOOSE(CONTROL!$C$19, $D$11, 100%, $F$11)</f>
        <v>11.8741</v>
      </c>
      <c r="K440" s="4"/>
      <c r="L440" s="9">
        <v>30.092199999999998</v>
      </c>
      <c r="M440" s="9">
        <v>11.6745</v>
      </c>
      <c r="N440" s="9">
        <v>4.7850000000000001</v>
      </c>
      <c r="O440" s="9">
        <v>0.36199999999999999</v>
      </c>
      <c r="P440" s="9">
        <v>1.2509999999999999</v>
      </c>
      <c r="Q440" s="9">
        <v>19.486799999999999</v>
      </c>
      <c r="R440" s="9"/>
      <c r="S440" s="11"/>
    </row>
    <row r="441" spans="1:19" ht="15.75">
      <c r="A441" s="13">
        <v>54574</v>
      </c>
      <c r="B441" s="8">
        <f>CHOOSE( CONTROL!$C$36, 12.5751, 12.5734) * CHOOSE(CONTROL!$C$19, $D$11, 100%, $F$11)</f>
        <v>12.575100000000001</v>
      </c>
      <c r="C441" s="8">
        <f>CHOOSE( CONTROL!$C$36, 12.5831, 12.5814) * CHOOSE(CONTROL!$C$19, $D$11, 100%, $F$11)</f>
        <v>12.5831</v>
      </c>
      <c r="D441" s="8">
        <f>CHOOSE( CONTROL!$C$36, 12.5973, 12.5956) * CHOOSE( CONTROL!$C$19, $D$11, 100%, $F$11)</f>
        <v>12.597300000000001</v>
      </c>
      <c r="E441" s="12">
        <f>CHOOSE( CONTROL!$C$36, 12.5909, 12.5892) * CHOOSE( CONTROL!$C$19, $D$11, 100%, $F$11)</f>
        <v>12.5909</v>
      </c>
      <c r="F441" s="4">
        <f>CHOOSE( CONTROL!$C$36, 13.3081, 13.3065) * CHOOSE(CONTROL!$C$19, $D$11, 100%, $F$11)</f>
        <v>13.3081</v>
      </c>
      <c r="G441" s="8">
        <f>CHOOSE( CONTROL!$C$36, 12.4518, 12.4502) * CHOOSE( CONTROL!$C$19, $D$11, 100%, $F$11)</f>
        <v>12.4518</v>
      </c>
      <c r="H441" s="4">
        <f>CHOOSE( CONTROL!$C$36, 13.3963, 13.3947) * CHOOSE(CONTROL!$C$19, $D$11, 100%, $F$11)</f>
        <v>13.3963</v>
      </c>
      <c r="I441" s="8">
        <f>CHOOSE( CONTROL!$C$36, 12.3277, 12.3261) * CHOOSE(CONTROL!$C$19, $D$11, 100%, $F$11)</f>
        <v>12.3277</v>
      </c>
      <c r="J441" s="4">
        <f>CHOOSE( CONTROL!$C$36, 12.1911, 12.1895) * CHOOSE(CONTROL!$C$19, $D$11, 100%, $F$11)</f>
        <v>12.1911</v>
      </c>
      <c r="K441" s="4"/>
      <c r="L441" s="9">
        <v>30.7165</v>
      </c>
      <c r="M441" s="9">
        <v>12.063700000000001</v>
      </c>
      <c r="N441" s="9">
        <v>4.9444999999999997</v>
      </c>
      <c r="O441" s="9">
        <v>0.37409999999999999</v>
      </c>
      <c r="P441" s="9">
        <v>1.2927</v>
      </c>
      <c r="Q441" s="9">
        <v>20.136399999999998</v>
      </c>
      <c r="R441" s="9"/>
      <c r="S441" s="11"/>
    </row>
    <row r="442" spans="1:19" ht="15.75">
      <c r="A442" s="13">
        <v>54604</v>
      </c>
      <c r="B442" s="8">
        <f>CHOOSE( CONTROL!$C$36, 12.3727, 12.371) * CHOOSE(CONTROL!$C$19, $D$11, 100%, $F$11)</f>
        <v>12.3727</v>
      </c>
      <c r="C442" s="8">
        <f>CHOOSE( CONTROL!$C$36, 12.3807, 12.379) * CHOOSE(CONTROL!$C$19, $D$11, 100%, $F$11)</f>
        <v>12.380699999999999</v>
      </c>
      <c r="D442" s="8">
        <f>CHOOSE( CONTROL!$C$36, 12.3951, 12.3934) * CHOOSE( CONTROL!$C$19, $D$11, 100%, $F$11)</f>
        <v>12.395099999999999</v>
      </c>
      <c r="E442" s="12">
        <f>CHOOSE( CONTROL!$C$36, 12.3887, 12.387) * CHOOSE( CONTROL!$C$19, $D$11, 100%, $F$11)</f>
        <v>12.3887</v>
      </c>
      <c r="F442" s="4">
        <f>CHOOSE( CONTROL!$C$36, 13.1057, 13.1041) * CHOOSE(CONTROL!$C$19, $D$11, 100%, $F$11)</f>
        <v>13.105700000000001</v>
      </c>
      <c r="G442" s="8">
        <f>CHOOSE( CONTROL!$C$36, 12.2524, 12.2508) * CHOOSE( CONTROL!$C$19, $D$11, 100%, $F$11)</f>
        <v>12.2524</v>
      </c>
      <c r="H442" s="4">
        <f>CHOOSE( CONTROL!$C$36, 13.1967, 13.1951) * CHOOSE(CONTROL!$C$19, $D$11, 100%, $F$11)</f>
        <v>13.1967</v>
      </c>
      <c r="I442" s="8">
        <f>CHOOSE( CONTROL!$C$36, 12.1323, 12.1307) * CHOOSE(CONTROL!$C$19, $D$11, 100%, $F$11)</f>
        <v>12.132300000000001</v>
      </c>
      <c r="J442" s="4">
        <f>CHOOSE( CONTROL!$C$36, 11.9951, 11.9935) * CHOOSE(CONTROL!$C$19, $D$11, 100%, $F$11)</f>
        <v>11.995100000000001</v>
      </c>
      <c r="K442" s="4"/>
      <c r="L442" s="9">
        <v>29.7257</v>
      </c>
      <c r="M442" s="9">
        <v>11.6745</v>
      </c>
      <c r="N442" s="9">
        <v>4.7850000000000001</v>
      </c>
      <c r="O442" s="9">
        <v>0.36199999999999999</v>
      </c>
      <c r="P442" s="9">
        <v>1.2509999999999999</v>
      </c>
      <c r="Q442" s="9">
        <v>19.486799999999999</v>
      </c>
      <c r="R442" s="9"/>
      <c r="S442" s="11"/>
    </row>
    <row r="443" spans="1:19" ht="15.75">
      <c r="A443" s="13">
        <v>54635</v>
      </c>
      <c r="B443" s="8">
        <f>CHOOSE( CONTROL!$C$36, 12.9057, 12.904) * CHOOSE(CONTROL!$C$19, $D$11, 100%, $F$11)</f>
        <v>12.9057</v>
      </c>
      <c r="C443" s="8">
        <f>CHOOSE( CONTROL!$C$36, 12.9137, 12.912) * CHOOSE(CONTROL!$C$19, $D$11, 100%, $F$11)</f>
        <v>12.9137</v>
      </c>
      <c r="D443" s="8">
        <f>CHOOSE( CONTROL!$C$36, 12.9283, 12.9266) * CHOOSE( CONTROL!$C$19, $D$11, 100%, $F$11)</f>
        <v>12.9283</v>
      </c>
      <c r="E443" s="12">
        <f>CHOOSE( CONTROL!$C$36, 12.9218, 12.9201) * CHOOSE( CONTROL!$C$19, $D$11, 100%, $F$11)</f>
        <v>12.921799999999999</v>
      </c>
      <c r="F443" s="4">
        <f>CHOOSE( CONTROL!$C$36, 13.6387, 13.6371) * CHOOSE(CONTROL!$C$19, $D$11, 100%, $F$11)</f>
        <v>13.6387</v>
      </c>
      <c r="G443" s="8">
        <f>CHOOSE( CONTROL!$C$36, 12.7782, 12.7765) * CHOOSE( CONTROL!$C$19, $D$11, 100%, $F$11)</f>
        <v>12.7782</v>
      </c>
      <c r="H443" s="4">
        <f>CHOOSE( CONTROL!$C$36, 13.7223, 13.7206) * CHOOSE(CONTROL!$C$19, $D$11, 100%, $F$11)</f>
        <v>13.722300000000001</v>
      </c>
      <c r="I443" s="8">
        <f>CHOOSE( CONTROL!$C$36, 12.6494, 12.6478) * CHOOSE(CONTROL!$C$19, $D$11, 100%, $F$11)</f>
        <v>12.6494</v>
      </c>
      <c r="J443" s="4">
        <f>CHOOSE( CONTROL!$C$36, 12.5112, 12.5096) * CHOOSE(CONTROL!$C$19, $D$11, 100%, $F$11)</f>
        <v>12.511200000000001</v>
      </c>
      <c r="K443" s="4"/>
      <c r="L443" s="9">
        <v>30.7165</v>
      </c>
      <c r="M443" s="9">
        <v>12.063700000000001</v>
      </c>
      <c r="N443" s="9">
        <v>4.9444999999999997</v>
      </c>
      <c r="O443" s="9">
        <v>0.37409999999999999</v>
      </c>
      <c r="P443" s="9">
        <v>1.2927</v>
      </c>
      <c r="Q443" s="9">
        <v>20.136399999999998</v>
      </c>
      <c r="R443" s="9"/>
      <c r="S443" s="11"/>
    </row>
    <row r="444" spans="1:19" ht="15.75">
      <c r="A444" s="13">
        <v>54666</v>
      </c>
      <c r="B444" s="8">
        <f>CHOOSE( CONTROL!$C$36, 11.9084, 11.9068) * CHOOSE(CONTROL!$C$19, $D$11, 100%, $F$11)</f>
        <v>11.9084</v>
      </c>
      <c r="C444" s="8">
        <f>CHOOSE( CONTROL!$C$36, 11.9164, 11.9148) * CHOOSE(CONTROL!$C$19, $D$11, 100%, $F$11)</f>
        <v>11.916399999999999</v>
      </c>
      <c r="D444" s="8">
        <f>CHOOSE( CONTROL!$C$36, 11.9311, 11.9294) * CHOOSE( CONTROL!$C$19, $D$11, 100%, $F$11)</f>
        <v>11.931100000000001</v>
      </c>
      <c r="E444" s="12">
        <f>CHOOSE( CONTROL!$C$36, 11.9246, 11.9229) * CHOOSE( CONTROL!$C$19, $D$11, 100%, $F$11)</f>
        <v>11.9246</v>
      </c>
      <c r="F444" s="4">
        <f>CHOOSE( CONTROL!$C$36, 12.6415, 12.6398) * CHOOSE(CONTROL!$C$19, $D$11, 100%, $F$11)</f>
        <v>12.641500000000001</v>
      </c>
      <c r="G444" s="8">
        <f>CHOOSE( CONTROL!$C$36, 11.7949, 11.7932) * CHOOSE( CONTROL!$C$19, $D$11, 100%, $F$11)</f>
        <v>11.7949</v>
      </c>
      <c r="H444" s="4">
        <f>CHOOSE( CONTROL!$C$36, 12.7389, 12.7373) * CHOOSE(CONTROL!$C$19, $D$11, 100%, $F$11)</f>
        <v>12.738899999999999</v>
      </c>
      <c r="I444" s="8">
        <f>CHOOSE( CONTROL!$C$36, 11.6835, 11.6819) * CHOOSE(CONTROL!$C$19, $D$11, 100%, $F$11)</f>
        <v>11.6835</v>
      </c>
      <c r="J444" s="4">
        <f>CHOOSE( CONTROL!$C$36, 11.5455, 11.5439) * CHOOSE(CONTROL!$C$19, $D$11, 100%, $F$11)</f>
        <v>11.545500000000001</v>
      </c>
      <c r="K444" s="4"/>
      <c r="L444" s="9">
        <v>30.7165</v>
      </c>
      <c r="M444" s="9">
        <v>12.063700000000001</v>
      </c>
      <c r="N444" s="9">
        <v>4.9444999999999997</v>
      </c>
      <c r="O444" s="9">
        <v>0.37409999999999999</v>
      </c>
      <c r="P444" s="9">
        <v>1.2927</v>
      </c>
      <c r="Q444" s="9">
        <v>20.136399999999998</v>
      </c>
      <c r="R444" s="9"/>
      <c r="S444" s="11"/>
    </row>
    <row r="445" spans="1:19" ht="15.75">
      <c r="A445" s="13">
        <v>54696</v>
      </c>
      <c r="B445" s="8">
        <f>CHOOSE( CONTROL!$C$36, 11.6587, 11.657) * CHOOSE(CONTROL!$C$19, $D$11, 100%, $F$11)</f>
        <v>11.6587</v>
      </c>
      <c r="C445" s="8">
        <f>CHOOSE( CONTROL!$C$36, 11.6667, 11.665) * CHOOSE(CONTROL!$C$19, $D$11, 100%, $F$11)</f>
        <v>11.666700000000001</v>
      </c>
      <c r="D445" s="8">
        <f>CHOOSE( CONTROL!$C$36, 11.6813, 11.6796) * CHOOSE( CONTROL!$C$19, $D$11, 100%, $F$11)</f>
        <v>11.6813</v>
      </c>
      <c r="E445" s="12">
        <f>CHOOSE( CONTROL!$C$36, 11.6748, 11.6731) * CHOOSE( CONTROL!$C$19, $D$11, 100%, $F$11)</f>
        <v>11.674799999999999</v>
      </c>
      <c r="F445" s="4">
        <f>CHOOSE( CONTROL!$C$36, 12.3917, 12.3901) * CHOOSE(CONTROL!$C$19, $D$11, 100%, $F$11)</f>
        <v>12.3917</v>
      </c>
      <c r="G445" s="8">
        <f>CHOOSE( CONTROL!$C$36, 11.5485, 11.5469) * CHOOSE( CONTROL!$C$19, $D$11, 100%, $F$11)</f>
        <v>11.548500000000001</v>
      </c>
      <c r="H445" s="4">
        <f>CHOOSE( CONTROL!$C$36, 12.4927, 12.4911) * CHOOSE(CONTROL!$C$19, $D$11, 100%, $F$11)</f>
        <v>12.492699999999999</v>
      </c>
      <c r="I445" s="8">
        <f>CHOOSE( CONTROL!$C$36, 11.4412, 11.4396) * CHOOSE(CONTROL!$C$19, $D$11, 100%, $F$11)</f>
        <v>11.4412</v>
      </c>
      <c r="J445" s="4">
        <f>CHOOSE( CONTROL!$C$36, 11.3037, 11.3021) * CHOOSE(CONTROL!$C$19, $D$11, 100%, $F$11)</f>
        <v>11.303699999999999</v>
      </c>
      <c r="K445" s="4"/>
      <c r="L445" s="9">
        <v>29.7257</v>
      </c>
      <c r="M445" s="9">
        <v>11.6745</v>
      </c>
      <c r="N445" s="9">
        <v>4.7850000000000001</v>
      </c>
      <c r="O445" s="9">
        <v>0.36199999999999999</v>
      </c>
      <c r="P445" s="9">
        <v>1.2509999999999999</v>
      </c>
      <c r="Q445" s="9">
        <v>19.486799999999999</v>
      </c>
      <c r="R445" s="9"/>
      <c r="S445" s="11"/>
    </row>
    <row r="446" spans="1:19" ht="15.75">
      <c r="A446" s="13">
        <v>54727</v>
      </c>
      <c r="B446" s="8">
        <f>CHOOSE( CONTROL!$C$36, 12.1749, 12.1738) * CHOOSE(CONTROL!$C$19, $D$11, 100%, $F$11)</f>
        <v>12.174899999999999</v>
      </c>
      <c r="C446" s="8">
        <f>CHOOSE( CONTROL!$C$36, 12.1803, 12.1792) * CHOOSE(CONTROL!$C$19, $D$11, 100%, $F$11)</f>
        <v>12.180300000000001</v>
      </c>
      <c r="D446" s="8">
        <f>CHOOSE( CONTROL!$C$36, 12.2008, 12.1997) * CHOOSE( CONTROL!$C$19, $D$11, 100%, $F$11)</f>
        <v>12.200799999999999</v>
      </c>
      <c r="E446" s="12">
        <f>CHOOSE( CONTROL!$C$36, 12.1935, 12.1924) * CHOOSE( CONTROL!$C$19, $D$11, 100%, $F$11)</f>
        <v>12.1935</v>
      </c>
      <c r="F446" s="4">
        <f>CHOOSE( CONTROL!$C$36, 12.9097, 12.9086) * CHOOSE(CONTROL!$C$19, $D$11, 100%, $F$11)</f>
        <v>12.909700000000001</v>
      </c>
      <c r="G446" s="8">
        <f>CHOOSE( CONTROL!$C$36, 12.0595, 12.0584) * CHOOSE( CONTROL!$C$19, $D$11, 100%, $F$11)</f>
        <v>12.0595</v>
      </c>
      <c r="H446" s="4">
        <f>CHOOSE( CONTROL!$C$36, 13.0034, 13.0023) * CHOOSE(CONTROL!$C$19, $D$11, 100%, $F$11)</f>
        <v>13.003399999999999</v>
      </c>
      <c r="I446" s="8">
        <f>CHOOSE( CONTROL!$C$36, 11.9441, 11.943) * CHOOSE(CONTROL!$C$19, $D$11, 100%, $F$11)</f>
        <v>11.944100000000001</v>
      </c>
      <c r="J446" s="4">
        <f>CHOOSE( CONTROL!$C$36, 11.8052, 11.8042) * CHOOSE(CONTROL!$C$19, $D$11, 100%, $F$11)</f>
        <v>11.805199999999999</v>
      </c>
      <c r="K446" s="4"/>
      <c r="L446" s="9">
        <v>31.095300000000002</v>
      </c>
      <c r="M446" s="9">
        <v>12.063700000000001</v>
      </c>
      <c r="N446" s="9">
        <v>4.9444999999999997</v>
      </c>
      <c r="O446" s="9">
        <v>0.37409999999999999</v>
      </c>
      <c r="P446" s="9">
        <v>1.2927</v>
      </c>
      <c r="Q446" s="9">
        <v>20.136399999999998</v>
      </c>
      <c r="R446" s="9"/>
      <c r="S446" s="11"/>
    </row>
    <row r="447" spans="1:19" ht="15.75">
      <c r="A447" s="13">
        <v>54757</v>
      </c>
      <c r="B447" s="8">
        <f>CHOOSE( CONTROL!$C$36, 13.1316, 13.1305) * CHOOSE(CONTROL!$C$19, $D$11, 100%, $F$11)</f>
        <v>13.131600000000001</v>
      </c>
      <c r="C447" s="8">
        <f>CHOOSE( CONTROL!$C$36, 13.1367, 13.1356) * CHOOSE(CONTROL!$C$19, $D$11, 100%, $F$11)</f>
        <v>13.136699999999999</v>
      </c>
      <c r="D447" s="8">
        <f>CHOOSE( CONTROL!$C$36, 13.1159, 13.1148) * CHOOSE( CONTROL!$C$19, $D$11, 100%, $F$11)</f>
        <v>13.1159</v>
      </c>
      <c r="E447" s="12">
        <f>CHOOSE( CONTROL!$C$36, 13.123, 13.1219) * CHOOSE( CONTROL!$C$19, $D$11, 100%, $F$11)</f>
        <v>13.122999999999999</v>
      </c>
      <c r="F447" s="4">
        <f>CHOOSE( CONTROL!$C$36, 13.7908, 13.7898) * CHOOSE(CONTROL!$C$19, $D$11, 100%, $F$11)</f>
        <v>13.790800000000001</v>
      </c>
      <c r="G447" s="8">
        <f>CHOOSE( CONTROL!$C$36, 12.9831, 12.9821) * CHOOSE( CONTROL!$C$19, $D$11, 100%, $F$11)</f>
        <v>12.9831</v>
      </c>
      <c r="H447" s="4">
        <f>CHOOSE( CONTROL!$C$36, 13.8723, 13.8712) * CHOOSE(CONTROL!$C$19, $D$11, 100%, $F$11)</f>
        <v>13.872299999999999</v>
      </c>
      <c r="I447" s="8">
        <f>CHOOSE( CONTROL!$C$36, 12.9204, 12.9193) * CHOOSE(CONTROL!$C$19, $D$11, 100%, $F$11)</f>
        <v>12.920400000000001</v>
      </c>
      <c r="J447" s="4">
        <f>CHOOSE( CONTROL!$C$36, 12.732, 12.7309) * CHOOSE(CONTROL!$C$19, $D$11, 100%, $F$11)</f>
        <v>12.731999999999999</v>
      </c>
      <c r="K447" s="4"/>
      <c r="L447" s="9">
        <v>28.360600000000002</v>
      </c>
      <c r="M447" s="9">
        <v>11.6745</v>
      </c>
      <c r="N447" s="9">
        <v>4.7850000000000001</v>
      </c>
      <c r="O447" s="9">
        <v>0.36199999999999999</v>
      </c>
      <c r="P447" s="9">
        <v>1.2509999999999999</v>
      </c>
      <c r="Q447" s="9">
        <v>19.486799999999999</v>
      </c>
      <c r="R447" s="9"/>
      <c r="S447" s="11"/>
    </row>
    <row r="448" spans="1:19" ht="15.75">
      <c r="A448" s="13">
        <v>54788</v>
      </c>
      <c r="B448" s="8">
        <f>CHOOSE( CONTROL!$C$36, 13.1077, 13.1066) * CHOOSE(CONTROL!$C$19, $D$11, 100%, $F$11)</f>
        <v>13.107699999999999</v>
      </c>
      <c r="C448" s="8">
        <f>CHOOSE( CONTROL!$C$36, 13.1128, 13.1117) * CHOOSE(CONTROL!$C$19, $D$11, 100%, $F$11)</f>
        <v>13.1128</v>
      </c>
      <c r="D448" s="8">
        <f>CHOOSE( CONTROL!$C$36, 13.0934, 13.0923) * CHOOSE( CONTROL!$C$19, $D$11, 100%, $F$11)</f>
        <v>13.093400000000001</v>
      </c>
      <c r="E448" s="12">
        <f>CHOOSE( CONTROL!$C$36, 13.1, 13.0989) * CHOOSE( CONTROL!$C$19, $D$11, 100%, $F$11)</f>
        <v>13.1</v>
      </c>
      <c r="F448" s="4">
        <f>CHOOSE( CONTROL!$C$36, 13.7669, 13.7658) * CHOOSE(CONTROL!$C$19, $D$11, 100%, $F$11)</f>
        <v>13.7669</v>
      </c>
      <c r="G448" s="8">
        <f>CHOOSE( CONTROL!$C$36, 12.9605, 12.9595) * CHOOSE( CONTROL!$C$19, $D$11, 100%, $F$11)</f>
        <v>12.9605</v>
      </c>
      <c r="H448" s="4">
        <f>CHOOSE( CONTROL!$C$36, 13.8487, 13.8476) * CHOOSE(CONTROL!$C$19, $D$11, 100%, $F$11)</f>
        <v>13.848699999999999</v>
      </c>
      <c r="I448" s="8">
        <f>CHOOSE( CONTROL!$C$36, 12.9015, 12.9004) * CHOOSE(CONTROL!$C$19, $D$11, 100%, $F$11)</f>
        <v>12.9015</v>
      </c>
      <c r="J448" s="4">
        <f>CHOOSE( CONTROL!$C$36, 12.7088, 12.7078) * CHOOSE(CONTROL!$C$19, $D$11, 100%, $F$11)</f>
        <v>12.7088</v>
      </c>
      <c r="K448" s="4"/>
      <c r="L448" s="9">
        <v>29.306000000000001</v>
      </c>
      <c r="M448" s="9">
        <v>12.063700000000001</v>
      </c>
      <c r="N448" s="9">
        <v>4.9444999999999997</v>
      </c>
      <c r="O448" s="9">
        <v>0.37409999999999999</v>
      </c>
      <c r="P448" s="9">
        <v>1.2927</v>
      </c>
      <c r="Q448" s="9">
        <v>20.136399999999998</v>
      </c>
      <c r="R448" s="9"/>
      <c r="S448" s="11"/>
    </row>
    <row r="449" spans="1:19" ht="15.75">
      <c r="A449" s="13">
        <v>54819</v>
      </c>
      <c r="B449" s="8">
        <f>CHOOSE( CONTROL!$C$36, 13.4948, 13.4937) * CHOOSE(CONTROL!$C$19, $D$11, 100%, $F$11)</f>
        <v>13.4948</v>
      </c>
      <c r="C449" s="8">
        <f>CHOOSE( CONTROL!$C$36, 13.4999, 13.4988) * CHOOSE(CONTROL!$C$19, $D$11, 100%, $F$11)</f>
        <v>13.4999</v>
      </c>
      <c r="D449" s="8">
        <f>CHOOSE( CONTROL!$C$36, 13.5012, 13.5001) * CHOOSE( CONTROL!$C$19, $D$11, 100%, $F$11)</f>
        <v>13.501200000000001</v>
      </c>
      <c r="E449" s="12">
        <f>CHOOSE( CONTROL!$C$36, 13.5002, 13.4991) * CHOOSE( CONTROL!$C$19, $D$11, 100%, $F$11)</f>
        <v>13.5002</v>
      </c>
      <c r="F449" s="4">
        <f>CHOOSE( CONTROL!$C$36, 14.154, 14.153) * CHOOSE(CONTROL!$C$19, $D$11, 100%, $F$11)</f>
        <v>14.154</v>
      </c>
      <c r="G449" s="8">
        <f>CHOOSE( CONTROL!$C$36, 13.3533, 13.3522) * CHOOSE( CONTROL!$C$19, $D$11, 100%, $F$11)</f>
        <v>13.353300000000001</v>
      </c>
      <c r="H449" s="4">
        <f>CHOOSE( CONTROL!$C$36, 14.2304, 14.2293) * CHOOSE(CONTROL!$C$19, $D$11, 100%, $F$11)</f>
        <v>14.230399999999999</v>
      </c>
      <c r="I449" s="8">
        <f>CHOOSE( CONTROL!$C$36, 13.254, 13.253) * CHOOSE(CONTROL!$C$19, $D$11, 100%, $F$11)</f>
        <v>13.254</v>
      </c>
      <c r="J449" s="4">
        <f>CHOOSE( CONTROL!$C$36, 13.0837, 13.0826) * CHOOSE(CONTROL!$C$19, $D$11, 100%, $F$11)</f>
        <v>13.0837</v>
      </c>
      <c r="K449" s="4"/>
      <c r="L449" s="9">
        <v>29.306000000000001</v>
      </c>
      <c r="M449" s="9">
        <v>12.063700000000001</v>
      </c>
      <c r="N449" s="9">
        <v>4.9444999999999997</v>
      </c>
      <c r="O449" s="9">
        <v>0.37409999999999999</v>
      </c>
      <c r="P449" s="9">
        <v>1.2927</v>
      </c>
      <c r="Q449" s="9">
        <v>20.071300000000001</v>
      </c>
      <c r="R449" s="9"/>
      <c r="S449" s="11"/>
    </row>
    <row r="450" spans="1:19" ht="15.75">
      <c r="A450" s="13">
        <v>54847</v>
      </c>
      <c r="B450" s="8">
        <f>CHOOSE( CONTROL!$C$36, 12.6213, 12.6202) * CHOOSE(CONTROL!$C$19, $D$11, 100%, $F$11)</f>
        <v>12.6213</v>
      </c>
      <c r="C450" s="8">
        <f>CHOOSE( CONTROL!$C$36, 12.6264, 12.6253) * CHOOSE(CONTROL!$C$19, $D$11, 100%, $F$11)</f>
        <v>12.6264</v>
      </c>
      <c r="D450" s="8">
        <f>CHOOSE( CONTROL!$C$36, 12.6276, 12.6265) * CHOOSE( CONTROL!$C$19, $D$11, 100%, $F$11)</f>
        <v>12.627599999999999</v>
      </c>
      <c r="E450" s="12">
        <f>CHOOSE( CONTROL!$C$36, 12.6266, 12.6255) * CHOOSE( CONTROL!$C$19, $D$11, 100%, $F$11)</f>
        <v>12.6266</v>
      </c>
      <c r="F450" s="4">
        <f>CHOOSE( CONTROL!$C$36, 13.2806, 13.2795) * CHOOSE(CONTROL!$C$19, $D$11, 100%, $F$11)</f>
        <v>13.2806</v>
      </c>
      <c r="G450" s="8">
        <f>CHOOSE( CONTROL!$C$36, 12.4919, 12.4909) * CHOOSE( CONTROL!$C$19, $D$11, 100%, $F$11)</f>
        <v>12.491899999999999</v>
      </c>
      <c r="H450" s="4">
        <f>CHOOSE( CONTROL!$C$36, 13.3691, 13.3681) * CHOOSE(CONTROL!$C$19, $D$11, 100%, $F$11)</f>
        <v>13.3691</v>
      </c>
      <c r="I450" s="8">
        <f>CHOOSE( CONTROL!$C$36, 12.4074, 12.4064) * CHOOSE(CONTROL!$C$19, $D$11, 100%, $F$11)</f>
        <v>12.407400000000001</v>
      </c>
      <c r="J450" s="4">
        <f>CHOOSE( CONTROL!$C$36, 12.2379, 12.2368) * CHOOSE(CONTROL!$C$19, $D$11, 100%, $F$11)</f>
        <v>12.2379</v>
      </c>
      <c r="K450" s="4"/>
      <c r="L450" s="9">
        <v>26.469899999999999</v>
      </c>
      <c r="M450" s="9">
        <v>10.8962</v>
      </c>
      <c r="N450" s="9">
        <v>4.4660000000000002</v>
      </c>
      <c r="O450" s="9">
        <v>0.33789999999999998</v>
      </c>
      <c r="P450" s="9">
        <v>1.1676</v>
      </c>
      <c r="Q450" s="9">
        <v>18.128900000000002</v>
      </c>
      <c r="R450" s="9"/>
      <c r="S450" s="11"/>
    </row>
    <row r="451" spans="1:19" ht="15.75">
      <c r="A451" s="13">
        <v>54878</v>
      </c>
      <c r="B451" s="8">
        <f>CHOOSE( CONTROL!$C$36, 12.3523, 12.3512) * CHOOSE(CONTROL!$C$19, $D$11, 100%, $F$11)</f>
        <v>12.3523</v>
      </c>
      <c r="C451" s="8">
        <f>CHOOSE( CONTROL!$C$36, 12.3574, 12.3563) * CHOOSE(CONTROL!$C$19, $D$11, 100%, $F$11)</f>
        <v>12.3574</v>
      </c>
      <c r="D451" s="8">
        <f>CHOOSE( CONTROL!$C$36, 12.3579, 12.3568) * CHOOSE( CONTROL!$C$19, $D$11, 100%, $F$11)</f>
        <v>12.357900000000001</v>
      </c>
      <c r="E451" s="12">
        <f>CHOOSE( CONTROL!$C$36, 12.3572, 12.3561) * CHOOSE( CONTROL!$C$19, $D$11, 100%, $F$11)</f>
        <v>12.357200000000001</v>
      </c>
      <c r="F451" s="4">
        <f>CHOOSE( CONTROL!$C$36, 13.0116, 13.0105) * CHOOSE(CONTROL!$C$19, $D$11, 100%, $F$11)</f>
        <v>13.0116</v>
      </c>
      <c r="G451" s="8">
        <f>CHOOSE( CONTROL!$C$36, 12.2262, 12.2251) * CHOOSE( CONTROL!$C$19, $D$11, 100%, $F$11)</f>
        <v>12.2262</v>
      </c>
      <c r="H451" s="4">
        <f>CHOOSE( CONTROL!$C$36, 13.1039, 13.1028) * CHOOSE(CONTROL!$C$19, $D$11, 100%, $F$11)</f>
        <v>13.103899999999999</v>
      </c>
      <c r="I451" s="8">
        <f>CHOOSE( CONTROL!$C$36, 12.1448, 12.1438) * CHOOSE(CONTROL!$C$19, $D$11, 100%, $F$11)</f>
        <v>12.1448</v>
      </c>
      <c r="J451" s="4">
        <f>CHOOSE( CONTROL!$C$36, 11.9774, 11.9763) * CHOOSE(CONTROL!$C$19, $D$11, 100%, $F$11)</f>
        <v>11.977399999999999</v>
      </c>
      <c r="K451" s="4"/>
      <c r="L451" s="9">
        <v>29.306000000000001</v>
      </c>
      <c r="M451" s="9">
        <v>12.063700000000001</v>
      </c>
      <c r="N451" s="9">
        <v>4.9444999999999997</v>
      </c>
      <c r="O451" s="9">
        <v>0.37409999999999999</v>
      </c>
      <c r="P451" s="9">
        <v>1.2927</v>
      </c>
      <c r="Q451" s="9">
        <v>20.071300000000001</v>
      </c>
      <c r="R451" s="9"/>
      <c r="S451" s="11"/>
    </row>
    <row r="452" spans="1:19" ht="15.75">
      <c r="A452" s="13">
        <v>54908</v>
      </c>
      <c r="B452" s="8">
        <f>CHOOSE( CONTROL!$C$36, 12.5411, 12.54) * CHOOSE(CONTROL!$C$19, $D$11, 100%, $F$11)</f>
        <v>12.5411</v>
      </c>
      <c r="C452" s="8">
        <f>CHOOSE( CONTROL!$C$36, 12.5456, 12.5445) * CHOOSE(CONTROL!$C$19, $D$11, 100%, $F$11)</f>
        <v>12.5456</v>
      </c>
      <c r="D452" s="8">
        <f>CHOOSE( CONTROL!$C$36, 12.566, 12.5649) * CHOOSE( CONTROL!$C$19, $D$11, 100%, $F$11)</f>
        <v>12.566000000000001</v>
      </c>
      <c r="E452" s="12">
        <f>CHOOSE( CONTROL!$C$36, 12.5587, 12.5576) * CHOOSE( CONTROL!$C$19, $D$11, 100%, $F$11)</f>
        <v>12.5587</v>
      </c>
      <c r="F452" s="4">
        <f>CHOOSE( CONTROL!$C$36, 13.2755, 13.2744) * CHOOSE(CONTROL!$C$19, $D$11, 100%, $F$11)</f>
        <v>13.275499999999999</v>
      </c>
      <c r="G452" s="8">
        <f>CHOOSE( CONTROL!$C$36, 12.4197, 12.4186) * CHOOSE( CONTROL!$C$19, $D$11, 100%, $F$11)</f>
        <v>12.419700000000001</v>
      </c>
      <c r="H452" s="4">
        <f>CHOOSE( CONTROL!$C$36, 13.3641, 13.363) * CHOOSE(CONTROL!$C$19, $D$11, 100%, $F$11)</f>
        <v>13.364100000000001</v>
      </c>
      <c r="I452" s="8">
        <f>CHOOSE( CONTROL!$C$36, 12.2964, 12.2954) * CHOOSE(CONTROL!$C$19, $D$11, 100%, $F$11)</f>
        <v>12.2964</v>
      </c>
      <c r="J452" s="4">
        <f>CHOOSE( CONTROL!$C$36, 12.1594, 12.1584) * CHOOSE(CONTROL!$C$19, $D$11, 100%, $F$11)</f>
        <v>12.1594</v>
      </c>
      <c r="K452" s="4"/>
      <c r="L452" s="9">
        <v>30.092199999999998</v>
      </c>
      <c r="M452" s="9">
        <v>11.6745</v>
      </c>
      <c r="N452" s="9">
        <v>4.7850000000000001</v>
      </c>
      <c r="O452" s="9">
        <v>0.36199999999999999</v>
      </c>
      <c r="P452" s="9">
        <v>1.2509999999999999</v>
      </c>
      <c r="Q452" s="9">
        <v>19.4238</v>
      </c>
      <c r="R452" s="9"/>
      <c r="S452" s="11"/>
    </row>
    <row r="453" spans="1:19" ht="15.75">
      <c r="A453" s="13">
        <v>54939</v>
      </c>
      <c r="B453" s="8">
        <f>CHOOSE( CONTROL!$C$36, 12.8776, 12.8759) * CHOOSE(CONTROL!$C$19, $D$11, 100%, $F$11)</f>
        <v>12.877599999999999</v>
      </c>
      <c r="C453" s="8">
        <f>CHOOSE( CONTROL!$C$36, 12.8856, 12.8839) * CHOOSE(CONTROL!$C$19, $D$11, 100%, $F$11)</f>
        <v>12.8856</v>
      </c>
      <c r="D453" s="8">
        <f>CHOOSE( CONTROL!$C$36, 12.8998, 12.8981) * CHOOSE( CONTROL!$C$19, $D$11, 100%, $F$11)</f>
        <v>12.899800000000001</v>
      </c>
      <c r="E453" s="12">
        <f>CHOOSE( CONTROL!$C$36, 12.8934, 12.8917) * CHOOSE( CONTROL!$C$19, $D$11, 100%, $F$11)</f>
        <v>12.8934</v>
      </c>
      <c r="F453" s="4">
        <f>CHOOSE( CONTROL!$C$36, 13.6106, 13.6089) * CHOOSE(CONTROL!$C$19, $D$11, 100%, $F$11)</f>
        <v>13.6106</v>
      </c>
      <c r="G453" s="8">
        <f>CHOOSE( CONTROL!$C$36, 12.7501, 12.7485) * CHOOSE( CONTROL!$C$19, $D$11, 100%, $F$11)</f>
        <v>12.7501</v>
      </c>
      <c r="H453" s="4">
        <f>CHOOSE( CONTROL!$C$36, 13.6946, 13.6929) * CHOOSE(CONTROL!$C$19, $D$11, 100%, $F$11)</f>
        <v>13.694599999999999</v>
      </c>
      <c r="I453" s="8">
        <f>CHOOSE( CONTROL!$C$36, 12.6207, 12.6191) * CHOOSE(CONTROL!$C$19, $D$11, 100%, $F$11)</f>
        <v>12.620699999999999</v>
      </c>
      <c r="J453" s="4">
        <f>CHOOSE( CONTROL!$C$36, 12.4839, 12.4823) * CHOOSE(CONTROL!$C$19, $D$11, 100%, $F$11)</f>
        <v>12.4839</v>
      </c>
      <c r="K453" s="4"/>
      <c r="L453" s="9">
        <v>30.7165</v>
      </c>
      <c r="M453" s="9">
        <v>12.063700000000001</v>
      </c>
      <c r="N453" s="9">
        <v>4.9444999999999997</v>
      </c>
      <c r="O453" s="9">
        <v>0.37409999999999999</v>
      </c>
      <c r="P453" s="9">
        <v>1.2927</v>
      </c>
      <c r="Q453" s="9">
        <v>20.071300000000001</v>
      </c>
      <c r="R453" s="9"/>
      <c r="S453" s="11"/>
    </row>
    <row r="454" spans="1:19" ht="15.75">
      <c r="A454" s="13">
        <v>54969</v>
      </c>
      <c r="B454" s="8">
        <f>CHOOSE( CONTROL!$C$36, 12.6703, 12.6687) * CHOOSE(CONTROL!$C$19, $D$11, 100%, $F$11)</f>
        <v>12.670299999999999</v>
      </c>
      <c r="C454" s="8">
        <f>CHOOSE( CONTROL!$C$36, 12.6783, 12.6766) * CHOOSE(CONTROL!$C$19, $D$11, 100%, $F$11)</f>
        <v>12.6783</v>
      </c>
      <c r="D454" s="8">
        <f>CHOOSE( CONTROL!$C$36, 12.6927, 12.691) * CHOOSE( CONTROL!$C$19, $D$11, 100%, $F$11)</f>
        <v>12.6927</v>
      </c>
      <c r="E454" s="12">
        <f>CHOOSE( CONTROL!$C$36, 12.6863, 12.6846) * CHOOSE( CONTROL!$C$19, $D$11, 100%, $F$11)</f>
        <v>12.686299999999999</v>
      </c>
      <c r="F454" s="4">
        <f>CHOOSE( CONTROL!$C$36, 13.4033, 13.4017) * CHOOSE(CONTROL!$C$19, $D$11, 100%, $F$11)</f>
        <v>13.4033</v>
      </c>
      <c r="G454" s="8">
        <f>CHOOSE( CONTROL!$C$36, 12.5459, 12.5442) * CHOOSE( CONTROL!$C$19, $D$11, 100%, $F$11)</f>
        <v>12.5459</v>
      </c>
      <c r="H454" s="4">
        <f>CHOOSE( CONTROL!$C$36, 13.4902, 13.4886) * CHOOSE(CONTROL!$C$19, $D$11, 100%, $F$11)</f>
        <v>13.4902</v>
      </c>
      <c r="I454" s="8">
        <f>CHOOSE( CONTROL!$C$36, 12.4206, 12.419) * CHOOSE(CONTROL!$C$19, $D$11, 100%, $F$11)</f>
        <v>12.4206</v>
      </c>
      <c r="J454" s="4">
        <f>CHOOSE( CONTROL!$C$36, 12.2833, 12.2817) * CHOOSE(CONTROL!$C$19, $D$11, 100%, $F$11)</f>
        <v>12.283300000000001</v>
      </c>
      <c r="K454" s="4"/>
      <c r="L454" s="9">
        <v>29.7257</v>
      </c>
      <c r="M454" s="9">
        <v>11.6745</v>
      </c>
      <c r="N454" s="9">
        <v>4.7850000000000001</v>
      </c>
      <c r="O454" s="9">
        <v>0.36199999999999999</v>
      </c>
      <c r="P454" s="9">
        <v>1.2509999999999999</v>
      </c>
      <c r="Q454" s="9">
        <v>19.4238</v>
      </c>
      <c r="R454" s="9"/>
      <c r="S454" s="11"/>
    </row>
    <row r="455" spans="1:19" ht="15.75">
      <c r="A455" s="13">
        <v>55000</v>
      </c>
      <c r="B455" s="8">
        <f>CHOOSE( CONTROL!$C$36, 13.2161, 13.2144) * CHOOSE(CONTROL!$C$19, $D$11, 100%, $F$11)</f>
        <v>13.216100000000001</v>
      </c>
      <c r="C455" s="8">
        <f>CHOOSE( CONTROL!$C$36, 13.2241, 13.2224) * CHOOSE(CONTROL!$C$19, $D$11, 100%, $F$11)</f>
        <v>13.2241</v>
      </c>
      <c r="D455" s="8">
        <f>CHOOSE( CONTROL!$C$36, 13.2387, 13.2371) * CHOOSE( CONTROL!$C$19, $D$11, 100%, $F$11)</f>
        <v>13.2387</v>
      </c>
      <c r="E455" s="12">
        <f>CHOOSE( CONTROL!$C$36, 13.2322, 13.2306) * CHOOSE( CONTROL!$C$19, $D$11, 100%, $F$11)</f>
        <v>13.232200000000001</v>
      </c>
      <c r="F455" s="4">
        <f>CHOOSE( CONTROL!$C$36, 13.9491, 13.9475) * CHOOSE(CONTROL!$C$19, $D$11, 100%, $F$11)</f>
        <v>13.9491</v>
      </c>
      <c r="G455" s="8">
        <f>CHOOSE( CONTROL!$C$36, 13.0842, 13.0826) * CHOOSE( CONTROL!$C$19, $D$11, 100%, $F$11)</f>
        <v>13.084199999999999</v>
      </c>
      <c r="H455" s="4">
        <f>CHOOSE( CONTROL!$C$36, 14.0284, 14.0267) * CHOOSE(CONTROL!$C$19, $D$11, 100%, $F$11)</f>
        <v>14.0284</v>
      </c>
      <c r="I455" s="8">
        <f>CHOOSE( CONTROL!$C$36, 12.9502, 12.9486) * CHOOSE(CONTROL!$C$19, $D$11, 100%, $F$11)</f>
        <v>12.950200000000001</v>
      </c>
      <c r="J455" s="4">
        <f>CHOOSE( CONTROL!$C$36, 12.8117, 12.8101) * CHOOSE(CONTROL!$C$19, $D$11, 100%, $F$11)</f>
        <v>12.8117</v>
      </c>
      <c r="K455" s="4"/>
      <c r="L455" s="9">
        <v>30.7165</v>
      </c>
      <c r="M455" s="9">
        <v>12.063700000000001</v>
      </c>
      <c r="N455" s="9">
        <v>4.9444999999999997</v>
      </c>
      <c r="O455" s="9">
        <v>0.37409999999999999</v>
      </c>
      <c r="P455" s="9">
        <v>1.2927</v>
      </c>
      <c r="Q455" s="9">
        <v>20.071300000000001</v>
      </c>
      <c r="R455" s="9"/>
      <c r="S455" s="11"/>
    </row>
    <row r="456" spans="1:19" ht="15.75">
      <c r="A456" s="13">
        <v>55031</v>
      </c>
      <c r="B456" s="8">
        <f>CHOOSE( CONTROL!$C$36, 12.1949, 12.1932) * CHOOSE(CONTROL!$C$19, $D$11, 100%, $F$11)</f>
        <v>12.194900000000001</v>
      </c>
      <c r="C456" s="8">
        <f>CHOOSE( CONTROL!$C$36, 12.2029, 12.2012) * CHOOSE(CONTROL!$C$19, $D$11, 100%, $F$11)</f>
        <v>12.2029</v>
      </c>
      <c r="D456" s="8">
        <f>CHOOSE( CONTROL!$C$36, 12.2176, 12.2159) * CHOOSE( CONTROL!$C$19, $D$11, 100%, $F$11)</f>
        <v>12.217599999999999</v>
      </c>
      <c r="E456" s="12">
        <f>CHOOSE( CONTROL!$C$36, 12.2111, 12.2094) * CHOOSE( CONTROL!$C$19, $D$11, 100%, $F$11)</f>
        <v>12.2111</v>
      </c>
      <c r="F456" s="4">
        <f>CHOOSE( CONTROL!$C$36, 12.9279, 12.9262) * CHOOSE(CONTROL!$C$19, $D$11, 100%, $F$11)</f>
        <v>12.927899999999999</v>
      </c>
      <c r="G456" s="8">
        <f>CHOOSE( CONTROL!$C$36, 12.0773, 12.0757) * CHOOSE( CONTROL!$C$19, $D$11, 100%, $F$11)</f>
        <v>12.077299999999999</v>
      </c>
      <c r="H456" s="4">
        <f>CHOOSE( CONTROL!$C$36, 13.0214, 13.0198) * CHOOSE(CONTROL!$C$19, $D$11, 100%, $F$11)</f>
        <v>13.0214</v>
      </c>
      <c r="I456" s="8">
        <f>CHOOSE( CONTROL!$C$36, 11.961, 11.9594) * CHOOSE(CONTROL!$C$19, $D$11, 100%, $F$11)</f>
        <v>11.961</v>
      </c>
      <c r="J456" s="4">
        <f>CHOOSE( CONTROL!$C$36, 11.8229, 11.8213) * CHOOSE(CONTROL!$C$19, $D$11, 100%, $F$11)</f>
        <v>11.822900000000001</v>
      </c>
      <c r="K456" s="4"/>
      <c r="L456" s="9">
        <v>30.7165</v>
      </c>
      <c r="M456" s="9">
        <v>12.063700000000001</v>
      </c>
      <c r="N456" s="9">
        <v>4.9444999999999997</v>
      </c>
      <c r="O456" s="9">
        <v>0.37409999999999999</v>
      </c>
      <c r="P456" s="9">
        <v>1.2927</v>
      </c>
      <c r="Q456" s="9">
        <v>20.071300000000001</v>
      </c>
      <c r="R456" s="9"/>
      <c r="S456" s="11"/>
    </row>
    <row r="457" spans="1:19" ht="15.75">
      <c r="A457" s="13">
        <v>55061</v>
      </c>
      <c r="B457" s="8">
        <f>CHOOSE( CONTROL!$C$36, 11.9391, 11.9375) * CHOOSE(CONTROL!$C$19, $D$11, 100%, $F$11)</f>
        <v>11.9391</v>
      </c>
      <c r="C457" s="8">
        <f>CHOOSE( CONTROL!$C$36, 11.9471, 11.9455) * CHOOSE(CONTROL!$C$19, $D$11, 100%, $F$11)</f>
        <v>11.947100000000001</v>
      </c>
      <c r="D457" s="8">
        <f>CHOOSE( CONTROL!$C$36, 11.9617, 11.9601) * CHOOSE( CONTROL!$C$19, $D$11, 100%, $F$11)</f>
        <v>11.9617</v>
      </c>
      <c r="E457" s="12">
        <f>CHOOSE( CONTROL!$C$36, 11.9552, 11.9536) * CHOOSE( CONTROL!$C$19, $D$11, 100%, $F$11)</f>
        <v>11.9552</v>
      </c>
      <c r="F457" s="4">
        <f>CHOOSE( CONTROL!$C$36, 12.6722, 12.6705) * CHOOSE(CONTROL!$C$19, $D$11, 100%, $F$11)</f>
        <v>12.6722</v>
      </c>
      <c r="G457" s="8">
        <f>CHOOSE( CONTROL!$C$36, 11.8251, 11.8234) * CHOOSE( CONTROL!$C$19, $D$11, 100%, $F$11)</f>
        <v>11.825100000000001</v>
      </c>
      <c r="H457" s="4">
        <f>CHOOSE( CONTROL!$C$36, 12.7692, 12.7676) * CHOOSE(CONTROL!$C$19, $D$11, 100%, $F$11)</f>
        <v>12.7692</v>
      </c>
      <c r="I457" s="8">
        <f>CHOOSE( CONTROL!$C$36, 11.7129, 11.7113) * CHOOSE(CONTROL!$C$19, $D$11, 100%, $F$11)</f>
        <v>11.712899999999999</v>
      </c>
      <c r="J457" s="4">
        <f>CHOOSE( CONTROL!$C$36, 11.5753, 11.5737) * CHOOSE(CONTROL!$C$19, $D$11, 100%, $F$11)</f>
        <v>11.5753</v>
      </c>
      <c r="K457" s="4"/>
      <c r="L457" s="9">
        <v>29.7257</v>
      </c>
      <c r="M457" s="9">
        <v>11.6745</v>
      </c>
      <c r="N457" s="9">
        <v>4.7850000000000001</v>
      </c>
      <c r="O457" s="9">
        <v>0.36199999999999999</v>
      </c>
      <c r="P457" s="9">
        <v>1.2509999999999999</v>
      </c>
      <c r="Q457" s="9">
        <v>19.4238</v>
      </c>
      <c r="R457" s="9"/>
      <c r="S457" s="11"/>
    </row>
    <row r="458" spans="1:19" ht="15.75">
      <c r="A458" s="13">
        <v>55092</v>
      </c>
      <c r="B458" s="8">
        <f>CHOOSE( CONTROL!$C$36, 12.4678, 12.4667) * CHOOSE(CONTROL!$C$19, $D$11, 100%, $F$11)</f>
        <v>12.4678</v>
      </c>
      <c r="C458" s="8">
        <f>CHOOSE( CONTROL!$C$36, 12.4732, 12.4721) * CHOOSE(CONTROL!$C$19, $D$11, 100%, $F$11)</f>
        <v>12.4732</v>
      </c>
      <c r="D458" s="8">
        <f>CHOOSE( CONTROL!$C$36, 12.4937, 12.4926) * CHOOSE( CONTROL!$C$19, $D$11, 100%, $F$11)</f>
        <v>12.4937</v>
      </c>
      <c r="E458" s="12">
        <f>CHOOSE( CONTROL!$C$36, 12.4864, 12.4853) * CHOOSE( CONTROL!$C$19, $D$11, 100%, $F$11)</f>
        <v>12.4864</v>
      </c>
      <c r="F458" s="4">
        <f>CHOOSE( CONTROL!$C$36, 13.2026, 13.2015) * CHOOSE(CONTROL!$C$19, $D$11, 100%, $F$11)</f>
        <v>13.2026</v>
      </c>
      <c r="G458" s="8">
        <f>CHOOSE( CONTROL!$C$36, 12.3483, 12.3472) * CHOOSE( CONTROL!$C$19, $D$11, 100%, $F$11)</f>
        <v>12.3483</v>
      </c>
      <c r="H458" s="4">
        <f>CHOOSE( CONTROL!$C$36, 13.2922, 13.2912) * CHOOSE(CONTROL!$C$19, $D$11, 100%, $F$11)</f>
        <v>13.292199999999999</v>
      </c>
      <c r="I458" s="8">
        <f>CHOOSE( CONTROL!$C$36, 12.2278, 12.2268) * CHOOSE(CONTROL!$C$19, $D$11, 100%, $F$11)</f>
        <v>12.2278</v>
      </c>
      <c r="J458" s="4">
        <f>CHOOSE( CONTROL!$C$36, 12.0889, 12.0878) * CHOOSE(CONTROL!$C$19, $D$11, 100%, $F$11)</f>
        <v>12.088900000000001</v>
      </c>
      <c r="K458" s="4"/>
      <c r="L458" s="9">
        <v>31.095300000000002</v>
      </c>
      <c r="M458" s="9">
        <v>12.063700000000001</v>
      </c>
      <c r="N458" s="9">
        <v>4.9444999999999997</v>
      </c>
      <c r="O458" s="9">
        <v>0.37409999999999999</v>
      </c>
      <c r="P458" s="9">
        <v>1.2927</v>
      </c>
      <c r="Q458" s="9">
        <v>20.071300000000001</v>
      </c>
      <c r="R458" s="9"/>
      <c r="S458" s="11"/>
    </row>
    <row r="459" spans="1:19" ht="15.75">
      <c r="A459" s="13">
        <v>55122</v>
      </c>
      <c r="B459" s="8">
        <f>CHOOSE( CONTROL!$C$36, 13.4475, 13.4464) * CHOOSE(CONTROL!$C$19, $D$11, 100%, $F$11)</f>
        <v>13.4475</v>
      </c>
      <c r="C459" s="8">
        <f>CHOOSE( CONTROL!$C$36, 13.4526, 13.4515) * CHOOSE(CONTROL!$C$19, $D$11, 100%, $F$11)</f>
        <v>13.4526</v>
      </c>
      <c r="D459" s="8">
        <f>CHOOSE( CONTROL!$C$36, 13.4318, 13.4307) * CHOOSE( CONTROL!$C$19, $D$11, 100%, $F$11)</f>
        <v>13.431800000000001</v>
      </c>
      <c r="E459" s="12">
        <f>CHOOSE( CONTROL!$C$36, 13.4389, 13.4378) * CHOOSE( CONTROL!$C$19, $D$11, 100%, $F$11)</f>
        <v>13.4389</v>
      </c>
      <c r="F459" s="4">
        <f>CHOOSE( CONTROL!$C$36, 14.1067, 14.1057) * CHOOSE(CONTROL!$C$19, $D$11, 100%, $F$11)</f>
        <v>14.1067</v>
      </c>
      <c r="G459" s="8">
        <f>CHOOSE( CONTROL!$C$36, 13.2946, 13.2936) * CHOOSE( CONTROL!$C$19, $D$11, 100%, $F$11)</f>
        <v>13.294600000000001</v>
      </c>
      <c r="H459" s="4">
        <f>CHOOSE( CONTROL!$C$36, 14.1838, 14.1827) * CHOOSE(CONTROL!$C$19, $D$11, 100%, $F$11)</f>
        <v>14.1838</v>
      </c>
      <c r="I459" s="8">
        <f>CHOOSE( CONTROL!$C$36, 13.2264, 13.2254) * CHOOSE(CONTROL!$C$19, $D$11, 100%, $F$11)</f>
        <v>13.2264</v>
      </c>
      <c r="J459" s="4">
        <f>CHOOSE( CONTROL!$C$36, 13.0379, 13.0368) * CHOOSE(CONTROL!$C$19, $D$11, 100%, $F$11)</f>
        <v>13.0379</v>
      </c>
      <c r="K459" s="4"/>
      <c r="L459" s="9">
        <v>28.360600000000002</v>
      </c>
      <c r="M459" s="9">
        <v>11.6745</v>
      </c>
      <c r="N459" s="9">
        <v>4.7850000000000001</v>
      </c>
      <c r="O459" s="9">
        <v>0.36199999999999999</v>
      </c>
      <c r="P459" s="9">
        <v>1.2509999999999999</v>
      </c>
      <c r="Q459" s="9">
        <v>19.4238</v>
      </c>
      <c r="R459" s="9"/>
      <c r="S459" s="11"/>
    </row>
    <row r="460" spans="1:19" ht="15.75">
      <c r="A460" s="13">
        <v>55153</v>
      </c>
      <c r="B460" s="8">
        <f>CHOOSE( CONTROL!$C$36, 13.423, 13.4219) * CHOOSE(CONTROL!$C$19, $D$11, 100%, $F$11)</f>
        <v>13.423</v>
      </c>
      <c r="C460" s="8">
        <f>CHOOSE( CONTROL!$C$36, 13.4281, 13.427) * CHOOSE(CONTROL!$C$19, $D$11, 100%, $F$11)</f>
        <v>13.428100000000001</v>
      </c>
      <c r="D460" s="8">
        <f>CHOOSE( CONTROL!$C$36, 13.4087, 13.4076) * CHOOSE( CONTROL!$C$19, $D$11, 100%, $F$11)</f>
        <v>13.4087</v>
      </c>
      <c r="E460" s="12">
        <f>CHOOSE( CONTROL!$C$36, 13.4153, 13.4142) * CHOOSE( CONTROL!$C$19, $D$11, 100%, $F$11)</f>
        <v>13.4153</v>
      </c>
      <c r="F460" s="4">
        <f>CHOOSE( CONTROL!$C$36, 14.0823, 14.0812) * CHOOSE(CONTROL!$C$19, $D$11, 100%, $F$11)</f>
        <v>14.0823</v>
      </c>
      <c r="G460" s="8">
        <f>CHOOSE( CONTROL!$C$36, 13.2715, 13.2704) * CHOOSE( CONTROL!$C$19, $D$11, 100%, $F$11)</f>
        <v>13.2715</v>
      </c>
      <c r="H460" s="4">
        <f>CHOOSE( CONTROL!$C$36, 14.1596, 14.1586) * CHOOSE(CONTROL!$C$19, $D$11, 100%, $F$11)</f>
        <v>14.159599999999999</v>
      </c>
      <c r="I460" s="8">
        <f>CHOOSE( CONTROL!$C$36, 13.207, 13.2059) * CHOOSE(CONTROL!$C$19, $D$11, 100%, $F$11)</f>
        <v>13.207000000000001</v>
      </c>
      <c r="J460" s="4">
        <f>CHOOSE( CONTROL!$C$36, 13.0142, 13.0131) * CHOOSE(CONTROL!$C$19, $D$11, 100%, $F$11)</f>
        <v>13.014200000000001</v>
      </c>
      <c r="K460" s="4"/>
      <c r="L460" s="9">
        <v>29.306000000000001</v>
      </c>
      <c r="M460" s="9">
        <v>12.063700000000001</v>
      </c>
      <c r="N460" s="9">
        <v>4.9444999999999997</v>
      </c>
      <c r="O460" s="9">
        <v>0.37409999999999999</v>
      </c>
      <c r="P460" s="9">
        <v>1.2927</v>
      </c>
      <c r="Q460" s="9">
        <v>20.071300000000001</v>
      </c>
      <c r="R460" s="9"/>
      <c r="S460" s="11"/>
    </row>
    <row r="461" spans="1:19" ht="15.75">
      <c r="A461" s="13">
        <v>55184</v>
      </c>
      <c r="B461" s="8">
        <f>CHOOSE( CONTROL!$C$36, 13.8194, 13.8183) * CHOOSE(CONTROL!$C$19, $D$11, 100%, $F$11)</f>
        <v>13.8194</v>
      </c>
      <c r="C461" s="8">
        <f>CHOOSE( CONTROL!$C$36, 13.8245, 13.8234) * CHOOSE(CONTROL!$C$19, $D$11, 100%, $F$11)</f>
        <v>13.8245</v>
      </c>
      <c r="D461" s="8">
        <f>CHOOSE( CONTROL!$C$36, 13.8258, 13.8247) * CHOOSE( CONTROL!$C$19, $D$11, 100%, $F$11)</f>
        <v>13.825799999999999</v>
      </c>
      <c r="E461" s="12">
        <f>CHOOSE( CONTROL!$C$36, 13.8248, 13.8237) * CHOOSE( CONTROL!$C$19, $D$11, 100%, $F$11)</f>
        <v>13.8248</v>
      </c>
      <c r="F461" s="4">
        <f>CHOOSE( CONTROL!$C$36, 14.4787, 14.4776) * CHOOSE(CONTROL!$C$19, $D$11, 100%, $F$11)</f>
        <v>14.4787</v>
      </c>
      <c r="G461" s="8">
        <f>CHOOSE( CONTROL!$C$36, 13.6734, 13.6723) * CHOOSE( CONTROL!$C$19, $D$11, 100%, $F$11)</f>
        <v>13.673400000000001</v>
      </c>
      <c r="H461" s="4">
        <f>CHOOSE( CONTROL!$C$36, 14.5505, 14.5494) * CHOOSE(CONTROL!$C$19, $D$11, 100%, $F$11)</f>
        <v>14.5505</v>
      </c>
      <c r="I461" s="8">
        <f>CHOOSE( CONTROL!$C$36, 13.5685, 13.5675) * CHOOSE(CONTROL!$C$19, $D$11, 100%, $F$11)</f>
        <v>13.5685</v>
      </c>
      <c r="J461" s="4">
        <f>CHOOSE( CONTROL!$C$36, 13.398, 13.3969) * CHOOSE(CONTROL!$C$19, $D$11, 100%, $F$11)</f>
        <v>13.398</v>
      </c>
      <c r="K461" s="4"/>
      <c r="L461" s="9">
        <v>29.306000000000001</v>
      </c>
      <c r="M461" s="9">
        <v>12.063700000000001</v>
      </c>
      <c r="N461" s="9">
        <v>4.9444999999999997</v>
      </c>
      <c r="O461" s="9">
        <v>0.37409999999999999</v>
      </c>
      <c r="P461" s="9">
        <v>1.2927</v>
      </c>
      <c r="Q461" s="9">
        <v>20.007999999999999</v>
      </c>
      <c r="R461" s="9"/>
      <c r="S461" s="11"/>
    </row>
    <row r="462" spans="1:19" ht="15.75">
      <c r="A462" s="13">
        <v>55212</v>
      </c>
      <c r="B462" s="8">
        <f>CHOOSE( CONTROL!$C$36, 12.925, 12.9239) * CHOOSE(CONTROL!$C$19, $D$11, 100%, $F$11)</f>
        <v>12.925000000000001</v>
      </c>
      <c r="C462" s="8">
        <f>CHOOSE( CONTROL!$C$36, 12.9301, 12.929) * CHOOSE(CONTROL!$C$19, $D$11, 100%, $F$11)</f>
        <v>12.930099999999999</v>
      </c>
      <c r="D462" s="8">
        <f>CHOOSE( CONTROL!$C$36, 12.9312, 12.9301) * CHOOSE( CONTROL!$C$19, $D$11, 100%, $F$11)</f>
        <v>12.9312</v>
      </c>
      <c r="E462" s="12">
        <f>CHOOSE( CONTROL!$C$36, 12.9303, 12.9292) * CHOOSE( CONTROL!$C$19, $D$11, 100%, $F$11)</f>
        <v>12.930300000000001</v>
      </c>
      <c r="F462" s="4">
        <f>CHOOSE( CONTROL!$C$36, 13.5842, 13.5831) * CHOOSE(CONTROL!$C$19, $D$11, 100%, $F$11)</f>
        <v>13.584199999999999</v>
      </c>
      <c r="G462" s="8">
        <f>CHOOSE( CONTROL!$C$36, 12.7913, 12.7903) * CHOOSE( CONTROL!$C$19, $D$11, 100%, $F$11)</f>
        <v>12.7913</v>
      </c>
      <c r="H462" s="4">
        <f>CHOOSE( CONTROL!$C$36, 13.6686, 13.6675) * CHOOSE(CONTROL!$C$19, $D$11, 100%, $F$11)</f>
        <v>13.6686</v>
      </c>
      <c r="I462" s="8">
        <f>CHOOSE( CONTROL!$C$36, 12.7016, 12.7005) * CHOOSE(CONTROL!$C$19, $D$11, 100%, $F$11)</f>
        <v>12.701599999999999</v>
      </c>
      <c r="J462" s="4">
        <f>CHOOSE( CONTROL!$C$36, 12.5319, 12.5309) * CHOOSE(CONTROL!$C$19, $D$11, 100%, $F$11)</f>
        <v>12.5319</v>
      </c>
      <c r="K462" s="4"/>
      <c r="L462" s="9">
        <v>26.469899999999999</v>
      </c>
      <c r="M462" s="9">
        <v>10.8962</v>
      </c>
      <c r="N462" s="9">
        <v>4.4660000000000002</v>
      </c>
      <c r="O462" s="9">
        <v>0.33789999999999998</v>
      </c>
      <c r="P462" s="9">
        <v>1.1676</v>
      </c>
      <c r="Q462" s="9">
        <v>18.0718</v>
      </c>
      <c r="R462" s="9"/>
      <c r="S462" s="11"/>
    </row>
    <row r="463" spans="1:19" ht="15.75">
      <c r="A463" s="13">
        <v>55243</v>
      </c>
      <c r="B463" s="8">
        <f>CHOOSE( CONTROL!$C$36, 12.6495, 12.6484) * CHOOSE(CONTROL!$C$19, $D$11, 100%, $F$11)</f>
        <v>12.6495</v>
      </c>
      <c r="C463" s="8">
        <f>CHOOSE( CONTROL!$C$36, 12.6546, 12.6535) * CHOOSE(CONTROL!$C$19, $D$11, 100%, $F$11)</f>
        <v>12.6546</v>
      </c>
      <c r="D463" s="8">
        <f>CHOOSE( CONTROL!$C$36, 12.6551, 12.654) * CHOOSE( CONTROL!$C$19, $D$11, 100%, $F$11)</f>
        <v>12.655099999999999</v>
      </c>
      <c r="E463" s="12">
        <f>CHOOSE( CONTROL!$C$36, 12.6544, 12.6533) * CHOOSE( CONTROL!$C$19, $D$11, 100%, $F$11)</f>
        <v>12.654400000000001</v>
      </c>
      <c r="F463" s="4">
        <f>CHOOSE( CONTROL!$C$36, 13.3087, 13.3077) * CHOOSE(CONTROL!$C$19, $D$11, 100%, $F$11)</f>
        <v>13.3087</v>
      </c>
      <c r="G463" s="8">
        <f>CHOOSE( CONTROL!$C$36, 12.5192, 12.5182) * CHOOSE( CONTROL!$C$19, $D$11, 100%, $F$11)</f>
        <v>12.5192</v>
      </c>
      <c r="H463" s="4">
        <f>CHOOSE( CONTROL!$C$36, 13.3969, 13.3958) * CHOOSE(CONTROL!$C$19, $D$11, 100%, $F$11)</f>
        <v>13.3969</v>
      </c>
      <c r="I463" s="8">
        <f>CHOOSE( CONTROL!$C$36, 12.4327, 12.4317) * CHOOSE(CONTROL!$C$19, $D$11, 100%, $F$11)</f>
        <v>12.432700000000001</v>
      </c>
      <c r="J463" s="4">
        <f>CHOOSE( CONTROL!$C$36, 12.2652, 12.2641) * CHOOSE(CONTROL!$C$19, $D$11, 100%, $F$11)</f>
        <v>12.2652</v>
      </c>
      <c r="K463" s="4"/>
      <c r="L463" s="9">
        <v>29.306000000000001</v>
      </c>
      <c r="M463" s="9">
        <v>12.063700000000001</v>
      </c>
      <c r="N463" s="9">
        <v>4.9444999999999997</v>
      </c>
      <c r="O463" s="9">
        <v>0.37409999999999999</v>
      </c>
      <c r="P463" s="9">
        <v>1.2927</v>
      </c>
      <c r="Q463" s="9">
        <v>20.007999999999999</v>
      </c>
      <c r="R463" s="9"/>
      <c r="S463" s="11"/>
    </row>
    <row r="464" spans="1:19" ht="15.75">
      <c r="A464" s="13">
        <v>55273</v>
      </c>
      <c r="B464" s="8">
        <f>CHOOSE( CONTROL!$C$36, 12.8428, 12.8417) * CHOOSE(CONTROL!$C$19, $D$11, 100%, $F$11)</f>
        <v>12.8428</v>
      </c>
      <c r="C464" s="8">
        <f>CHOOSE( CONTROL!$C$36, 12.8473, 12.8462) * CHOOSE(CONTROL!$C$19, $D$11, 100%, $F$11)</f>
        <v>12.847300000000001</v>
      </c>
      <c r="D464" s="8">
        <f>CHOOSE( CONTROL!$C$36, 12.8677, 12.8666) * CHOOSE( CONTROL!$C$19, $D$11, 100%, $F$11)</f>
        <v>12.867699999999999</v>
      </c>
      <c r="E464" s="12">
        <f>CHOOSE( CONTROL!$C$36, 12.8604, 12.8593) * CHOOSE( CONTROL!$C$19, $D$11, 100%, $F$11)</f>
        <v>12.8604</v>
      </c>
      <c r="F464" s="4">
        <f>CHOOSE( CONTROL!$C$36, 13.5771, 13.5761) * CHOOSE(CONTROL!$C$19, $D$11, 100%, $F$11)</f>
        <v>13.5771</v>
      </c>
      <c r="G464" s="8">
        <f>CHOOSE( CONTROL!$C$36, 12.7172, 12.7161) * CHOOSE( CONTROL!$C$19, $D$11, 100%, $F$11)</f>
        <v>12.7172</v>
      </c>
      <c r="H464" s="4">
        <f>CHOOSE( CONTROL!$C$36, 13.6616, 13.6605) * CHOOSE(CONTROL!$C$19, $D$11, 100%, $F$11)</f>
        <v>13.6616</v>
      </c>
      <c r="I464" s="8">
        <f>CHOOSE( CONTROL!$C$36, 12.5887, 12.5877) * CHOOSE(CONTROL!$C$19, $D$11, 100%, $F$11)</f>
        <v>12.588699999999999</v>
      </c>
      <c r="J464" s="4">
        <f>CHOOSE( CONTROL!$C$36, 12.4516, 12.4505) * CHOOSE(CONTROL!$C$19, $D$11, 100%, $F$11)</f>
        <v>12.451599999999999</v>
      </c>
      <c r="K464" s="4"/>
      <c r="L464" s="9">
        <v>30.092199999999998</v>
      </c>
      <c r="M464" s="9">
        <v>11.6745</v>
      </c>
      <c r="N464" s="9">
        <v>4.7850000000000001</v>
      </c>
      <c r="O464" s="9">
        <v>0.36199999999999999</v>
      </c>
      <c r="P464" s="9">
        <v>1.2509999999999999</v>
      </c>
      <c r="Q464" s="9">
        <v>19.3626</v>
      </c>
      <c r="R464" s="9"/>
      <c r="S464" s="11"/>
    </row>
    <row r="465" spans="1:19" ht="15.75">
      <c r="A465" s="13">
        <v>55304</v>
      </c>
      <c r="B465" s="8">
        <f>CHOOSE( CONTROL!$C$36, 13.1873, 13.1856) * CHOOSE(CONTROL!$C$19, $D$11, 100%, $F$11)</f>
        <v>13.1873</v>
      </c>
      <c r="C465" s="8">
        <f>CHOOSE( CONTROL!$C$36, 13.1953, 13.1936) * CHOOSE(CONTROL!$C$19, $D$11, 100%, $F$11)</f>
        <v>13.1953</v>
      </c>
      <c r="D465" s="8">
        <f>CHOOSE( CONTROL!$C$36, 13.2095, 13.2078) * CHOOSE( CONTROL!$C$19, $D$11, 100%, $F$11)</f>
        <v>13.2095</v>
      </c>
      <c r="E465" s="12">
        <f>CHOOSE( CONTROL!$C$36, 13.2031, 13.2014) * CHOOSE( CONTROL!$C$19, $D$11, 100%, $F$11)</f>
        <v>13.203099999999999</v>
      </c>
      <c r="F465" s="4">
        <f>CHOOSE( CONTROL!$C$36, 13.9203, 13.9187) * CHOOSE(CONTROL!$C$19, $D$11, 100%, $F$11)</f>
        <v>13.920299999999999</v>
      </c>
      <c r="G465" s="8">
        <f>CHOOSE( CONTROL!$C$36, 13.0555, 13.0539) * CHOOSE( CONTROL!$C$19, $D$11, 100%, $F$11)</f>
        <v>13.0555</v>
      </c>
      <c r="H465" s="4">
        <f>CHOOSE( CONTROL!$C$36, 14, 13.9983) * CHOOSE(CONTROL!$C$19, $D$11, 100%, $F$11)</f>
        <v>14</v>
      </c>
      <c r="I465" s="8">
        <f>CHOOSE( CONTROL!$C$36, 12.9208, 12.9192) * CHOOSE(CONTROL!$C$19, $D$11, 100%, $F$11)</f>
        <v>12.9208</v>
      </c>
      <c r="J465" s="4">
        <f>CHOOSE( CONTROL!$C$36, 12.7839, 12.7823) * CHOOSE(CONTROL!$C$19, $D$11, 100%, $F$11)</f>
        <v>12.783899999999999</v>
      </c>
      <c r="K465" s="4"/>
      <c r="L465" s="9">
        <v>30.7165</v>
      </c>
      <c r="M465" s="9">
        <v>12.063700000000001</v>
      </c>
      <c r="N465" s="9">
        <v>4.9444999999999997</v>
      </c>
      <c r="O465" s="9">
        <v>0.37409999999999999</v>
      </c>
      <c r="P465" s="9">
        <v>1.2927</v>
      </c>
      <c r="Q465" s="9">
        <v>20.007999999999999</v>
      </c>
      <c r="R465" s="9"/>
      <c r="S465" s="11"/>
    </row>
    <row r="466" spans="1:19" ht="15.75">
      <c r="A466" s="13">
        <v>55334</v>
      </c>
      <c r="B466" s="8">
        <f>CHOOSE( CONTROL!$C$36, 12.9751, 12.9734) * CHOOSE(CONTROL!$C$19, $D$11, 100%, $F$11)</f>
        <v>12.975099999999999</v>
      </c>
      <c r="C466" s="8">
        <f>CHOOSE( CONTROL!$C$36, 12.9831, 12.9814) * CHOOSE(CONTROL!$C$19, $D$11, 100%, $F$11)</f>
        <v>12.9831</v>
      </c>
      <c r="D466" s="8">
        <f>CHOOSE( CONTROL!$C$36, 12.9975, 12.9958) * CHOOSE( CONTROL!$C$19, $D$11, 100%, $F$11)</f>
        <v>12.9975</v>
      </c>
      <c r="E466" s="12">
        <f>CHOOSE( CONTROL!$C$36, 12.9911, 12.9894) * CHOOSE( CONTROL!$C$19, $D$11, 100%, $F$11)</f>
        <v>12.991099999999999</v>
      </c>
      <c r="F466" s="4">
        <f>CHOOSE( CONTROL!$C$36, 13.7081, 13.7064) * CHOOSE(CONTROL!$C$19, $D$11, 100%, $F$11)</f>
        <v>13.7081</v>
      </c>
      <c r="G466" s="8">
        <f>CHOOSE( CONTROL!$C$36, 12.8464, 12.8447) * CHOOSE( CONTROL!$C$19, $D$11, 100%, $F$11)</f>
        <v>12.846399999999999</v>
      </c>
      <c r="H466" s="4">
        <f>CHOOSE( CONTROL!$C$36, 13.7907, 13.7891) * CHOOSE(CONTROL!$C$19, $D$11, 100%, $F$11)</f>
        <v>13.790699999999999</v>
      </c>
      <c r="I466" s="8">
        <f>CHOOSE( CONTROL!$C$36, 12.7158, 12.7142) * CHOOSE(CONTROL!$C$19, $D$11, 100%, $F$11)</f>
        <v>12.7158</v>
      </c>
      <c r="J466" s="4">
        <f>CHOOSE( CONTROL!$C$36, 12.5784, 12.5767) * CHOOSE(CONTROL!$C$19, $D$11, 100%, $F$11)</f>
        <v>12.5784</v>
      </c>
      <c r="K466" s="4"/>
      <c r="L466" s="9">
        <v>29.7257</v>
      </c>
      <c r="M466" s="9">
        <v>11.6745</v>
      </c>
      <c r="N466" s="9">
        <v>4.7850000000000001</v>
      </c>
      <c r="O466" s="9">
        <v>0.36199999999999999</v>
      </c>
      <c r="P466" s="9">
        <v>1.2509999999999999</v>
      </c>
      <c r="Q466" s="9">
        <v>19.3626</v>
      </c>
      <c r="R466" s="9"/>
      <c r="S466" s="11"/>
    </row>
    <row r="467" spans="1:19" ht="15.75">
      <c r="A467" s="13">
        <v>55365</v>
      </c>
      <c r="B467" s="8">
        <f>CHOOSE( CONTROL!$C$36, 13.534, 13.5323) * CHOOSE(CONTROL!$C$19, $D$11, 100%, $F$11)</f>
        <v>13.534000000000001</v>
      </c>
      <c r="C467" s="8">
        <f>CHOOSE( CONTROL!$C$36, 13.542, 13.5403) * CHOOSE(CONTROL!$C$19, $D$11, 100%, $F$11)</f>
        <v>13.542</v>
      </c>
      <c r="D467" s="8">
        <f>CHOOSE( CONTROL!$C$36, 13.5566, 13.5549) * CHOOSE( CONTROL!$C$19, $D$11, 100%, $F$11)</f>
        <v>13.5566</v>
      </c>
      <c r="E467" s="12">
        <f>CHOOSE( CONTROL!$C$36, 13.5501, 13.5484) * CHOOSE( CONTROL!$C$19, $D$11, 100%, $F$11)</f>
        <v>13.5501</v>
      </c>
      <c r="F467" s="4">
        <f>CHOOSE( CONTROL!$C$36, 14.267, 14.2653) * CHOOSE(CONTROL!$C$19, $D$11, 100%, $F$11)</f>
        <v>14.266999999999999</v>
      </c>
      <c r="G467" s="8">
        <f>CHOOSE( CONTROL!$C$36, 13.3977, 13.396) * CHOOSE( CONTROL!$C$19, $D$11, 100%, $F$11)</f>
        <v>13.3977</v>
      </c>
      <c r="H467" s="4">
        <f>CHOOSE( CONTROL!$C$36, 14.3418, 14.3402) * CHOOSE(CONTROL!$C$19, $D$11, 100%, $F$11)</f>
        <v>14.341799999999999</v>
      </c>
      <c r="I467" s="8">
        <f>CHOOSE( CONTROL!$C$36, 13.2581, 13.2565) * CHOOSE(CONTROL!$C$19, $D$11, 100%, $F$11)</f>
        <v>13.258100000000001</v>
      </c>
      <c r="J467" s="4">
        <f>CHOOSE( CONTROL!$C$36, 13.1195, 13.1179) * CHOOSE(CONTROL!$C$19, $D$11, 100%, $F$11)</f>
        <v>13.1195</v>
      </c>
      <c r="K467" s="4"/>
      <c r="L467" s="9">
        <v>30.7165</v>
      </c>
      <c r="M467" s="9">
        <v>12.063700000000001</v>
      </c>
      <c r="N467" s="9">
        <v>4.9444999999999997</v>
      </c>
      <c r="O467" s="9">
        <v>0.37409999999999999</v>
      </c>
      <c r="P467" s="9">
        <v>1.2927</v>
      </c>
      <c r="Q467" s="9">
        <v>20.007999999999999</v>
      </c>
      <c r="R467" s="9"/>
      <c r="S467" s="11"/>
    </row>
    <row r="468" spans="1:19" ht="15.75">
      <c r="A468" s="13">
        <v>55396</v>
      </c>
      <c r="B468" s="8">
        <f>CHOOSE( CONTROL!$C$36, 12.4882, 12.4865) * CHOOSE(CONTROL!$C$19, $D$11, 100%, $F$11)</f>
        <v>12.488200000000001</v>
      </c>
      <c r="C468" s="8">
        <f>CHOOSE( CONTROL!$C$36, 12.4962, 12.4945) * CHOOSE(CONTROL!$C$19, $D$11, 100%, $F$11)</f>
        <v>12.4962</v>
      </c>
      <c r="D468" s="8">
        <f>CHOOSE( CONTROL!$C$36, 12.5109, 12.5092) * CHOOSE( CONTROL!$C$19, $D$11, 100%, $F$11)</f>
        <v>12.510899999999999</v>
      </c>
      <c r="E468" s="12">
        <f>CHOOSE( CONTROL!$C$36, 12.5044, 12.5027) * CHOOSE( CONTROL!$C$19, $D$11, 100%, $F$11)</f>
        <v>12.5044</v>
      </c>
      <c r="F468" s="4">
        <f>CHOOSE( CONTROL!$C$36, 13.2212, 13.2196) * CHOOSE(CONTROL!$C$19, $D$11, 100%, $F$11)</f>
        <v>13.2212</v>
      </c>
      <c r="G468" s="8">
        <f>CHOOSE( CONTROL!$C$36, 12.3666, 12.3649) * CHOOSE( CONTROL!$C$19, $D$11, 100%, $F$11)</f>
        <v>12.3666</v>
      </c>
      <c r="H468" s="4">
        <f>CHOOSE( CONTROL!$C$36, 13.3106, 13.309) * CHOOSE(CONTROL!$C$19, $D$11, 100%, $F$11)</f>
        <v>13.310600000000001</v>
      </c>
      <c r="I468" s="8">
        <f>CHOOSE( CONTROL!$C$36, 12.2452, 12.2436) * CHOOSE(CONTROL!$C$19, $D$11, 100%, $F$11)</f>
        <v>12.245200000000001</v>
      </c>
      <c r="J468" s="4">
        <f>CHOOSE( CONTROL!$C$36, 12.1069, 12.1053) * CHOOSE(CONTROL!$C$19, $D$11, 100%, $F$11)</f>
        <v>12.1069</v>
      </c>
      <c r="K468" s="4"/>
      <c r="L468" s="9">
        <v>30.7165</v>
      </c>
      <c r="M468" s="9">
        <v>12.063700000000001</v>
      </c>
      <c r="N468" s="9">
        <v>4.9444999999999997</v>
      </c>
      <c r="O468" s="9">
        <v>0.37409999999999999</v>
      </c>
      <c r="P468" s="9">
        <v>1.2927</v>
      </c>
      <c r="Q468" s="9">
        <v>20.007999999999999</v>
      </c>
      <c r="R468" s="9"/>
      <c r="S468" s="11"/>
    </row>
    <row r="469" spans="1:19" ht="15.75">
      <c r="A469" s="13">
        <v>55426</v>
      </c>
      <c r="B469" s="8">
        <f>CHOOSE( CONTROL!$C$36, 12.2263, 12.2247) * CHOOSE(CONTROL!$C$19, $D$11, 100%, $F$11)</f>
        <v>12.2263</v>
      </c>
      <c r="C469" s="8">
        <f>CHOOSE( CONTROL!$C$36, 12.2343, 12.2327) * CHOOSE(CONTROL!$C$19, $D$11, 100%, $F$11)</f>
        <v>12.234299999999999</v>
      </c>
      <c r="D469" s="8">
        <f>CHOOSE( CONTROL!$C$36, 12.2489, 12.2473) * CHOOSE( CONTROL!$C$19, $D$11, 100%, $F$11)</f>
        <v>12.248900000000001</v>
      </c>
      <c r="E469" s="12">
        <f>CHOOSE( CONTROL!$C$36, 12.2424, 12.2408) * CHOOSE( CONTROL!$C$19, $D$11, 100%, $F$11)</f>
        <v>12.2424</v>
      </c>
      <c r="F469" s="4">
        <f>CHOOSE( CONTROL!$C$36, 12.9594, 12.9577) * CHOOSE(CONTROL!$C$19, $D$11, 100%, $F$11)</f>
        <v>12.9594</v>
      </c>
      <c r="G469" s="8">
        <f>CHOOSE( CONTROL!$C$36, 12.1083, 12.1066) * CHOOSE( CONTROL!$C$19, $D$11, 100%, $F$11)</f>
        <v>12.1083</v>
      </c>
      <c r="H469" s="4">
        <f>CHOOSE( CONTROL!$C$36, 13.0524, 13.0508) * CHOOSE(CONTROL!$C$19, $D$11, 100%, $F$11)</f>
        <v>13.0524</v>
      </c>
      <c r="I469" s="8">
        <f>CHOOSE( CONTROL!$C$36, 11.9912, 11.9896) * CHOOSE(CONTROL!$C$19, $D$11, 100%, $F$11)</f>
        <v>11.991199999999999</v>
      </c>
      <c r="J469" s="4">
        <f>CHOOSE( CONTROL!$C$36, 11.8534, 11.8518) * CHOOSE(CONTROL!$C$19, $D$11, 100%, $F$11)</f>
        <v>11.853400000000001</v>
      </c>
      <c r="K469" s="4"/>
      <c r="L469" s="9">
        <v>29.7257</v>
      </c>
      <c r="M469" s="9">
        <v>11.6745</v>
      </c>
      <c r="N469" s="9">
        <v>4.7850000000000001</v>
      </c>
      <c r="O469" s="9">
        <v>0.36199999999999999</v>
      </c>
      <c r="P469" s="9">
        <v>1.2509999999999999</v>
      </c>
      <c r="Q469" s="9">
        <v>19.3626</v>
      </c>
      <c r="R469" s="9"/>
      <c r="S469" s="11"/>
    </row>
    <row r="470" spans="1:19" ht="15.75">
      <c r="A470" s="13">
        <v>55457</v>
      </c>
      <c r="B470" s="8">
        <f>CHOOSE( CONTROL!$C$36, 12.7678, 12.7667) * CHOOSE(CONTROL!$C$19, $D$11, 100%, $F$11)</f>
        <v>12.767799999999999</v>
      </c>
      <c r="C470" s="8">
        <f>CHOOSE( CONTROL!$C$36, 12.7731, 12.772) * CHOOSE(CONTROL!$C$19, $D$11, 100%, $F$11)</f>
        <v>12.773099999999999</v>
      </c>
      <c r="D470" s="8">
        <f>CHOOSE( CONTROL!$C$36, 12.7936, 12.7925) * CHOOSE( CONTROL!$C$19, $D$11, 100%, $F$11)</f>
        <v>12.7936</v>
      </c>
      <c r="E470" s="12">
        <f>CHOOSE( CONTROL!$C$36, 12.7863, 12.7852) * CHOOSE( CONTROL!$C$19, $D$11, 100%, $F$11)</f>
        <v>12.786300000000001</v>
      </c>
      <c r="F470" s="4">
        <f>CHOOSE( CONTROL!$C$36, 13.5025, 13.5014) * CHOOSE(CONTROL!$C$19, $D$11, 100%, $F$11)</f>
        <v>13.5025</v>
      </c>
      <c r="G470" s="8">
        <f>CHOOSE( CONTROL!$C$36, 12.644, 12.643) * CHOOSE( CONTROL!$C$19, $D$11, 100%, $F$11)</f>
        <v>12.644</v>
      </c>
      <c r="H470" s="4">
        <f>CHOOSE( CONTROL!$C$36, 13.588, 13.5869) * CHOOSE(CONTROL!$C$19, $D$11, 100%, $F$11)</f>
        <v>13.587999999999999</v>
      </c>
      <c r="I470" s="8">
        <f>CHOOSE( CONTROL!$C$36, 12.5184, 12.5174) * CHOOSE(CONTROL!$C$19, $D$11, 100%, $F$11)</f>
        <v>12.5184</v>
      </c>
      <c r="J470" s="4">
        <f>CHOOSE( CONTROL!$C$36, 12.3793, 12.3782) * CHOOSE(CONTROL!$C$19, $D$11, 100%, $F$11)</f>
        <v>12.379300000000001</v>
      </c>
      <c r="K470" s="4"/>
      <c r="L470" s="9">
        <v>31.095300000000002</v>
      </c>
      <c r="M470" s="9">
        <v>12.063700000000001</v>
      </c>
      <c r="N470" s="9">
        <v>4.9444999999999997</v>
      </c>
      <c r="O470" s="9">
        <v>0.37409999999999999</v>
      </c>
      <c r="P470" s="9">
        <v>1.2927</v>
      </c>
      <c r="Q470" s="9">
        <v>20.007999999999999</v>
      </c>
      <c r="R470" s="9"/>
      <c r="S470" s="11"/>
    </row>
    <row r="471" spans="1:19" ht="15.75">
      <c r="A471" s="13">
        <v>55487</v>
      </c>
      <c r="B471" s="8">
        <f>CHOOSE( CONTROL!$C$36, 13.771, 13.7699) * CHOOSE(CONTROL!$C$19, $D$11, 100%, $F$11)</f>
        <v>13.771000000000001</v>
      </c>
      <c r="C471" s="8">
        <f>CHOOSE( CONTROL!$C$36, 13.7761, 13.775) * CHOOSE(CONTROL!$C$19, $D$11, 100%, $F$11)</f>
        <v>13.7761</v>
      </c>
      <c r="D471" s="8">
        <f>CHOOSE( CONTROL!$C$36, 13.7553, 13.7542) * CHOOSE( CONTROL!$C$19, $D$11, 100%, $F$11)</f>
        <v>13.7553</v>
      </c>
      <c r="E471" s="12">
        <f>CHOOSE( CONTROL!$C$36, 13.7624, 13.7613) * CHOOSE( CONTROL!$C$19, $D$11, 100%, $F$11)</f>
        <v>13.7624</v>
      </c>
      <c r="F471" s="4">
        <f>CHOOSE( CONTROL!$C$36, 14.4302, 14.4292) * CHOOSE(CONTROL!$C$19, $D$11, 100%, $F$11)</f>
        <v>14.430199999999999</v>
      </c>
      <c r="G471" s="8">
        <f>CHOOSE( CONTROL!$C$36, 13.6136, 13.6125) * CHOOSE( CONTROL!$C$19, $D$11, 100%, $F$11)</f>
        <v>13.6136</v>
      </c>
      <c r="H471" s="4">
        <f>CHOOSE( CONTROL!$C$36, 14.5028, 14.5017) * CHOOSE(CONTROL!$C$19, $D$11, 100%, $F$11)</f>
        <v>14.502800000000001</v>
      </c>
      <c r="I471" s="8">
        <f>CHOOSE( CONTROL!$C$36, 13.5398, 13.5388) * CHOOSE(CONTROL!$C$19, $D$11, 100%, $F$11)</f>
        <v>13.5398</v>
      </c>
      <c r="J471" s="4">
        <f>CHOOSE( CONTROL!$C$36, 13.3511, 13.3501) * CHOOSE(CONTROL!$C$19, $D$11, 100%, $F$11)</f>
        <v>13.351100000000001</v>
      </c>
      <c r="K471" s="4"/>
      <c r="L471" s="9">
        <v>28.360600000000002</v>
      </c>
      <c r="M471" s="9">
        <v>11.6745</v>
      </c>
      <c r="N471" s="9">
        <v>4.7850000000000001</v>
      </c>
      <c r="O471" s="9">
        <v>0.36199999999999999</v>
      </c>
      <c r="P471" s="9">
        <v>1.2509999999999999</v>
      </c>
      <c r="Q471" s="9">
        <v>19.3626</v>
      </c>
      <c r="R471" s="9"/>
      <c r="S471" s="11"/>
    </row>
    <row r="472" spans="1:19" ht="15.75">
      <c r="A472" s="13">
        <v>55518</v>
      </c>
      <c r="B472" s="8">
        <f>CHOOSE( CONTROL!$C$36, 13.7459, 13.7448) * CHOOSE(CONTROL!$C$19, $D$11, 100%, $F$11)</f>
        <v>13.745900000000001</v>
      </c>
      <c r="C472" s="8">
        <f>CHOOSE( CONTROL!$C$36, 13.751, 13.7499) * CHOOSE(CONTROL!$C$19, $D$11, 100%, $F$11)</f>
        <v>13.750999999999999</v>
      </c>
      <c r="D472" s="8">
        <f>CHOOSE( CONTROL!$C$36, 13.7316, 13.7305) * CHOOSE( CONTROL!$C$19, $D$11, 100%, $F$11)</f>
        <v>13.7316</v>
      </c>
      <c r="E472" s="12">
        <f>CHOOSE( CONTROL!$C$36, 13.7382, 13.7371) * CHOOSE( CONTROL!$C$19, $D$11, 100%, $F$11)</f>
        <v>13.738200000000001</v>
      </c>
      <c r="F472" s="4">
        <f>CHOOSE( CONTROL!$C$36, 14.4052, 14.4041) * CHOOSE(CONTROL!$C$19, $D$11, 100%, $F$11)</f>
        <v>14.405200000000001</v>
      </c>
      <c r="G472" s="8">
        <f>CHOOSE( CONTROL!$C$36, 13.5899, 13.5888) * CHOOSE( CONTROL!$C$19, $D$11, 100%, $F$11)</f>
        <v>13.5899</v>
      </c>
      <c r="H472" s="4">
        <f>CHOOSE( CONTROL!$C$36, 14.478, 14.477) * CHOOSE(CONTROL!$C$19, $D$11, 100%, $F$11)</f>
        <v>14.478</v>
      </c>
      <c r="I472" s="8">
        <f>CHOOSE( CONTROL!$C$36, 13.5198, 13.5188) * CHOOSE(CONTROL!$C$19, $D$11, 100%, $F$11)</f>
        <v>13.5198</v>
      </c>
      <c r="J472" s="4">
        <f>CHOOSE( CONTROL!$C$36, 13.3268, 13.3258) * CHOOSE(CONTROL!$C$19, $D$11, 100%, $F$11)</f>
        <v>13.3268</v>
      </c>
      <c r="K472" s="4"/>
      <c r="L472" s="9">
        <v>29.306000000000001</v>
      </c>
      <c r="M472" s="9">
        <v>12.063700000000001</v>
      </c>
      <c r="N472" s="9">
        <v>4.9444999999999997</v>
      </c>
      <c r="O472" s="9">
        <v>0.37409999999999999</v>
      </c>
      <c r="P472" s="9">
        <v>1.2927</v>
      </c>
      <c r="Q472" s="9">
        <v>20.007999999999999</v>
      </c>
      <c r="R472" s="9"/>
      <c r="S472" s="11"/>
    </row>
    <row r="473" spans="1:19" ht="15.75">
      <c r="A473" s="13">
        <v>55549</v>
      </c>
      <c r="B473" s="8">
        <f>CHOOSE( CONTROL!$C$36, 14.1518, 14.1508) * CHOOSE(CONTROL!$C$19, $D$11, 100%, $F$11)</f>
        <v>14.1518</v>
      </c>
      <c r="C473" s="8">
        <f>CHOOSE( CONTROL!$C$36, 14.1569, 14.1559) * CHOOSE(CONTROL!$C$19, $D$11, 100%, $F$11)</f>
        <v>14.1569</v>
      </c>
      <c r="D473" s="8">
        <f>CHOOSE( CONTROL!$C$36, 14.1582, 14.1572) * CHOOSE( CONTROL!$C$19, $D$11, 100%, $F$11)</f>
        <v>14.158200000000001</v>
      </c>
      <c r="E473" s="12">
        <f>CHOOSE( CONTROL!$C$36, 14.1572, 14.1562) * CHOOSE( CONTROL!$C$19, $D$11, 100%, $F$11)</f>
        <v>14.1572</v>
      </c>
      <c r="F473" s="4">
        <f>CHOOSE( CONTROL!$C$36, 14.8111, 14.81) * CHOOSE(CONTROL!$C$19, $D$11, 100%, $F$11)</f>
        <v>14.8111</v>
      </c>
      <c r="G473" s="8">
        <f>CHOOSE( CONTROL!$C$36, 14.0012, 14.0001) * CHOOSE( CONTROL!$C$19, $D$11, 100%, $F$11)</f>
        <v>14.001200000000001</v>
      </c>
      <c r="H473" s="4">
        <f>CHOOSE( CONTROL!$C$36, 14.8783, 14.8772) * CHOOSE(CONTROL!$C$19, $D$11, 100%, $F$11)</f>
        <v>14.878299999999999</v>
      </c>
      <c r="I473" s="8">
        <f>CHOOSE( CONTROL!$C$36, 13.8906, 13.8895) * CHOOSE(CONTROL!$C$19, $D$11, 100%, $F$11)</f>
        <v>13.890599999999999</v>
      </c>
      <c r="J473" s="4">
        <f>CHOOSE( CONTROL!$C$36, 13.7199, 13.7188) * CHOOSE(CONTROL!$C$19, $D$11, 100%, $F$11)</f>
        <v>13.719900000000001</v>
      </c>
      <c r="K473" s="4"/>
      <c r="L473" s="9">
        <v>29.306000000000001</v>
      </c>
      <c r="M473" s="9">
        <v>12.063700000000001</v>
      </c>
      <c r="N473" s="9">
        <v>4.9444999999999997</v>
      </c>
      <c r="O473" s="9">
        <v>0.37409999999999999</v>
      </c>
      <c r="P473" s="9">
        <v>1.2927</v>
      </c>
      <c r="Q473" s="9">
        <v>19.942900000000002</v>
      </c>
      <c r="R473" s="9"/>
      <c r="S473" s="11"/>
    </row>
    <row r="474" spans="1:19" ht="15.75">
      <c r="A474" s="13">
        <v>55577</v>
      </c>
      <c r="B474" s="8">
        <f>CHOOSE( CONTROL!$C$36, 13.2359, 13.2348) * CHOOSE(CONTROL!$C$19, $D$11, 100%, $F$11)</f>
        <v>13.235900000000001</v>
      </c>
      <c r="C474" s="8">
        <f>CHOOSE( CONTROL!$C$36, 13.241, 13.2399) * CHOOSE(CONTROL!$C$19, $D$11, 100%, $F$11)</f>
        <v>13.241</v>
      </c>
      <c r="D474" s="8">
        <f>CHOOSE( CONTROL!$C$36, 13.2422, 13.2411) * CHOOSE( CONTROL!$C$19, $D$11, 100%, $F$11)</f>
        <v>13.2422</v>
      </c>
      <c r="E474" s="12">
        <f>CHOOSE( CONTROL!$C$36, 13.2412, 13.2401) * CHOOSE( CONTROL!$C$19, $D$11, 100%, $F$11)</f>
        <v>13.241199999999999</v>
      </c>
      <c r="F474" s="4">
        <f>CHOOSE( CONTROL!$C$36, 13.8952, 13.8941) * CHOOSE(CONTROL!$C$19, $D$11, 100%, $F$11)</f>
        <v>13.895200000000001</v>
      </c>
      <c r="G474" s="8">
        <f>CHOOSE( CONTROL!$C$36, 13.0979, 13.0969) * CHOOSE( CONTROL!$C$19, $D$11, 100%, $F$11)</f>
        <v>13.097899999999999</v>
      </c>
      <c r="H474" s="4">
        <f>CHOOSE( CONTROL!$C$36, 13.9752, 13.9741) * CHOOSE(CONTROL!$C$19, $D$11, 100%, $F$11)</f>
        <v>13.975199999999999</v>
      </c>
      <c r="I474" s="8">
        <f>CHOOSE( CONTROL!$C$36, 13.0028, 13.0018) * CHOOSE(CONTROL!$C$19, $D$11, 100%, $F$11)</f>
        <v>13.002800000000001</v>
      </c>
      <c r="J474" s="4">
        <f>CHOOSE( CONTROL!$C$36, 12.833, 12.8319) * CHOOSE(CONTROL!$C$19, $D$11, 100%, $F$11)</f>
        <v>12.833</v>
      </c>
      <c r="K474" s="4"/>
      <c r="L474" s="9">
        <v>27.415299999999998</v>
      </c>
      <c r="M474" s="9">
        <v>11.285299999999999</v>
      </c>
      <c r="N474" s="9">
        <v>4.6254999999999997</v>
      </c>
      <c r="O474" s="9">
        <v>0.34989999999999999</v>
      </c>
      <c r="P474" s="9">
        <v>1.2093</v>
      </c>
      <c r="Q474" s="9">
        <v>18.656300000000002</v>
      </c>
      <c r="R474" s="9"/>
      <c r="S474" s="11"/>
    </row>
    <row r="475" spans="1:19" ht="15.75">
      <c r="A475" s="13">
        <v>55609</v>
      </c>
      <c r="B475" s="8">
        <f>CHOOSE( CONTROL!$C$36, 12.9538, 12.9527) * CHOOSE(CONTROL!$C$19, $D$11, 100%, $F$11)</f>
        <v>12.953799999999999</v>
      </c>
      <c r="C475" s="8">
        <f>CHOOSE( CONTROL!$C$36, 12.9589, 12.9578) * CHOOSE(CONTROL!$C$19, $D$11, 100%, $F$11)</f>
        <v>12.9589</v>
      </c>
      <c r="D475" s="8">
        <f>CHOOSE( CONTROL!$C$36, 12.9594, 12.9583) * CHOOSE( CONTROL!$C$19, $D$11, 100%, $F$11)</f>
        <v>12.9594</v>
      </c>
      <c r="E475" s="12">
        <f>CHOOSE( CONTROL!$C$36, 12.9587, 12.9576) * CHOOSE( CONTROL!$C$19, $D$11, 100%, $F$11)</f>
        <v>12.9587</v>
      </c>
      <c r="F475" s="4">
        <f>CHOOSE( CONTROL!$C$36, 13.6131, 13.612) * CHOOSE(CONTROL!$C$19, $D$11, 100%, $F$11)</f>
        <v>13.613099999999999</v>
      </c>
      <c r="G475" s="8">
        <f>CHOOSE( CONTROL!$C$36, 12.8193, 12.8183) * CHOOSE( CONTROL!$C$19, $D$11, 100%, $F$11)</f>
        <v>12.8193</v>
      </c>
      <c r="H475" s="4">
        <f>CHOOSE( CONTROL!$C$36, 13.697, 13.6959) * CHOOSE(CONTROL!$C$19, $D$11, 100%, $F$11)</f>
        <v>13.696999999999999</v>
      </c>
      <c r="I475" s="8">
        <f>CHOOSE( CONTROL!$C$36, 12.7275, 12.7265) * CHOOSE(CONTROL!$C$19, $D$11, 100%, $F$11)</f>
        <v>12.727499999999999</v>
      </c>
      <c r="J475" s="4">
        <f>CHOOSE( CONTROL!$C$36, 12.5598, 12.5588) * CHOOSE(CONTROL!$C$19, $D$11, 100%, $F$11)</f>
        <v>12.559799999999999</v>
      </c>
      <c r="K475" s="4"/>
      <c r="L475" s="9">
        <v>29.306000000000001</v>
      </c>
      <c r="M475" s="9">
        <v>12.063700000000001</v>
      </c>
      <c r="N475" s="9">
        <v>4.9444999999999997</v>
      </c>
      <c r="O475" s="9">
        <v>0.37409999999999999</v>
      </c>
      <c r="P475" s="9">
        <v>1.2927</v>
      </c>
      <c r="Q475" s="9">
        <v>19.942900000000002</v>
      </c>
      <c r="R475" s="9"/>
      <c r="S475" s="11"/>
    </row>
    <row r="476" spans="1:19" ht="15.75">
      <c r="A476" s="13">
        <v>55639</v>
      </c>
      <c r="B476" s="8">
        <f>CHOOSE( CONTROL!$C$36, 13.1517, 13.1506) * CHOOSE(CONTROL!$C$19, $D$11, 100%, $F$11)</f>
        <v>13.1517</v>
      </c>
      <c r="C476" s="8">
        <f>CHOOSE( CONTROL!$C$36, 13.1562, 13.1551) * CHOOSE(CONTROL!$C$19, $D$11, 100%, $F$11)</f>
        <v>13.1562</v>
      </c>
      <c r="D476" s="8">
        <f>CHOOSE( CONTROL!$C$36, 13.1766, 13.1755) * CHOOSE( CONTROL!$C$19, $D$11, 100%, $F$11)</f>
        <v>13.176600000000001</v>
      </c>
      <c r="E476" s="12">
        <f>CHOOSE( CONTROL!$C$36, 13.1693, 13.1682) * CHOOSE( CONTROL!$C$19, $D$11, 100%, $F$11)</f>
        <v>13.1693</v>
      </c>
      <c r="F476" s="4">
        <f>CHOOSE( CONTROL!$C$36, 13.8861, 13.885) * CHOOSE(CONTROL!$C$19, $D$11, 100%, $F$11)</f>
        <v>13.886100000000001</v>
      </c>
      <c r="G476" s="8">
        <f>CHOOSE( CONTROL!$C$36, 13.0218, 13.0207) * CHOOSE( CONTROL!$C$19, $D$11, 100%, $F$11)</f>
        <v>13.021800000000001</v>
      </c>
      <c r="H476" s="4">
        <f>CHOOSE( CONTROL!$C$36, 13.9662, 13.9651) * CHOOSE(CONTROL!$C$19, $D$11, 100%, $F$11)</f>
        <v>13.966200000000001</v>
      </c>
      <c r="I476" s="8">
        <f>CHOOSE( CONTROL!$C$36, 12.888, 12.887) * CHOOSE(CONTROL!$C$19, $D$11, 100%, $F$11)</f>
        <v>12.888</v>
      </c>
      <c r="J476" s="4">
        <f>CHOOSE( CONTROL!$C$36, 12.7507, 12.7497) * CHOOSE(CONTROL!$C$19, $D$11, 100%, $F$11)</f>
        <v>12.7507</v>
      </c>
      <c r="K476" s="4"/>
      <c r="L476" s="9">
        <v>30.092199999999998</v>
      </c>
      <c r="M476" s="9">
        <v>11.6745</v>
      </c>
      <c r="N476" s="9">
        <v>4.7850000000000001</v>
      </c>
      <c r="O476" s="9">
        <v>0.36199999999999999</v>
      </c>
      <c r="P476" s="9">
        <v>1.2509999999999999</v>
      </c>
      <c r="Q476" s="9">
        <v>19.299600000000002</v>
      </c>
      <c r="R476" s="9"/>
      <c r="S476" s="11"/>
    </row>
    <row r="477" spans="1:19" ht="15.75">
      <c r="A477" s="13">
        <v>55670</v>
      </c>
      <c r="B477" s="8">
        <f>CHOOSE( CONTROL!$C$36, 13.5045, 13.5028) * CHOOSE(CONTROL!$C$19, $D$11, 100%, $F$11)</f>
        <v>13.5045</v>
      </c>
      <c r="C477" s="8">
        <f>CHOOSE( CONTROL!$C$36, 13.5125, 13.5108) * CHOOSE(CONTROL!$C$19, $D$11, 100%, $F$11)</f>
        <v>13.512499999999999</v>
      </c>
      <c r="D477" s="8">
        <f>CHOOSE( CONTROL!$C$36, 13.5267, 13.525) * CHOOSE( CONTROL!$C$19, $D$11, 100%, $F$11)</f>
        <v>13.5267</v>
      </c>
      <c r="E477" s="12">
        <f>CHOOSE( CONTROL!$C$36, 13.5203, 13.5186) * CHOOSE( CONTROL!$C$19, $D$11, 100%, $F$11)</f>
        <v>13.520300000000001</v>
      </c>
      <c r="F477" s="4">
        <f>CHOOSE( CONTROL!$C$36, 14.2375, 14.2359) * CHOOSE(CONTROL!$C$19, $D$11, 100%, $F$11)</f>
        <v>14.237500000000001</v>
      </c>
      <c r="G477" s="8">
        <f>CHOOSE( CONTROL!$C$36, 13.3683, 13.3666) * CHOOSE( CONTROL!$C$19, $D$11, 100%, $F$11)</f>
        <v>13.3683</v>
      </c>
      <c r="H477" s="4">
        <f>CHOOSE( CONTROL!$C$36, 14.3127, 14.3111) * CHOOSE(CONTROL!$C$19, $D$11, 100%, $F$11)</f>
        <v>14.3127</v>
      </c>
      <c r="I477" s="8">
        <f>CHOOSE( CONTROL!$C$36, 13.2281, 13.2265) * CHOOSE(CONTROL!$C$19, $D$11, 100%, $F$11)</f>
        <v>13.2281</v>
      </c>
      <c r="J477" s="4">
        <f>CHOOSE( CONTROL!$C$36, 13.091, 13.0894) * CHOOSE(CONTROL!$C$19, $D$11, 100%, $F$11)</f>
        <v>13.090999999999999</v>
      </c>
      <c r="K477" s="4"/>
      <c r="L477" s="9">
        <v>30.7165</v>
      </c>
      <c r="M477" s="9">
        <v>12.063700000000001</v>
      </c>
      <c r="N477" s="9">
        <v>4.9444999999999997</v>
      </c>
      <c r="O477" s="9">
        <v>0.37409999999999999</v>
      </c>
      <c r="P477" s="9">
        <v>1.2927</v>
      </c>
      <c r="Q477" s="9">
        <v>19.942900000000002</v>
      </c>
      <c r="R477" s="9"/>
      <c r="S477" s="11"/>
    </row>
    <row r="478" spans="1:19" ht="15.75">
      <c r="A478" s="13">
        <v>55700</v>
      </c>
      <c r="B478" s="8">
        <f>CHOOSE( CONTROL!$C$36, 13.2872, 13.2855) * CHOOSE(CONTROL!$C$19, $D$11, 100%, $F$11)</f>
        <v>13.2872</v>
      </c>
      <c r="C478" s="8">
        <f>CHOOSE( CONTROL!$C$36, 13.2951, 13.2935) * CHOOSE(CONTROL!$C$19, $D$11, 100%, $F$11)</f>
        <v>13.2951</v>
      </c>
      <c r="D478" s="8">
        <f>CHOOSE( CONTROL!$C$36, 13.3095, 13.3079) * CHOOSE( CONTROL!$C$19, $D$11, 100%, $F$11)</f>
        <v>13.3095</v>
      </c>
      <c r="E478" s="12">
        <f>CHOOSE( CONTROL!$C$36, 13.3031, 13.3015) * CHOOSE( CONTROL!$C$19, $D$11, 100%, $F$11)</f>
        <v>13.303100000000001</v>
      </c>
      <c r="F478" s="4">
        <f>CHOOSE( CONTROL!$C$36, 14.0202, 14.0185) * CHOOSE(CONTROL!$C$19, $D$11, 100%, $F$11)</f>
        <v>14.020200000000001</v>
      </c>
      <c r="G478" s="8">
        <f>CHOOSE( CONTROL!$C$36, 13.1541, 13.1525) * CHOOSE( CONTROL!$C$19, $D$11, 100%, $F$11)</f>
        <v>13.1541</v>
      </c>
      <c r="H478" s="4">
        <f>CHOOSE( CONTROL!$C$36, 14.0984, 14.0968) * CHOOSE(CONTROL!$C$19, $D$11, 100%, $F$11)</f>
        <v>14.0984</v>
      </c>
      <c r="I478" s="8">
        <f>CHOOSE( CONTROL!$C$36, 13.0182, 13.0166) * CHOOSE(CONTROL!$C$19, $D$11, 100%, $F$11)</f>
        <v>13.0182</v>
      </c>
      <c r="J478" s="4">
        <f>CHOOSE( CONTROL!$C$36, 12.8805, 12.8789) * CHOOSE(CONTROL!$C$19, $D$11, 100%, $F$11)</f>
        <v>12.8805</v>
      </c>
      <c r="K478" s="4"/>
      <c r="L478" s="9">
        <v>29.7257</v>
      </c>
      <c r="M478" s="9">
        <v>11.6745</v>
      </c>
      <c r="N478" s="9">
        <v>4.7850000000000001</v>
      </c>
      <c r="O478" s="9">
        <v>0.36199999999999999</v>
      </c>
      <c r="P478" s="9">
        <v>1.2509999999999999</v>
      </c>
      <c r="Q478" s="9">
        <v>19.299600000000002</v>
      </c>
      <c r="R478" s="9"/>
      <c r="S478" s="11"/>
    </row>
    <row r="479" spans="1:19" ht="15.75">
      <c r="A479" s="13">
        <v>55731</v>
      </c>
      <c r="B479" s="8">
        <f>CHOOSE( CONTROL!$C$36, 13.8595, 13.8578) * CHOOSE(CONTROL!$C$19, $D$11, 100%, $F$11)</f>
        <v>13.859500000000001</v>
      </c>
      <c r="C479" s="8">
        <f>CHOOSE( CONTROL!$C$36, 13.8675, 13.8658) * CHOOSE(CONTROL!$C$19, $D$11, 100%, $F$11)</f>
        <v>13.8675</v>
      </c>
      <c r="D479" s="8">
        <f>CHOOSE( CONTROL!$C$36, 13.8821, 13.8804) * CHOOSE( CONTROL!$C$19, $D$11, 100%, $F$11)</f>
        <v>13.882099999999999</v>
      </c>
      <c r="E479" s="12">
        <f>CHOOSE( CONTROL!$C$36, 13.8756, 13.8739) * CHOOSE( CONTROL!$C$19, $D$11, 100%, $F$11)</f>
        <v>13.8756</v>
      </c>
      <c r="F479" s="4">
        <f>CHOOSE( CONTROL!$C$36, 14.5925, 14.5908) * CHOOSE(CONTROL!$C$19, $D$11, 100%, $F$11)</f>
        <v>14.592499999999999</v>
      </c>
      <c r="G479" s="8">
        <f>CHOOSE( CONTROL!$C$36, 13.7186, 13.717) * CHOOSE( CONTROL!$C$19, $D$11, 100%, $F$11)</f>
        <v>13.7186</v>
      </c>
      <c r="H479" s="4">
        <f>CHOOSE( CONTROL!$C$36, 14.6628, 14.6611) * CHOOSE(CONTROL!$C$19, $D$11, 100%, $F$11)</f>
        <v>14.662800000000001</v>
      </c>
      <c r="I479" s="8">
        <f>CHOOSE( CONTROL!$C$36, 13.5735, 13.5719) * CHOOSE(CONTROL!$C$19, $D$11, 100%, $F$11)</f>
        <v>13.573499999999999</v>
      </c>
      <c r="J479" s="4">
        <f>CHOOSE( CONTROL!$C$36, 13.4347, 13.4331) * CHOOSE(CONTROL!$C$19, $D$11, 100%, $F$11)</f>
        <v>13.434699999999999</v>
      </c>
      <c r="K479" s="4"/>
      <c r="L479" s="9">
        <v>30.7165</v>
      </c>
      <c r="M479" s="9">
        <v>12.063700000000001</v>
      </c>
      <c r="N479" s="9">
        <v>4.9444999999999997</v>
      </c>
      <c r="O479" s="9">
        <v>0.37409999999999999</v>
      </c>
      <c r="P479" s="9">
        <v>1.2927</v>
      </c>
      <c r="Q479" s="9">
        <v>19.942900000000002</v>
      </c>
      <c r="R479" s="9"/>
      <c r="S479" s="11"/>
    </row>
    <row r="480" spans="1:19" ht="15.75">
      <c r="A480" s="13">
        <v>55762</v>
      </c>
      <c r="B480" s="8">
        <f>CHOOSE( CONTROL!$C$36, 12.7886, 12.7869) * CHOOSE(CONTROL!$C$19, $D$11, 100%, $F$11)</f>
        <v>12.788600000000001</v>
      </c>
      <c r="C480" s="8">
        <f>CHOOSE( CONTROL!$C$36, 12.7966, 12.7949) * CHOOSE(CONTROL!$C$19, $D$11, 100%, $F$11)</f>
        <v>12.7966</v>
      </c>
      <c r="D480" s="8">
        <f>CHOOSE( CONTROL!$C$36, 12.8113, 12.8096) * CHOOSE( CONTROL!$C$19, $D$11, 100%, $F$11)</f>
        <v>12.811299999999999</v>
      </c>
      <c r="E480" s="12">
        <f>CHOOSE( CONTROL!$C$36, 12.8048, 12.8031) * CHOOSE( CONTROL!$C$19, $D$11, 100%, $F$11)</f>
        <v>12.8048</v>
      </c>
      <c r="F480" s="4">
        <f>CHOOSE( CONTROL!$C$36, 13.5216, 13.52) * CHOOSE(CONTROL!$C$19, $D$11, 100%, $F$11)</f>
        <v>13.521599999999999</v>
      </c>
      <c r="G480" s="8">
        <f>CHOOSE( CONTROL!$C$36, 12.6627, 12.6611) * CHOOSE( CONTROL!$C$19, $D$11, 100%, $F$11)</f>
        <v>12.662699999999999</v>
      </c>
      <c r="H480" s="4">
        <f>CHOOSE( CONTROL!$C$36, 13.6068, 13.6052) * CHOOSE(CONTROL!$C$19, $D$11, 100%, $F$11)</f>
        <v>13.6068</v>
      </c>
      <c r="I480" s="8">
        <f>CHOOSE( CONTROL!$C$36, 12.5362, 12.5346) * CHOOSE(CONTROL!$C$19, $D$11, 100%, $F$11)</f>
        <v>12.536199999999999</v>
      </c>
      <c r="J480" s="4">
        <f>CHOOSE( CONTROL!$C$36, 12.3978, 12.3962) * CHOOSE(CONTROL!$C$19, $D$11, 100%, $F$11)</f>
        <v>12.3978</v>
      </c>
      <c r="K480" s="4"/>
      <c r="L480" s="9">
        <v>30.7165</v>
      </c>
      <c r="M480" s="9">
        <v>12.063700000000001</v>
      </c>
      <c r="N480" s="9">
        <v>4.9444999999999997</v>
      </c>
      <c r="O480" s="9">
        <v>0.37409999999999999</v>
      </c>
      <c r="P480" s="9">
        <v>1.2927</v>
      </c>
      <c r="Q480" s="9">
        <v>19.942900000000002</v>
      </c>
      <c r="R480" s="9"/>
      <c r="S480" s="11"/>
    </row>
    <row r="481" spans="1:19" ht="15.75">
      <c r="A481" s="13">
        <v>55792</v>
      </c>
      <c r="B481" s="8">
        <f>CHOOSE( CONTROL!$C$36, 12.5204, 12.5188) * CHOOSE(CONTROL!$C$19, $D$11, 100%, $F$11)</f>
        <v>12.5204</v>
      </c>
      <c r="C481" s="8">
        <f>CHOOSE( CONTROL!$C$36, 12.5284, 12.5268) * CHOOSE(CONTROL!$C$19, $D$11, 100%, $F$11)</f>
        <v>12.5284</v>
      </c>
      <c r="D481" s="8">
        <f>CHOOSE( CONTROL!$C$36, 12.543, 12.5414) * CHOOSE( CONTROL!$C$19, $D$11, 100%, $F$11)</f>
        <v>12.542999999999999</v>
      </c>
      <c r="E481" s="12">
        <f>CHOOSE( CONTROL!$C$36, 12.5365, 12.5349) * CHOOSE( CONTROL!$C$19, $D$11, 100%, $F$11)</f>
        <v>12.5365</v>
      </c>
      <c r="F481" s="4">
        <f>CHOOSE( CONTROL!$C$36, 13.2535, 13.2518) * CHOOSE(CONTROL!$C$19, $D$11, 100%, $F$11)</f>
        <v>13.253500000000001</v>
      </c>
      <c r="G481" s="8">
        <f>CHOOSE( CONTROL!$C$36, 12.3982, 12.3966) * CHOOSE( CONTROL!$C$19, $D$11, 100%, $F$11)</f>
        <v>12.398199999999999</v>
      </c>
      <c r="H481" s="4">
        <f>CHOOSE( CONTROL!$C$36, 13.3424, 13.3408) * CHOOSE(CONTROL!$C$19, $D$11, 100%, $F$11)</f>
        <v>13.3424</v>
      </c>
      <c r="I481" s="8">
        <f>CHOOSE( CONTROL!$C$36, 12.2761, 12.2745) * CHOOSE(CONTROL!$C$19, $D$11, 100%, $F$11)</f>
        <v>12.2761</v>
      </c>
      <c r="J481" s="4">
        <f>CHOOSE( CONTROL!$C$36, 12.1381, 12.1365) * CHOOSE(CONTROL!$C$19, $D$11, 100%, $F$11)</f>
        <v>12.1381</v>
      </c>
      <c r="K481" s="4"/>
      <c r="L481" s="9">
        <v>29.7257</v>
      </c>
      <c r="M481" s="9">
        <v>11.6745</v>
      </c>
      <c r="N481" s="9">
        <v>4.7850000000000001</v>
      </c>
      <c r="O481" s="9">
        <v>0.36199999999999999</v>
      </c>
      <c r="P481" s="9">
        <v>1.2509999999999999</v>
      </c>
      <c r="Q481" s="9">
        <v>19.299600000000002</v>
      </c>
      <c r="R481" s="9"/>
      <c r="S481" s="11"/>
    </row>
    <row r="482" spans="1:19" ht="15.75">
      <c r="A482" s="13">
        <v>55823</v>
      </c>
      <c r="B482" s="8">
        <f>CHOOSE( CONTROL!$C$36, 13.0749, 13.0738) * CHOOSE(CONTROL!$C$19, $D$11, 100%, $F$11)</f>
        <v>13.0749</v>
      </c>
      <c r="C482" s="8">
        <f>CHOOSE( CONTROL!$C$36, 13.0803, 13.0792) * CHOOSE(CONTROL!$C$19, $D$11, 100%, $F$11)</f>
        <v>13.080299999999999</v>
      </c>
      <c r="D482" s="8">
        <f>CHOOSE( CONTROL!$C$36, 13.1008, 13.0997) * CHOOSE( CONTROL!$C$19, $D$11, 100%, $F$11)</f>
        <v>13.1008</v>
      </c>
      <c r="E482" s="12">
        <f>CHOOSE( CONTROL!$C$36, 13.0935, 13.0924) * CHOOSE( CONTROL!$C$19, $D$11, 100%, $F$11)</f>
        <v>13.093500000000001</v>
      </c>
      <c r="F482" s="4">
        <f>CHOOSE( CONTROL!$C$36, 13.8097, 13.8086) * CHOOSE(CONTROL!$C$19, $D$11, 100%, $F$11)</f>
        <v>13.809699999999999</v>
      </c>
      <c r="G482" s="8">
        <f>CHOOSE( CONTROL!$C$36, 12.9469, 12.9458) * CHOOSE( CONTROL!$C$19, $D$11, 100%, $F$11)</f>
        <v>12.946899999999999</v>
      </c>
      <c r="H482" s="4">
        <f>CHOOSE( CONTROL!$C$36, 13.8909, 13.8898) * CHOOSE(CONTROL!$C$19, $D$11, 100%, $F$11)</f>
        <v>13.8909</v>
      </c>
      <c r="I482" s="8">
        <f>CHOOSE( CONTROL!$C$36, 12.816, 12.8149) * CHOOSE(CONTROL!$C$19, $D$11, 100%, $F$11)</f>
        <v>12.816000000000001</v>
      </c>
      <c r="J482" s="4">
        <f>CHOOSE( CONTROL!$C$36, 12.6767, 12.6757) * CHOOSE(CONTROL!$C$19, $D$11, 100%, $F$11)</f>
        <v>12.6767</v>
      </c>
      <c r="K482" s="4"/>
      <c r="L482" s="9">
        <v>31.095300000000002</v>
      </c>
      <c r="M482" s="9">
        <v>12.063700000000001</v>
      </c>
      <c r="N482" s="9">
        <v>4.9444999999999997</v>
      </c>
      <c r="O482" s="9">
        <v>0.37409999999999999</v>
      </c>
      <c r="P482" s="9">
        <v>1.2927</v>
      </c>
      <c r="Q482" s="9">
        <v>19.942900000000002</v>
      </c>
      <c r="R482" s="9"/>
      <c r="S482" s="11"/>
    </row>
    <row r="483" spans="1:19" ht="15.75">
      <c r="A483" s="13">
        <v>55853</v>
      </c>
      <c r="B483" s="8">
        <f>CHOOSE( CONTROL!$C$36, 14.1023, 14.1012) * CHOOSE(CONTROL!$C$19, $D$11, 100%, $F$11)</f>
        <v>14.1023</v>
      </c>
      <c r="C483" s="8">
        <f>CHOOSE( CONTROL!$C$36, 14.1074, 14.1063) * CHOOSE(CONTROL!$C$19, $D$11, 100%, $F$11)</f>
        <v>14.1074</v>
      </c>
      <c r="D483" s="8">
        <f>CHOOSE( CONTROL!$C$36, 14.0866, 14.0855) * CHOOSE( CONTROL!$C$19, $D$11, 100%, $F$11)</f>
        <v>14.086600000000001</v>
      </c>
      <c r="E483" s="12">
        <f>CHOOSE( CONTROL!$C$36, 14.0937, 14.0926) * CHOOSE( CONTROL!$C$19, $D$11, 100%, $F$11)</f>
        <v>14.0937</v>
      </c>
      <c r="F483" s="4">
        <f>CHOOSE( CONTROL!$C$36, 14.7615, 14.7604) * CHOOSE(CONTROL!$C$19, $D$11, 100%, $F$11)</f>
        <v>14.7615</v>
      </c>
      <c r="G483" s="8">
        <f>CHOOSE( CONTROL!$C$36, 13.9403, 13.9392) * CHOOSE( CONTROL!$C$19, $D$11, 100%, $F$11)</f>
        <v>13.940300000000001</v>
      </c>
      <c r="H483" s="4">
        <f>CHOOSE( CONTROL!$C$36, 14.8294, 14.8283) * CHOOSE(CONTROL!$C$19, $D$11, 100%, $F$11)</f>
        <v>14.8294</v>
      </c>
      <c r="I483" s="8">
        <f>CHOOSE( CONTROL!$C$36, 13.8607, 13.8597) * CHOOSE(CONTROL!$C$19, $D$11, 100%, $F$11)</f>
        <v>13.8607</v>
      </c>
      <c r="J483" s="4">
        <f>CHOOSE( CONTROL!$C$36, 13.6719, 13.6708) * CHOOSE(CONTROL!$C$19, $D$11, 100%, $F$11)</f>
        <v>13.671900000000001</v>
      </c>
      <c r="K483" s="4"/>
      <c r="L483" s="9">
        <v>28.360600000000002</v>
      </c>
      <c r="M483" s="9">
        <v>11.6745</v>
      </c>
      <c r="N483" s="9">
        <v>4.7850000000000001</v>
      </c>
      <c r="O483" s="9">
        <v>0.36199999999999999</v>
      </c>
      <c r="P483" s="9">
        <v>1.2509999999999999</v>
      </c>
      <c r="Q483" s="9">
        <v>19.299600000000002</v>
      </c>
      <c r="R483" s="9"/>
      <c r="S483" s="11"/>
    </row>
    <row r="484" spans="1:19" ht="15.75">
      <c r="A484" s="13">
        <v>55884</v>
      </c>
      <c r="B484" s="8">
        <f>CHOOSE( CONTROL!$C$36, 14.0766, 14.0755) * CHOOSE(CONTROL!$C$19, $D$11, 100%, $F$11)</f>
        <v>14.076599999999999</v>
      </c>
      <c r="C484" s="8">
        <f>CHOOSE( CONTROL!$C$36, 14.0817, 14.0806) * CHOOSE(CONTROL!$C$19, $D$11, 100%, $F$11)</f>
        <v>14.0817</v>
      </c>
      <c r="D484" s="8">
        <f>CHOOSE( CONTROL!$C$36, 14.0623, 14.0612) * CHOOSE( CONTROL!$C$19, $D$11, 100%, $F$11)</f>
        <v>14.0623</v>
      </c>
      <c r="E484" s="12">
        <f>CHOOSE( CONTROL!$C$36, 14.0689, 14.0678) * CHOOSE( CONTROL!$C$19, $D$11, 100%, $F$11)</f>
        <v>14.068899999999999</v>
      </c>
      <c r="F484" s="4">
        <f>CHOOSE( CONTROL!$C$36, 14.7358, 14.7347) * CHOOSE(CONTROL!$C$19, $D$11, 100%, $F$11)</f>
        <v>14.735799999999999</v>
      </c>
      <c r="G484" s="8">
        <f>CHOOSE( CONTROL!$C$36, 13.9159, 13.9149) * CHOOSE( CONTROL!$C$19, $D$11, 100%, $F$11)</f>
        <v>13.915900000000001</v>
      </c>
      <c r="H484" s="4">
        <f>CHOOSE( CONTROL!$C$36, 14.8041, 14.803) * CHOOSE(CONTROL!$C$19, $D$11, 100%, $F$11)</f>
        <v>14.8041</v>
      </c>
      <c r="I484" s="8">
        <f>CHOOSE( CONTROL!$C$36, 13.8402, 13.8391) * CHOOSE(CONTROL!$C$19, $D$11, 100%, $F$11)</f>
        <v>13.840199999999999</v>
      </c>
      <c r="J484" s="4">
        <f>CHOOSE( CONTROL!$C$36, 13.647, 13.646) * CHOOSE(CONTROL!$C$19, $D$11, 100%, $F$11)</f>
        <v>13.647</v>
      </c>
      <c r="K484" s="4"/>
      <c r="L484" s="9">
        <v>29.306000000000001</v>
      </c>
      <c r="M484" s="9">
        <v>12.063700000000001</v>
      </c>
      <c r="N484" s="9">
        <v>4.9444999999999997</v>
      </c>
      <c r="O484" s="9">
        <v>0.37409999999999999</v>
      </c>
      <c r="P484" s="9">
        <v>1.2927</v>
      </c>
      <c r="Q484" s="9">
        <v>19.942900000000002</v>
      </c>
      <c r="R484" s="9"/>
      <c r="S484" s="11"/>
    </row>
    <row r="485" spans="1:19" ht="15.75">
      <c r="A485" s="13">
        <v>55915</v>
      </c>
      <c r="B485" s="8">
        <f>CHOOSE( CONTROL!$C$36, 14.4923, 14.4912) * CHOOSE(CONTROL!$C$19, $D$11, 100%, $F$11)</f>
        <v>14.4923</v>
      </c>
      <c r="C485" s="8">
        <f>CHOOSE( CONTROL!$C$36, 14.4974, 14.4963) * CHOOSE(CONTROL!$C$19, $D$11, 100%, $F$11)</f>
        <v>14.497400000000001</v>
      </c>
      <c r="D485" s="8">
        <f>CHOOSE( CONTROL!$C$36, 14.4987, 14.4976) * CHOOSE( CONTROL!$C$19, $D$11, 100%, $F$11)</f>
        <v>14.498699999999999</v>
      </c>
      <c r="E485" s="12">
        <f>CHOOSE( CONTROL!$C$36, 14.4977, 14.4966) * CHOOSE( CONTROL!$C$19, $D$11, 100%, $F$11)</f>
        <v>14.4977</v>
      </c>
      <c r="F485" s="4">
        <f>CHOOSE( CONTROL!$C$36, 15.1515, 15.1504) * CHOOSE(CONTROL!$C$19, $D$11, 100%, $F$11)</f>
        <v>15.1515</v>
      </c>
      <c r="G485" s="8">
        <f>CHOOSE( CONTROL!$C$36, 14.3369, 14.3358) * CHOOSE( CONTROL!$C$19, $D$11, 100%, $F$11)</f>
        <v>14.3369</v>
      </c>
      <c r="H485" s="4">
        <f>CHOOSE( CONTROL!$C$36, 15.214, 15.2129) * CHOOSE(CONTROL!$C$19, $D$11, 100%, $F$11)</f>
        <v>15.214</v>
      </c>
      <c r="I485" s="8">
        <f>CHOOSE( CONTROL!$C$36, 14.2204, 14.2193) * CHOOSE(CONTROL!$C$19, $D$11, 100%, $F$11)</f>
        <v>14.2204</v>
      </c>
      <c r="J485" s="4">
        <f>CHOOSE( CONTROL!$C$36, 14.0495, 14.0485) * CHOOSE(CONTROL!$C$19, $D$11, 100%, $F$11)</f>
        <v>14.0495</v>
      </c>
      <c r="K485" s="4"/>
      <c r="L485" s="9">
        <v>29.306000000000001</v>
      </c>
      <c r="M485" s="9">
        <v>12.063700000000001</v>
      </c>
      <c r="N485" s="9">
        <v>4.9444999999999997</v>
      </c>
      <c r="O485" s="9">
        <v>0.37409999999999999</v>
      </c>
      <c r="P485" s="9">
        <v>1.2927</v>
      </c>
      <c r="Q485" s="9">
        <v>19.877800000000001</v>
      </c>
      <c r="R485" s="9"/>
      <c r="S485" s="11"/>
    </row>
    <row r="486" spans="1:19" ht="15.75">
      <c r="A486" s="13">
        <v>55943</v>
      </c>
      <c r="B486" s="8">
        <f>CHOOSE( CONTROL!$C$36, 13.5543, 13.5532) * CHOOSE(CONTROL!$C$19, $D$11, 100%, $F$11)</f>
        <v>13.5543</v>
      </c>
      <c r="C486" s="8">
        <f>CHOOSE( CONTROL!$C$36, 13.5594, 13.5583) * CHOOSE(CONTROL!$C$19, $D$11, 100%, $F$11)</f>
        <v>13.5594</v>
      </c>
      <c r="D486" s="8">
        <f>CHOOSE( CONTROL!$C$36, 13.5606, 13.5595) * CHOOSE( CONTROL!$C$19, $D$11, 100%, $F$11)</f>
        <v>13.560600000000001</v>
      </c>
      <c r="E486" s="12">
        <f>CHOOSE( CONTROL!$C$36, 13.5596, 13.5585) * CHOOSE( CONTROL!$C$19, $D$11, 100%, $F$11)</f>
        <v>13.5596</v>
      </c>
      <c r="F486" s="4">
        <f>CHOOSE( CONTROL!$C$36, 14.2136, 14.2125) * CHOOSE(CONTROL!$C$19, $D$11, 100%, $F$11)</f>
        <v>14.2136</v>
      </c>
      <c r="G486" s="8">
        <f>CHOOSE( CONTROL!$C$36, 13.4119, 13.4108) * CHOOSE( CONTROL!$C$19, $D$11, 100%, $F$11)</f>
        <v>13.411899999999999</v>
      </c>
      <c r="H486" s="4">
        <f>CHOOSE( CONTROL!$C$36, 14.2891, 14.2881) * CHOOSE(CONTROL!$C$19, $D$11, 100%, $F$11)</f>
        <v>14.289099999999999</v>
      </c>
      <c r="I486" s="8">
        <f>CHOOSE( CONTROL!$C$36, 13.3113, 13.3102) * CHOOSE(CONTROL!$C$19, $D$11, 100%, $F$11)</f>
        <v>13.311299999999999</v>
      </c>
      <c r="J486" s="4">
        <f>CHOOSE( CONTROL!$C$36, 13.1413, 13.1403) * CHOOSE(CONTROL!$C$19, $D$11, 100%, $F$11)</f>
        <v>13.141299999999999</v>
      </c>
      <c r="K486" s="4"/>
      <c r="L486" s="9">
        <v>26.469899999999999</v>
      </c>
      <c r="M486" s="9">
        <v>10.8962</v>
      </c>
      <c r="N486" s="9">
        <v>4.4660000000000002</v>
      </c>
      <c r="O486" s="9">
        <v>0.33789999999999998</v>
      </c>
      <c r="P486" s="9">
        <v>1.1676</v>
      </c>
      <c r="Q486" s="9">
        <v>17.9542</v>
      </c>
      <c r="R486" s="9"/>
      <c r="S486" s="11"/>
    </row>
    <row r="487" spans="1:19" ht="15.75">
      <c r="A487" s="13">
        <v>55974</v>
      </c>
      <c r="B487" s="8">
        <f>CHOOSE( CONTROL!$C$36, 13.2654, 13.2644) * CHOOSE(CONTROL!$C$19, $D$11, 100%, $F$11)</f>
        <v>13.2654</v>
      </c>
      <c r="C487" s="8">
        <f>CHOOSE( CONTROL!$C$36, 13.2705, 13.2695) * CHOOSE(CONTROL!$C$19, $D$11, 100%, $F$11)</f>
        <v>13.2705</v>
      </c>
      <c r="D487" s="8">
        <f>CHOOSE( CONTROL!$C$36, 13.2711, 13.27) * CHOOSE( CONTROL!$C$19, $D$11, 100%, $F$11)</f>
        <v>13.271100000000001</v>
      </c>
      <c r="E487" s="12">
        <f>CHOOSE( CONTROL!$C$36, 13.2703, 13.2693) * CHOOSE( CONTROL!$C$19, $D$11, 100%, $F$11)</f>
        <v>13.270300000000001</v>
      </c>
      <c r="F487" s="4">
        <f>CHOOSE( CONTROL!$C$36, 13.9247, 13.9236) * CHOOSE(CONTROL!$C$19, $D$11, 100%, $F$11)</f>
        <v>13.9247</v>
      </c>
      <c r="G487" s="8">
        <f>CHOOSE( CONTROL!$C$36, 13.1266, 13.1255) * CHOOSE( CONTROL!$C$19, $D$11, 100%, $F$11)</f>
        <v>13.1266</v>
      </c>
      <c r="H487" s="4">
        <f>CHOOSE( CONTROL!$C$36, 14.0043, 14.0032) * CHOOSE(CONTROL!$C$19, $D$11, 100%, $F$11)</f>
        <v>14.004300000000001</v>
      </c>
      <c r="I487" s="8">
        <f>CHOOSE( CONTROL!$C$36, 13.0294, 13.0284) * CHOOSE(CONTROL!$C$19, $D$11, 100%, $F$11)</f>
        <v>13.029400000000001</v>
      </c>
      <c r="J487" s="4">
        <f>CHOOSE( CONTROL!$C$36, 12.8616, 12.8605) * CHOOSE(CONTROL!$C$19, $D$11, 100%, $F$11)</f>
        <v>12.861599999999999</v>
      </c>
      <c r="K487" s="4"/>
      <c r="L487" s="9">
        <v>29.306000000000001</v>
      </c>
      <c r="M487" s="9">
        <v>12.063700000000001</v>
      </c>
      <c r="N487" s="9">
        <v>4.9444999999999997</v>
      </c>
      <c r="O487" s="9">
        <v>0.37409999999999999</v>
      </c>
      <c r="P487" s="9">
        <v>1.2927</v>
      </c>
      <c r="Q487" s="9">
        <v>19.877800000000001</v>
      </c>
      <c r="R487" s="9"/>
      <c r="S487" s="11"/>
    </row>
    <row r="488" spans="1:19" ht="15.75">
      <c r="A488" s="13">
        <v>56004</v>
      </c>
      <c r="B488" s="8">
        <f>CHOOSE( CONTROL!$C$36, 13.4681, 13.467) * CHOOSE(CONTROL!$C$19, $D$11, 100%, $F$11)</f>
        <v>13.4681</v>
      </c>
      <c r="C488" s="8">
        <f>CHOOSE( CONTROL!$C$36, 13.4726, 13.4715) * CHOOSE(CONTROL!$C$19, $D$11, 100%, $F$11)</f>
        <v>13.4726</v>
      </c>
      <c r="D488" s="8">
        <f>CHOOSE( CONTROL!$C$36, 13.493, 13.4919) * CHOOSE( CONTROL!$C$19, $D$11, 100%, $F$11)</f>
        <v>13.493</v>
      </c>
      <c r="E488" s="12">
        <f>CHOOSE( CONTROL!$C$36, 13.4857, 13.4846) * CHOOSE( CONTROL!$C$19, $D$11, 100%, $F$11)</f>
        <v>13.4857</v>
      </c>
      <c r="F488" s="4">
        <f>CHOOSE( CONTROL!$C$36, 14.2025, 14.2014) * CHOOSE(CONTROL!$C$19, $D$11, 100%, $F$11)</f>
        <v>14.202500000000001</v>
      </c>
      <c r="G488" s="8">
        <f>CHOOSE( CONTROL!$C$36, 13.3338, 13.3327) * CHOOSE( CONTROL!$C$19, $D$11, 100%, $F$11)</f>
        <v>13.3338</v>
      </c>
      <c r="H488" s="4">
        <f>CHOOSE( CONTROL!$C$36, 14.2782, 14.2771) * CHOOSE(CONTROL!$C$19, $D$11, 100%, $F$11)</f>
        <v>14.2782</v>
      </c>
      <c r="I488" s="8">
        <f>CHOOSE( CONTROL!$C$36, 13.1945, 13.1935) * CHOOSE(CONTROL!$C$19, $D$11, 100%, $F$11)</f>
        <v>13.1945</v>
      </c>
      <c r="J488" s="4">
        <f>CHOOSE( CONTROL!$C$36, 13.0571, 13.056) * CHOOSE(CONTROL!$C$19, $D$11, 100%, $F$11)</f>
        <v>13.0571</v>
      </c>
      <c r="K488" s="4"/>
      <c r="L488" s="9">
        <v>30.092199999999998</v>
      </c>
      <c r="M488" s="9">
        <v>11.6745</v>
      </c>
      <c r="N488" s="9">
        <v>4.7850000000000001</v>
      </c>
      <c r="O488" s="9">
        <v>0.36199999999999999</v>
      </c>
      <c r="P488" s="9">
        <v>1.2509999999999999</v>
      </c>
      <c r="Q488" s="9">
        <v>19.236599999999999</v>
      </c>
      <c r="R488" s="9"/>
      <c r="S488" s="11"/>
    </row>
    <row r="489" spans="1:19" ht="15.75">
      <c r="A489" s="13">
        <v>56035</v>
      </c>
      <c r="B489" s="8">
        <f>CHOOSE( CONTROL!$C$36, 13.8293, 13.8276) * CHOOSE(CONTROL!$C$19, $D$11, 100%, $F$11)</f>
        <v>13.8293</v>
      </c>
      <c r="C489" s="8">
        <f>CHOOSE( CONTROL!$C$36, 13.8373, 13.8356) * CHOOSE(CONTROL!$C$19, $D$11, 100%, $F$11)</f>
        <v>13.837300000000001</v>
      </c>
      <c r="D489" s="8">
        <f>CHOOSE( CONTROL!$C$36, 13.8515, 13.8498) * CHOOSE( CONTROL!$C$19, $D$11, 100%, $F$11)</f>
        <v>13.8515</v>
      </c>
      <c r="E489" s="12">
        <f>CHOOSE( CONTROL!$C$36, 13.8451, 13.8434) * CHOOSE( CONTROL!$C$19, $D$11, 100%, $F$11)</f>
        <v>13.8451</v>
      </c>
      <c r="F489" s="4">
        <f>CHOOSE( CONTROL!$C$36, 14.5623, 14.5607) * CHOOSE(CONTROL!$C$19, $D$11, 100%, $F$11)</f>
        <v>14.5623</v>
      </c>
      <c r="G489" s="8">
        <f>CHOOSE( CONTROL!$C$36, 13.6885, 13.6869) * CHOOSE( CONTROL!$C$19, $D$11, 100%, $F$11)</f>
        <v>13.688499999999999</v>
      </c>
      <c r="H489" s="4">
        <f>CHOOSE( CONTROL!$C$36, 14.633, 14.6314) * CHOOSE(CONTROL!$C$19, $D$11, 100%, $F$11)</f>
        <v>14.632999999999999</v>
      </c>
      <c r="I489" s="8">
        <f>CHOOSE( CONTROL!$C$36, 13.5427, 13.5411) * CHOOSE(CONTROL!$C$19, $D$11, 100%, $F$11)</f>
        <v>13.5427</v>
      </c>
      <c r="J489" s="4">
        <f>CHOOSE( CONTROL!$C$36, 13.4055, 13.4039) * CHOOSE(CONTROL!$C$19, $D$11, 100%, $F$11)</f>
        <v>13.4055</v>
      </c>
      <c r="K489" s="4"/>
      <c r="L489" s="9">
        <v>30.7165</v>
      </c>
      <c r="M489" s="9">
        <v>12.063700000000001</v>
      </c>
      <c r="N489" s="9">
        <v>4.9444999999999997</v>
      </c>
      <c r="O489" s="9">
        <v>0.37409999999999999</v>
      </c>
      <c r="P489" s="9">
        <v>1.2927</v>
      </c>
      <c r="Q489" s="9">
        <v>19.877800000000001</v>
      </c>
      <c r="R489" s="9"/>
      <c r="S489" s="11"/>
    </row>
    <row r="490" spans="1:19" ht="15.75">
      <c r="A490" s="13">
        <v>56065</v>
      </c>
      <c r="B490" s="8">
        <f>CHOOSE( CONTROL!$C$36, 13.6067, 13.6051) * CHOOSE(CONTROL!$C$19, $D$11, 100%, $F$11)</f>
        <v>13.6067</v>
      </c>
      <c r="C490" s="8">
        <f>CHOOSE( CONTROL!$C$36, 13.6147, 13.6131) * CHOOSE(CONTROL!$C$19, $D$11, 100%, $F$11)</f>
        <v>13.614699999999999</v>
      </c>
      <c r="D490" s="8">
        <f>CHOOSE( CONTROL!$C$36, 13.6291, 13.6275) * CHOOSE( CONTROL!$C$19, $D$11, 100%, $F$11)</f>
        <v>13.629099999999999</v>
      </c>
      <c r="E490" s="12">
        <f>CHOOSE( CONTROL!$C$36, 13.6227, 13.6211) * CHOOSE( CONTROL!$C$19, $D$11, 100%, $F$11)</f>
        <v>13.6227</v>
      </c>
      <c r="F490" s="4">
        <f>CHOOSE( CONTROL!$C$36, 14.3398, 14.3381) * CHOOSE(CONTROL!$C$19, $D$11, 100%, $F$11)</f>
        <v>14.3398</v>
      </c>
      <c r="G490" s="8">
        <f>CHOOSE( CONTROL!$C$36, 13.4692, 13.4676) * CHOOSE( CONTROL!$C$19, $D$11, 100%, $F$11)</f>
        <v>13.469200000000001</v>
      </c>
      <c r="H490" s="4">
        <f>CHOOSE( CONTROL!$C$36, 14.4135, 14.4119) * CHOOSE(CONTROL!$C$19, $D$11, 100%, $F$11)</f>
        <v>14.413500000000001</v>
      </c>
      <c r="I490" s="8">
        <f>CHOOSE( CONTROL!$C$36, 13.3278, 13.3262) * CHOOSE(CONTROL!$C$19, $D$11, 100%, $F$11)</f>
        <v>13.3278</v>
      </c>
      <c r="J490" s="4">
        <f>CHOOSE( CONTROL!$C$36, 13.19, 13.1884) * CHOOSE(CONTROL!$C$19, $D$11, 100%, $F$11)</f>
        <v>13.19</v>
      </c>
      <c r="K490" s="4"/>
      <c r="L490" s="9">
        <v>29.7257</v>
      </c>
      <c r="M490" s="9">
        <v>11.6745</v>
      </c>
      <c r="N490" s="9">
        <v>4.7850000000000001</v>
      </c>
      <c r="O490" s="9">
        <v>0.36199999999999999</v>
      </c>
      <c r="P490" s="9">
        <v>1.2509999999999999</v>
      </c>
      <c r="Q490" s="9">
        <v>19.236599999999999</v>
      </c>
      <c r="R490" s="9"/>
      <c r="S490" s="11"/>
    </row>
    <row r="491" spans="1:19" ht="15.75">
      <c r="A491" s="13">
        <v>56096</v>
      </c>
      <c r="B491" s="8">
        <f>CHOOSE( CONTROL!$C$36, 14.1928, 14.1911) * CHOOSE(CONTROL!$C$19, $D$11, 100%, $F$11)</f>
        <v>14.1928</v>
      </c>
      <c r="C491" s="8">
        <f>CHOOSE( CONTROL!$C$36, 14.2008, 14.1991) * CHOOSE(CONTROL!$C$19, $D$11, 100%, $F$11)</f>
        <v>14.200799999999999</v>
      </c>
      <c r="D491" s="8">
        <f>CHOOSE( CONTROL!$C$36, 14.2154, 14.2138) * CHOOSE( CONTROL!$C$19, $D$11, 100%, $F$11)</f>
        <v>14.215400000000001</v>
      </c>
      <c r="E491" s="12">
        <f>CHOOSE( CONTROL!$C$36, 14.2089, 14.2073) * CHOOSE( CONTROL!$C$19, $D$11, 100%, $F$11)</f>
        <v>14.2089</v>
      </c>
      <c r="F491" s="4">
        <f>CHOOSE( CONTROL!$C$36, 14.9258, 14.9242) * CHOOSE(CONTROL!$C$19, $D$11, 100%, $F$11)</f>
        <v>14.925800000000001</v>
      </c>
      <c r="G491" s="8">
        <f>CHOOSE( CONTROL!$C$36, 14.0473, 14.0457) * CHOOSE( CONTROL!$C$19, $D$11, 100%, $F$11)</f>
        <v>14.0473</v>
      </c>
      <c r="H491" s="4">
        <f>CHOOSE( CONTROL!$C$36, 14.9914, 14.9898) * CHOOSE(CONTROL!$C$19, $D$11, 100%, $F$11)</f>
        <v>14.991400000000001</v>
      </c>
      <c r="I491" s="8">
        <f>CHOOSE( CONTROL!$C$36, 13.8964, 13.8948) * CHOOSE(CONTROL!$C$19, $D$11, 100%, $F$11)</f>
        <v>13.8964</v>
      </c>
      <c r="J491" s="4">
        <f>CHOOSE( CONTROL!$C$36, 13.7575, 13.7559) * CHOOSE(CONTROL!$C$19, $D$11, 100%, $F$11)</f>
        <v>13.7575</v>
      </c>
      <c r="K491" s="4"/>
      <c r="L491" s="9">
        <v>30.7165</v>
      </c>
      <c r="M491" s="9">
        <v>12.063700000000001</v>
      </c>
      <c r="N491" s="9">
        <v>4.9444999999999997</v>
      </c>
      <c r="O491" s="9">
        <v>0.37409999999999999</v>
      </c>
      <c r="P491" s="9">
        <v>1.2927</v>
      </c>
      <c r="Q491" s="9">
        <v>19.877800000000001</v>
      </c>
      <c r="R491" s="9"/>
      <c r="S491" s="11"/>
    </row>
    <row r="492" spans="1:19" ht="15.75">
      <c r="A492" s="13">
        <v>56127</v>
      </c>
      <c r="B492" s="8">
        <f>CHOOSE( CONTROL!$C$36, 13.0962, 13.0945) * CHOOSE(CONTROL!$C$19, $D$11, 100%, $F$11)</f>
        <v>13.0962</v>
      </c>
      <c r="C492" s="8">
        <f>CHOOSE( CONTROL!$C$36, 13.1042, 13.1025) * CHOOSE(CONTROL!$C$19, $D$11, 100%, $F$11)</f>
        <v>13.104200000000001</v>
      </c>
      <c r="D492" s="8">
        <f>CHOOSE( CONTROL!$C$36, 13.1189, 13.1172) * CHOOSE( CONTROL!$C$19, $D$11, 100%, $F$11)</f>
        <v>13.1189</v>
      </c>
      <c r="E492" s="12">
        <f>CHOOSE( CONTROL!$C$36, 13.1124, 13.1107) * CHOOSE( CONTROL!$C$19, $D$11, 100%, $F$11)</f>
        <v>13.112399999999999</v>
      </c>
      <c r="F492" s="4">
        <f>CHOOSE( CONTROL!$C$36, 13.8292, 13.8276) * CHOOSE(CONTROL!$C$19, $D$11, 100%, $F$11)</f>
        <v>13.8292</v>
      </c>
      <c r="G492" s="8">
        <f>CHOOSE( CONTROL!$C$36, 12.9661, 12.9644) * CHOOSE( CONTROL!$C$19, $D$11, 100%, $F$11)</f>
        <v>12.966100000000001</v>
      </c>
      <c r="H492" s="4">
        <f>CHOOSE( CONTROL!$C$36, 13.9101, 13.9085) * CHOOSE(CONTROL!$C$19, $D$11, 100%, $F$11)</f>
        <v>13.9101</v>
      </c>
      <c r="I492" s="8">
        <f>CHOOSE( CONTROL!$C$36, 12.8342, 12.8326) * CHOOSE(CONTROL!$C$19, $D$11, 100%, $F$11)</f>
        <v>12.834199999999999</v>
      </c>
      <c r="J492" s="4">
        <f>CHOOSE( CONTROL!$C$36, 12.6956, 12.694) * CHOOSE(CONTROL!$C$19, $D$11, 100%, $F$11)</f>
        <v>12.695600000000001</v>
      </c>
      <c r="K492" s="4"/>
      <c r="L492" s="9">
        <v>30.7165</v>
      </c>
      <c r="M492" s="9">
        <v>12.063700000000001</v>
      </c>
      <c r="N492" s="9">
        <v>4.9444999999999997</v>
      </c>
      <c r="O492" s="9">
        <v>0.37409999999999999</v>
      </c>
      <c r="P492" s="9">
        <v>1.2927</v>
      </c>
      <c r="Q492" s="9">
        <v>19.877800000000001</v>
      </c>
      <c r="R492" s="9"/>
      <c r="S492" s="11"/>
    </row>
    <row r="493" spans="1:19" ht="15.75">
      <c r="A493" s="13">
        <v>56157</v>
      </c>
      <c r="B493" s="8">
        <f>CHOOSE( CONTROL!$C$36, 12.8216, 12.8199) * CHOOSE(CONTROL!$C$19, $D$11, 100%, $F$11)</f>
        <v>12.8216</v>
      </c>
      <c r="C493" s="8">
        <f>CHOOSE( CONTROL!$C$36, 12.8296, 12.8279) * CHOOSE(CONTROL!$C$19, $D$11, 100%, $F$11)</f>
        <v>12.829599999999999</v>
      </c>
      <c r="D493" s="8">
        <f>CHOOSE( CONTROL!$C$36, 12.8442, 12.8425) * CHOOSE( CONTROL!$C$19, $D$11, 100%, $F$11)</f>
        <v>12.844200000000001</v>
      </c>
      <c r="E493" s="12">
        <f>CHOOSE( CONTROL!$C$36, 12.8377, 12.836) * CHOOSE( CONTROL!$C$19, $D$11, 100%, $F$11)</f>
        <v>12.8377</v>
      </c>
      <c r="F493" s="4">
        <f>CHOOSE( CONTROL!$C$36, 13.5546, 13.553) * CHOOSE(CONTROL!$C$19, $D$11, 100%, $F$11)</f>
        <v>13.554600000000001</v>
      </c>
      <c r="G493" s="8">
        <f>CHOOSE( CONTROL!$C$36, 12.6952, 12.6936) * CHOOSE( CONTROL!$C$19, $D$11, 100%, $F$11)</f>
        <v>12.6952</v>
      </c>
      <c r="H493" s="4">
        <f>CHOOSE( CONTROL!$C$36, 13.6394, 13.6377) * CHOOSE(CONTROL!$C$19, $D$11, 100%, $F$11)</f>
        <v>13.6394</v>
      </c>
      <c r="I493" s="8">
        <f>CHOOSE( CONTROL!$C$36, 12.5678, 12.5662) * CHOOSE(CONTROL!$C$19, $D$11, 100%, $F$11)</f>
        <v>12.5678</v>
      </c>
      <c r="J493" s="4">
        <f>CHOOSE( CONTROL!$C$36, 12.4297, 12.4281) * CHOOSE(CONTROL!$C$19, $D$11, 100%, $F$11)</f>
        <v>12.4297</v>
      </c>
      <c r="K493" s="4"/>
      <c r="L493" s="9">
        <v>29.7257</v>
      </c>
      <c r="M493" s="9">
        <v>11.6745</v>
      </c>
      <c r="N493" s="9">
        <v>4.7850000000000001</v>
      </c>
      <c r="O493" s="9">
        <v>0.36199999999999999</v>
      </c>
      <c r="P493" s="9">
        <v>1.2509999999999999</v>
      </c>
      <c r="Q493" s="9">
        <v>19.236599999999999</v>
      </c>
      <c r="R493" s="9"/>
      <c r="S493" s="11"/>
    </row>
    <row r="494" spans="1:19" ht="15.75">
      <c r="A494" s="13">
        <v>56188</v>
      </c>
      <c r="B494" s="8">
        <f>CHOOSE( CONTROL!$C$36, 13.3895, 13.3884) * CHOOSE(CONTROL!$C$19, $D$11, 100%, $F$11)</f>
        <v>13.3895</v>
      </c>
      <c r="C494" s="8">
        <f>CHOOSE( CONTROL!$C$36, 13.3948, 13.3937) * CHOOSE(CONTROL!$C$19, $D$11, 100%, $F$11)</f>
        <v>13.3948</v>
      </c>
      <c r="D494" s="8">
        <f>CHOOSE( CONTROL!$C$36, 13.4153, 13.4142) * CHOOSE( CONTROL!$C$19, $D$11, 100%, $F$11)</f>
        <v>13.4153</v>
      </c>
      <c r="E494" s="12">
        <f>CHOOSE( CONTROL!$C$36, 13.408, 13.4069) * CHOOSE( CONTROL!$C$19, $D$11, 100%, $F$11)</f>
        <v>13.407999999999999</v>
      </c>
      <c r="F494" s="4">
        <f>CHOOSE( CONTROL!$C$36, 14.1242, 14.1231) * CHOOSE(CONTROL!$C$19, $D$11, 100%, $F$11)</f>
        <v>14.1242</v>
      </c>
      <c r="G494" s="8">
        <f>CHOOSE( CONTROL!$C$36, 13.2571, 13.256) * CHOOSE( CONTROL!$C$19, $D$11, 100%, $F$11)</f>
        <v>13.257099999999999</v>
      </c>
      <c r="H494" s="4">
        <f>CHOOSE( CONTROL!$C$36, 14.201, 14.1999) * CHOOSE(CONTROL!$C$19, $D$11, 100%, $F$11)</f>
        <v>14.201000000000001</v>
      </c>
      <c r="I494" s="8">
        <f>CHOOSE( CONTROL!$C$36, 13.1207, 13.1196) * CHOOSE(CONTROL!$C$19, $D$11, 100%, $F$11)</f>
        <v>13.120699999999999</v>
      </c>
      <c r="J494" s="4">
        <f>CHOOSE( CONTROL!$C$36, 12.9813, 12.9802) * CHOOSE(CONTROL!$C$19, $D$11, 100%, $F$11)</f>
        <v>12.981299999999999</v>
      </c>
      <c r="K494" s="4"/>
      <c r="L494" s="9">
        <v>31.095300000000002</v>
      </c>
      <c r="M494" s="9">
        <v>12.063700000000001</v>
      </c>
      <c r="N494" s="9">
        <v>4.9444999999999997</v>
      </c>
      <c r="O494" s="9">
        <v>0.37409999999999999</v>
      </c>
      <c r="P494" s="9">
        <v>1.2927</v>
      </c>
      <c r="Q494" s="9">
        <v>19.877800000000001</v>
      </c>
      <c r="R494" s="9"/>
      <c r="S494" s="11"/>
    </row>
    <row r="495" spans="1:19" ht="15.75">
      <c r="A495" s="13">
        <v>56218</v>
      </c>
      <c r="B495" s="8">
        <f>CHOOSE( CONTROL!$C$36, 14.4415, 14.4404) * CHOOSE(CONTROL!$C$19, $D$11, 100%, $F$11)</f>
        <v>14.4415</v>
      </c>
      <c r="C495" s="8">
        <f>CHOOSE( CONTROL!$C$36, 14.4466, 14.4455) * CHOOSE(CONTROL!$C$19, $D$11, 100%, $F$11)</f>
        <v>14.4466</v>
      </c>
      <c r="D495" s="8">
        <f>CHOOSE( CONTROL!$C$36, 14.4258, 14.4247) * CHOOSE( CONTROL!$C$19, $D$11, 100%, $F$11)</f>
        <v>14.425800000000001</v>
      </c>
      <c r="E495" s="12">
        <f>CHOOSE( CONTROL!$C$36, 14.4329, 14.4318) * CHOOSE( CONTROL!$C$19, $D$11, 100%, $F$11)</f>
        <v>14.4329</v>
      </c>
      <c r="F495" s="4">
        <f>CHOOSE( CONTROL!$C$36, 15.1007, 15.0997) * CHOOSE(CONTROL!$C$19, $D$11, 100%, $F$11)</f>
        <v>15.1007</v>
      </c>
      <c r="G495" s="8">
        <f>CHOOSE( CONTROL!$C$36, 14.2748, 14.2737) * CHOOSE( CONTROL!$C$19, $D$11, 100%, $F$11)</f>
        <v>14.274800000000001</v>
      </c>
      <c r="H495" s="4">
        <f>CHOOSE( CONTROL!$C$36, 15.1639, 15.1628) * CHOOSE(CONTROL!$C$19, $D$11, 100%, $F$11)</f>
        <v>15.1639</v>
      </c>
      <c r="I495" s="8">
        <f>CHOOSE( CONTROL!$C$36, 14.1894, 14.1883) * CHOOSE(CONTROL!$C$19, $D$11, 100%, $F$11)</f>
        <v>14.189399999999999</v>
      </c>
      <c r="J495" s="4">
        <f>CHOOSE( CONTROL!$C$36, 14.0003, 13.9993) * CHOOSE(CONTROL!$C$19, $D$11, 100%, $F$11)</f>
        <v>14.000299999999999</v>
      </c>
      <c r="K495" s="4"/>
      <c r="L495" s="9">
        <v>28.360600000000002</v>
      </c>
      <c r="M495" s="9">
        <v>11.6745</v>
      </c>
      <c r="N495" s="9">
        <v>4.7850000000000001</v>
      </c>
      <c r="O495" s="9">
        <v>0.36199999999999999</v>
      </c>
      <c r="P495" s="9">
        <v>1.2509999999999999</v>
      </c>
      <c r="Q495" s="9">
        <v>19.236599999999999</v>
      </c>
      <c r="R495" s="9"/>
      <c r="S495" s="11"/>
    </row>
    <row r="496" spans="1:19" ht="15.75">
      <c r="A496" s="13">
        <v>56249</v>
      </c>
      <c r="B496" s="8">
        <f>CHOOSE( CONTROL!$C$36, 14.4152, 14.4141) * CHOOSE(CONTROL!$C$19, $D$11, 100%, $F$11)</f>
        <v>14.4152</v>
      </c>
      <c r="C496" s="8">
        <f>CHOOSE( CONTROL!$C$36, 14.4203, 14.4192) * CHOOSE(CONTROL!$C$19, $D$11, 100%, $F$11)</f>
        <v>14.420299999999999</v>
      </c>
      <c r="D496" s="8">
        <f>CHOOSE( CONTROL!$C$36, 14.4009, 14.3998) * CHOOSE( CONTROL!$C$19, $D$11, 100%, $F$11)</f>
        <v>14.4009</v>
      </c>
      <c r="E496" s="12">
        <f>CHOOSE( CONTROL!$C$36, 14.4075, 14.4064) * CHOOSE( CONTROL!$C$19, $D$11, 100%, $F$11)</f>
        <v>14.407500000000001</v>
      </c>
      <c r="F496" s="4">
        <f>CHOOSE( CONTROL!$C$36, 15.0744, 15.0734) * CHOOSE(CONTROL!$C$19, $D$11, 100%, $F$11)</f>
        <v>15.074400000000001</v>
      </c>
      <c r="G496" s="8">
        <f>CHOOSE( CONTROL!$C$36, 14.2498, 14.2487) * CHOOSE( CONTROL!$C$19, $D$11, 100%, $F$11)</f>
        <v>14.2498</v>
      </c>
      <c r="H496" s="4">
        <f>CHOOSE( CONTROL!$C$36, 15.138, 15.1369) * CHOOSE(CONTROL!$C$19, $D$11, 100%, $F$11)</f>
        <v>15.138</v>
      </c>
      <c r="I496" s="8">
        <f>CHOOSE( CONTROL!$C$36, 14.1682, 14.1672) * CHOOSE(CONTROL!$C$19, $D$11, 100%, $F$11)</f>
        <v>14.168200000000001</v>
      </c>
      <c r="J496" s="4">
        <f>CHOOSE( CONTROL!$C$36, 13.9749, 13.9738) * CHOOSE(CONTROL!$C$19, $D$11, 100%, $F$11)</f>
        <v>13.9749</v>
      </c>
      <c r="K496" s="4"/>
      <c r="L496" s="9">
        <v>29.306000000000001</v>
      </c>
      <c r="M496" s="9">
        <v>12.063700000000001</v>
      </c>
      <c r="N496" s="9">
        <v>4.9444999999999997</v>
      </c>
      <c r="O496" s="9">
        <v>0.37409999999999999</v>
      </c>
      <c r="P496" s="9">
        <v>1.2927</v>
      </c>
      <c r="Q496" s="9">
        <v>19.877800000000001</v>
      </c>
      <c r="R496" s="9"/>
      <c r="S496" s="11"/>
    </row>
    <row r="497" spans="1:19" ht="15.75">
      <c r="A497" s="13">
        <v>56280</v>
      </c>
      <c r="B497" s="8">
        <f>CHOOSE( CONTROL!$C$36, 14.8409, 14.8398) * CHOOSE(CONTROL!$C$19, $D$11, 100%, $F$11)</f>
        <v>14.8409</v>
      </c>
      <c r="C497" s="8">
        <f>CHOOSE( CONTROL!$C$36, 14.846, 14.8449) * CHOOSE(CONTROL!$C$19, $D$11, 100%, $F$11)</f>
        <v>14.846</v>
      </c>
      <c r="D497" s="8">
        <f>CHOOSE( CONTROL!$C$36, 14.8473, 14.8462) * CHOOSE( CONTROL!$C$19, $D$11, 100%, $F$11)</f>
        <v>14.847300000000001</v>
      </c>
      <c r="E497" s="12">
        <f>CHOOSE( CONTROL!$C$36, 14.8463, 14.8452) * CHOOSE( CONTROL!$C$19, $D$11, 100%, $F$11)</f>
        <v>14.846299999999999</v>
      </c>
      <c r="F497" s="4">
        <f>CHOOSE( CONTROL!$C$36, 15.5001, 15.499) * CHOOSE(CONTROL!$C$19, $D$11, 100%, $F$11)</f>
        <v>15.5001</v>
      </c>
      <c r="G497" s="8">
        <f>CHOOSE( CONTROL!$C$36, 14.6806, 14.6795) * CHOOSE( CONTROL!$C$19, $D$11, 100%, $F$11)</f>
        <v>14.6806</v>
      </c>
      <c r="H497" s="4">
        <f>CHOOSE( CONTROL!$C$36, 15.5577, 15.5567) * CHOOSE(CONTROL!$C$19, $D$11, 100%, $F$11)</f>
        <v>15.557700000000001</v>
      </c>
      <c r="I497" s="8">
        <f>CHOOSE( CONTROL!$C$36, 14.5581, 14.557) * CHOOSE(CONTROL!$C$19, $D$11, 100%, $F$11)</f>
        <v>14.5581</v>
      </c>
      <c r="J497" s="4">
        <f>CHOOSE( CONTROL!$C$36, 14.3871, 14.386) * CHOOSE(CONTROL!$C$19, $D$11, 100%, $F$11)</f>
        <v>14.3871</v>
      </c>
      <c r="K497" s="4"/>
      <c r="L497" s="9">
        <v>29.306000000000001</v>
      </c>
      <c r="M497" s="9">
        <v>12.063700000000001</v>
      </c>
      <c r="N497" s="9">
        <v>4.9444999999999997</v>
      </c>
      <c r="O497" s="9">
        <v>0.37409999999999999</v>
      </c>
      <c r="P497" s="9">
        <v>1.2927</v>
      </c>
      <c r="Q497" s="9">
        <v>19.814599999999999</v>
      </c>
      <c r="R497" s="9"/>
      <c r="S497" s="11"/>
    </row>
    <row r="498" spans="1:19" ht="15.75">
      <c r="A498" s="13">
        <v>56308</v>
      </c>
      <c r="B498" s="8">
        <f>CHOOSE( CONTROL!$C$36, 13.8804, 13.8793) * CHOOSE(CONTROL!$C$19, $D$11, 100%, $F$11)</f>
        <v>13.8804</v>
      </c>
      <c r="C498" s="8">
        <f>CHOOSE( CONTROL!$C$36, 13.8855, 13.8844) * CHOOSE(CONTROL!$C$19, $D$11, 100%, $F$11)</f>
        <v>13.8855</v>
      </c>
      <c r="D498" s="8">
        <f>CHOOSE( CONTROL!$C$36, 13.8866, 13.8856) * CHOOSE( CONTROL!$C$19, $D$11, 100%, $F$11)</f>
        <v>13.8866</v>
      </c>
      <c r="E498" s="12">
        <f>CHOOSE( CONTROL!$C$36, 13.8857, 13.8846) * CHOOSE( CONTROL!$C$19, $D$11, 100%, $F$11)</f>
        <v>13.8857</v>
      </c>
      <c r="F498" s="4">
        <f>CHOOSE( CONTROL!$C$36, 14.5396, 14.5386) * CHOOSE(CONTROL!$C$19, $D$11, 100%, $F$11)</f>
        <v>14.5396</v>
      </c>
      <c r="G498" s="8">
        <f>CHOOSE( CONTROL!$C$36, 13.7334, 13.7324) * CHOOSE( CONTROL!$C$19, $D$11, 100%, $F$11)</f>
        <v>13.7334</v>
      </c>
      <c r="H498" s="4">
        <f>CHOOSE( CONTROL!$C$36, 14.6106, 14.6096) * CHOOSE(CONTROL!$C$19, $D$11, 100%, $F$11)</f>
        <v>14.6106</v>
      </c>
      <c r="I498" s="8">
        <f>CHOOSE( CONTROL!$C$36, 13.6272, 13.6261) * CHOOSE(CONTROL!$C$19, $D$11, 100%, $F$11)</f>
        <v>13.6272</v>
      </c>
      <c r="J498" s="4">
        <f>CHOOSE( CONTROL!$C$36, 13.457, 13.456) * CHOOSE(CONTROL!$C$19, $D$11, 100%, $F$11)</f>
        <v>13.457000000000001</v>
      </c>
      <c r="K498" s="4"/>
      <c r="L498" s="9">
        <v>26.469899999999999</v>
      </c>
      <c r="M498" s="9">
        <v>10.8962</v>
      </c>
      <c r="N498" s="9">
        <v>4.4660000000000002</v>
      </c>
      <c r="O498" s="9">
        <v>0.33789999999999998</v>
      </c>
      <c r="P498" s="9">
        <v>1.1676</v>
      </c>
      <c r="Q498" s="9">
        <v>17.896999999999998</v>
      </c>
      <c r="R498" s="9"/>
      <c r="S498" s="11"/>
    </row>
    <row r="499" spans="1:19" ht="15.75">
      <c r="A499" s="13">
        <v>56339</v>
      </c>
      <c r="B499" s="8">
        <f>CHOOSE( CONTROL!$C$36, 13.5846, 13.5835) * CHOOSE(CONTROL!$C$19, $D$11, 100%, $F$11)</f>
        <v>13.5846</v>
      </c>
      <c r="C499" s="8">
        <f>CHOOSE( CONTROL!$C$36, 13.5897, 13.5886) * CHOOSE(CONTROL!$C$19, $D$11, 100%, $F$11)</f>
        <v>13.589700000000001</v>
      </c>
      <c r="D499" s="8">
        <f>CHOOSE( CONTROL!$C$36, 13.5902, 13.5891) * CHOOSE( CONTROL!$C$19, $D$11, 100%, $F$11)</f>
        <v>13.590199999999999</v>
      </c>
      <c r="E499" s="12">
        <f>CHOOSE( CONTROL!$C$36, 13.5895, 13.5884) * CHOOSE( CONTROL!$C$19, $D$11, 100%, $F$11)</f>
        <v>13.589499999999999</v>
      </c>
      <c r="F499" s="4">
        <f>CHOOSE( CONTROL!$C$36, 14.2438, 14.2427) * CHOOSE(CONTROL!$C$19, $D$11, 100%, $F$11)</f>
        <v>14.2438</v>
      </c>
      <c r="G499" s="8">
        <f>CHOOSE( CONTROL!$C$36, 13.4413, 13.4402) * CHOOSE( CONTROL!$C$19, $D$11, 100%, $F$11)</f>
        <v>13.4413</v>
      </c>
      <c r="H499" s="4">
        <f>CHOOSE( CONTROL!$C$36, 14.3189, 14.3179) * CHOOSE(CONTROL!$C$19, $D$11, 100%, $F$11)</f>
        <v>14.318899999999999</v>
      </c>
      <c r="I499" s="8">
        <f>CHOOSE( CONTROL!$C$36, 13.3386, 13.3376) * CHOOSE(CONTROL!$C$19, $D$11, 100%, $F$11)</f>
        <v>13.3386</v>
      </c>
      <c r="J499" s="4">
        <f>CHOOSE( CONTROL!$C$36, 13.1706, 13.1695) * CHOOSE(CONTROL!$C$19, $D$11, 100%, $F$11)</f>
        <v>13.1706</v>
      </c>
      <c r="K499" s="4"/>
      <c r="L499" s="9">
        <v>29.306000000000001</v>
      </c>
      <c r="M499" s="9">
        <v>12.063700000000001</v>
      </c>
      <c r="N499" s="9">
        <v>4.9444999999999997</v>
      </c>
      <c r="O499" s="9">
        <v>0.37409999999999999</v>
      </c>
      <c r="P499" s="9">
        <v>1.2927</v>
      </c>
      <c r="Q499" s="9">
        <v>19.814599999999999</v>
      </c>
      <c r="R499" s="9"/>
      <c r="S499" s="11"/>
    </row>
    <row r="500" spans="1:19" ht="15.75">
      <c r="A500" s="13">
        <v>56369</v>
      </c>
      <c r="B500" s="8">
        <f>CHOOSE( CONTROL!$C$36, 13.792, 13.791) * CHOOSE(CONTROL!$C$19, $D$11, 100%, $F$11)</f>
        <v>13.792</v>
      </c>
      <c r="C500" s="8">
        <f>CHOOSE( CONTROL!$C$36, 13.7966, 13.7955) * CHOOSE(CONTROL!$C$19, $D$11, 100%, $F$11)</f>
        <v>13.7966</v>
      </c>
      <c r="D500" s="8">
        <f>CHOOSE( CONTROL!$C$36, 13.817, 13.8159) * CHOOSE( CONTROL!$C$19, $D$11, 100%, $F$11)</f>
        <v>13.817</v>
      </c>
      <c r="E500" s="12">
        <f>CHOOSE( CONTROL!$C$36, 13.8097, 13.8086) * CHOOSE( CONTROL!$C$19, $D$11, 100%, $F$11)</f>
        <v>13.809699999999999</v>
      </c>
      <c r="F500" s="4">
        <f>CHOOSE( CONTROL!$C$36, 14.5264, 14.5254) * CHOOSE(CONTROL!$C$19, $D$11, 100%, $F$11)</f>
        <v>14.526400000000001</v>
      </c>
      <c r="G500" s="8">
        <f>CHOOSE( CONTROL!$C$36, 13.6532, 13.6521) * CHOOSE( CONTROL!$C$19, $D$11, 100%, $F$11)</f>
        <v>13.6532</v>
      </c>
      <c r="H500" s="4">
        <f>CHOOSE( CONTROL!$C$36, 14.5976, 14.5966) * CHOOSE(CONTROL!$C$19, $D$11, 100%, $F$11)</f>
        <v>14.5976</v>
      </c>
      <c r="I500" s="8">
        <f>CHOOSE( CONTROL!$C$36, 13.5084, 13.5073) * CHOOSE(CONTROL!$C$19, $D$11, 100%, $F$11)</f>
        <v>13.5084</v>
      </c>
      <c r="J500" s="4">
        <f>CHOOSE( CONTROL!$C$36, 13.3708, 13.3697) * CHOOSE(CONTROL!$C$19, $D$11, 100%, $F$11)</f>
        <v>13.370799999999999</v>
      </c>
      <c r="K500" s="4"/>
      <c r="L500" s="9">
        <v>30.092199999999998</v>
      </c>
      <c r="M500" s="9">
        <v>11.6745</v>
      </c>
      <c r="N500" s="9">
        <v>4.7850000000000001</v>
      </c>
      <c r="O500" s="9">
        <v>0.36199999999999999</v>
      </c>
      <c r="P500" s="9">
        <v>1.2509999999999999</v>
      </c>
      <c r="Q500" s="9">
        <v>19.1754</v>
      </c>
      <c r="R500" s="9"/>
      <c r="S500" s="11"/>
    </row>
    <row r="501" spans="1:19" ht="15.75">
      <c r="A501" s="13">
        <v>56400</v>
      </c>
      <c r="B501" s="8">
        <f>CHOOSE( CONTROL!$C$36, 14.1619, 14.1602) * CHOOSE(CONTROL!$C$19, $D$11, 100%, $F$11)</f>
        <v>14.161899999999999</v>
      </c>
      <c r="C501" s="8">
        <f>CHOOSE( CONTROL!$C$36, 14.1699, 14.1682) * CHOOSE(CONTROL!$C$19, $D$11, 100%, $F$11)</f>
        <v>14.1699</v>
      </c>
      <c r="D501" s="8">
        <f>CHOOSE( CONTROL!$C$36, 14.1841, 14.1824) * CHOOSE( CONTROL!$C$19, $D$11, 100%, $F$11)</f>
        <v>14.184100000000001</v>
      </c>
      <c r="E501" s="12">
        <f>CHOOSE( CONTROL!$C$36, 14.1777, 14.176) * CHOOSE( CONTROL!$C$19, $D$11, 100%, $F$11)</f>
        <v>14.1777</v>
      </c>
      <c r="F501" s="4">
        <f>CHOOSE( CONTROL!$C$36, 14.8949, 14.8933) * CHOOSE(CONTROL!$C$19, $D$11, 100%, $F$11)</f>
        <v>14.8949</v>
      </c>
      <c r="G501" s="8">
        <f>CHOOSE( CONTROL!$C$36, 14.0165, 14.0149) * CHOOSE( CONTROL!$C$19, $D$11, 100%, $F$11)</f>
        <v>14.016500000000001</v>
      </c>
      <c r="H501" s="4">
        <f>CHOOSE( CONTROL!$C$36, 14.961, 14.9593) * CHOOSE(CONTROL!$C$19, $D$11, 100%, $F$11)</f>
        <v>14.961</v>
      </c>
      <c r="I501" s="8">
        <f>CHOOSE( CONTROL!$C$36, 13.8649, 13.8633) * CHOOSE(CONTROL!$C$19, $D$11, 100%, $F$11)</f>
        <v>13.8649</v>
      </c>
      <c r="J501" s="4">
        <f>CHOOSE( CONTROL!$C$36, 13.7276, 13.7259) * CHOOSE(CONTROL!$C$19, $D$11, 100%, $F$11)</f>
        <v>13.727600000000001</v>
      </c>
      <c r="K501" s="4"/>
      <c r="L501" s="9">
        <v>30.7165</v>
      </c>
      <c r="M501" s="9">
        <v>12.063700000000001</v>
      </c>
      <c r="N501" s="9">
        <v>4.9444999999999997</v>
      </c>
      <c r="O501" s="9">
        <v>0.37409999999999999</v>
      </c>
      <c r="P501" s="9">
        <v>1.2927</v>
      </c>
      <c r="Q501" s="9">
        <v>19.814599999999999</v>
      </c>
      <c r="R501" s="9"/>
      <c r="S501" s="11"/>
    </row>
    <row r="502" spans="1:19" ht="15.75">
      <c r="A502" s="13">
        <v>56430</v>
      </c>
      <c r="B502" s="8">
        <f>CHOOSE( CONTROL!$C$36, 13.934, 13.9323) * CHOOSE(CONTROL!$C$19, $D$11, 100%, $F$11)</f>
        <v>13.933999999999999</v>
      </c>
      <c r="C502" s="8">
        <f>CHOOSE( CONTROL!$C$36, 13.942, 13.9403) * CHOOSE(CONTROL!$C$19, $D$11, 100%, $F$11)</f>
        <v>13.942</v>
      </c>
      <c r="D502" s="8">
        <f>CHOOSE( CONTROL!$C$36, 13.9564, 13.9547) * CHOOSE( CONTROL!$C$19, $D$11, 100%, $F$11)</f>
        <v>13.9564</v>
      </c>
      <c r="E502" s="12">
        <f>CHOOSE( CONTROL!$C$36, 13.95, 13.9483) * CHOOSE( CONTROL!$C$19, $D$11, 100%, $F$11)</f>
        <v>13.95</v>
      </c>
      <c r="F502" s="4">
        <f>CHOOSE( CONTROL!$C$36, 14.667, 14.6654) * CHOOSE(CONTROL!$C$19, $D$11, 100%, $F$11)</f>
        <v>14.667</v>
      </c>
      <c r="G502" s="8">
        <f>CHOOSE( CONTROL!$C$36, 13.7919, 13.7903) * CHOOSE( CONTROL!$C$19, $D$11, 100%, $F$11)</f>
        <v>13.7919</v>
      </c>
      <c r="H502" s="4">
        <f>CHOOSE( CONTROL!$C$36, 14.7362, 14.7346) * CHOOSE(CONTROL!$C$19, $D$11, 100%, $F$11)</f>
        <v>14.7362</v>
      </c>
      <c r="I502" s="8">
        <f>CHOOSE( CONTROL!$C$36, 13.6448, 13.6432) * CHOOSE(CONTROL!$C$19, $D$11, 100%, $F$11)</f>
        <v>13.6448</v>
      </c>
      <c r="J502" s="4">
        <f>CHOOSE( CONTROL!$C$36, 13.5069, 13.5053) * CHOOSE(CONTROL!$C$19, $D$11, 100%, $F$11)</f>
        <v>13.5069</v>
      </c>
      <c r="K502" s="4"/>
      <c r="L502" s="9">
        <v>29.7257</v>
      </c>
      <c r="M502" s="9">
        <v>11.6745</v>
      </c>
      <c r="N502" s="9">
        <v>4.7850000000000001</v>
      </c>
      <c r="O502" s="9">
        <v>0.36199999999999999</v>
      </c>
      <c r="P502" s="9">
        <v>1.2509999999999999</v>
      </c>
      <c r="Q502" s="9">
        <v>19.1754</v>
      </c>
      <c r="R502" s="9"/>
      <c r="S502" s="11"/>
    </row>
    <row r="503" spans="1:19" ht="15.75">
      <c r="A503" s="13">
        <v>56461</v>
      </c>
      <c r="B503" s="8">
        <f>CHOOSE( CONTROL!$C$36, 14.5341, 14.5325) * CHOOSE(CONTROL!$C$19, $D$11, 100%, $F$11)</f>
        <v>14.5341</v>
      </c>
      <c r="C503" s="8">
        <f>CHOOSE( CONTROL!$C$36, 14.5421, 14.5405) * CHOOSE(CONTROL!$C$19, $D$11, 100%, $F$11)</f>
        <v>14.5421</v>
      </c>
      <c r="D503" s="8">
        <f>CHOOSE( CONTROL!$C$36, 14.5568, 14.5551) * CHOOSE( CONTROL!$C$19, $D$11, 100%, $F$11)</f>
        <v>14.556800000000001</v>
      </c>
      <c r="E503" s="12">
        <f>CHOOSE( CONTROL!$C$36, 14.5503, 14.5486) * CHOOSE( CONTROL!$C$19, $D$11, 100%, $F$11)</f>
        <v>14.5503</v>
      </c>
      <c r="F503" s="4">
        <f>CHOOSE( CONTROL!$C$36, 15.2672, 15.2655) * CHOOSE(CONTROL!$C$19, $D$11, 100%, $F$11)</f>
        <v>15.267200000000001</v>
      </c>
      <c r="G503" s="8">
        <f>CHOOSE( CONTROL!$C$36, 14.3839, 14.3823) * CHOOSE( CONTROL!$C$19, $D$11, 100%, $F$11)</f>
        <v>14.383900000000001</v>
      </c>
      <c r="H503" s="4">
        <f>CHOOSE( CONTROL!$C$36, 15.328, 15.3264) * CHOOSE(CONTROL!$C$19, $D$11, 100%, $F$11)</f>
        <v>15.327999999999999</v>
      </c>
      <c r="I503" s="8">
        <f>CHOOSE( CONTROL!$C$36, 14.2271, 14.2255) * CHOOSE(CONTROL!$C$19, $D$11, 100%, $F$11)</f>
        <v>14.2271</v>
      </c>
      <c r="J503" s="4">
        <f>CHOOSE( CONTROL!$C$36, 14.088, 14.0864) * CHOOSE(CONTROL!$C$19, $D$11, 100%, $F$11)</f>
        <v>14.087999999999999</v>
      </c>
      <c r="K503" s="4"/>
      <c r="L503" s="9">
        <v>30.7165</v>
      </c>
      <c r="M503" s="9">
        <v>12.063700000000001</v>
      </c>
      <c r="N503" s="9">
        <v>4.9444999999999997</v>
      </c>
      <c r="O503" s="9">
        <v>0.37409999999999999</v>
      </c>
      <c r="P503" s="9">
        <v>1.2927</v>
      </c>
      <c r="Q503" s="9">
        <v>19.814599999999999</v>
      </c>
      <c r="R503" s="9"/>
      <c r="S503" s="11"/>
    </row>
    <row r="504" spans="1:19" ht="15.75">
      <c r="A504" s="13">
        <v>56492</v>
      </c>
      <c r="B504" s="8">
        <f>CHOOSE( CONTROL!$C$36, 13.4112, 13.4095) * CHOOSE(CONTROL!$C$19, $D$11, 100%, $F$11)</f>
        <v>13.411199999999999</v>
      </c>
      <c r="C504" s="8">
        <f>CHOOSE( CONTROL!$C$36, 13.4192, 13.4175) * CHOOSE(CONTROL!$C$19, $D$11, 100%, $F$11)</f>
        <v>13.4192</v>
      </c>
      <c r="D504" s="8">
        <f>CHOOSE( CONTROL!$C$36, 13.4339, 13.4322) * CHOOSE( CONTROL!$C$19, $D$11, 100%, $F$11)</f>
        <v>13.4339</v>
      </c>
      <c r="E504" s="12">
        <f>CHOOSE( CONTROL!$C$36, 13.4274, 13.4257) * CHOOSE( CONTROL!$C$19, $D$11, 100%, $F$11)</f>
        <v>13.4274</v>
      </c>
      <c r="F504" s="4">
        <f>CHOOSE( CONTROL!$C$36, 14.1442, 14.1426) * CHOOSE(CONTROL!$C$19, $D$11, 100%, $F$11)</f>
        <v>14.1442</v>
      </c>
      <c r="G504" s="8">
        <f>CHOOSE( CONTROL!$C$36, 13.2767, 13.275) * CHOOSE( CONTROL!$C$19, $D$11, 100%, $F$11)</f>
        <v>13.2767</v>
      </c>
      <c r="H504" s="4">
        <f>CHOOSE( CONTROL!$C$36, 14.2207, 14.2191) * CHOOSE(CONTROL!$C$19, $D$11, 100%, $F$11)</f>
        <v>14.220700000000001</v>
      </c>
      <c r="I504" s="8">
        <f>CHOOSE( CONTROL!$C$36, 13.1394, 13.1378) * CHOOSE(CONTROL!$C$19, $D$11, 100%, $F$11)</f>
        <v>13.1394</v>
      </c>
      <c r="J504" s="4">
        <f>CHOOSE( CONTROL!$C$36, 13.0006, 12.999) * CHOOSE(CONTROL!$C$19, $D$11, 100%, $F$11)</f>
        <v>13.0006</v>
      </c>
      <c r="K504" s="4"/>
      <c r="L504" s="9">
        <v>30.7165</v>
      </c>
      <c r="M504" s="9">
        <v>12.063700000000001</v>
      </c>
      <c r="N504" s="9">
        <v>4.9444999999999997</v>
      </c>
      <c r="O504" s="9">
        <v>0.37409999999999999</v>
      </c>
      <c r="P504" s="9">
        <v>1.2927</v>
      </c>
      <c r="Q504" s="9">
        <v>19.814599999999999</v>
      </c>
      <c r="R504" s="9"/>
      <c r="S504" s="11"/>
    </row>
    <row r="505" spans="1:19" ht="15.75">
      <c r="A505" s="13">
        <v>56522</v>
      </c>
      <c r="B505" s="8">
        <f>CHOOSE( CONTROL!$C$36, 13.13, 13.1283) * CHOOSE(CONTROL!$C$19, $D$11, 100%, $F$11)</f>
        <v>13.13</v>
      </c>
      <c r="C505" s="8">
        <f>CHOOSE( CONTROL!$C$36, 13.138, 13.1363) * CHOOSE(CONTROL!$C$19, $D$11, 100%, $F$11)</f>
        <v>13.138</v>
      </c>
      <c r="D505" s="8">
        <f>CHOOSE( CONTROL!$C$36, 13.1526, 13.1509) * CHOOSE( CONTROL!$C$19, $D$11, 100%, $F$11)</f>
        <v>13.1526</v>
      </c>
      <c r="E505" s="12">
        <f>CHOOSE( CONTROL!$C$36, 13.1461, 13.1444) * CHOOSE( CONTROL!$C$19, $D$11, 100%, $F$11)</f>
        <v>13.146100000000001</v>
      </c>
      <c r="F505" s="4">
        <f>CHOOSE( CONTROL!$C$36, 13.863, 13.8613) * CHOOSE(CONTROL!$C$19, $D$11, 100%, $F$11)</f>
        <v>13.863</v>
      </c>
      <c r="G505" s="8">
        <f>CHOOSE( CONTROL!$C$36, 12.9993, 12.9977) * CHOOSE( CONTROL!$C$19, $D$11, 100%, $F$11)</f>
        <v>12.9993</v>
      </c>
      <c r="H505" s="4">
        <f>CHOOSE( CONTROL!$C$36, 13.9434, 13.9418) * CHOOSE(CONTROL!$C$19, $D$11, 100%, $F$11)</f>
        <v>13.9434</v>
      </c>
      <c r="I505" s="8">
        <f>CHOOSE( CONTROL!$C$36, 12.8666, 12.865) * CHOOSE(CONTROL!$C$19, $D$11, 100%, $F$11)</f>
        <v>12.8666</v>
      </c>
      <c r="J505" s="4">
        <f>CHOOSE( CONTROL!$C$36, 12.7284, 12.7267) * CHOOSE(CONTROL!$C$19, $D$11, 100%, $F$11)</f>
        <v>12.728400000000001</v>
      </c>
      <c r="K505" s="4"/>
      <c r="L505" s="9">
        <v>29.7257</v>
      </c>
      <c r="M505" s="9">
        <v>11.6745</v>
      </c>
      <c r="N505" s="9">
        <v>4.7850000000000001</v>
      </c>
      <c r="O505" s="9">
        <v>0.36199999999999999</v>
      </c>
      <c r="P505" s="9">
        <v>1.2509999999999999</v>
      </c>
      <c r="Q505" s="9">
        <v>19.1754</v>
      </c>
      <c r="R505" s="9"/>
      <c r="S505" s="11"/>
    </row>
    <row r="506" spans="1:19" ht="15.75">
      <c r="A506" s="13">
        <v>56553</v>
      </c>
      <c r="B506" s="8">
        <f>CHOOSE( CONTROL!$C$36, 13.7116, 13.7105) * CHOOSE(CONTROL!$C$19, $D$11, 100%, $F$11)</f>
        <v>13.711600000000001</v>
      </c>
      <c r="C506" s="8">
        <f>CHOOSE( CONTROL!$C$36, 13.7169, 13.7158) * CHOOSE(CONTROL!$C$19, $D$11, 100%, $F$11)</f>
        <v>13.716900000000001</v>
      </c>
      <c r="D506" s="8">
        <f>CHOOSE( CONTROL!$C$36, 13.7374, 13.7363) * CHOOSE( CONTROL!$C$19, $D$11, 100%, $F$11)</f>
        <v>13.737399999999999</v>
      </c>
      <c r="E506" s="12">
        <f>CHOOSE( CONTROL!$C$36, 13.7301, 13.729) * CHOOSE( CONTROL!$C$19, $D$11, 100%, $F$11)</f>
        <v>13.7301</v>
      </c>
      <c r="F506" s="4">
        <f>CHOOSE( CONTROL!$C$36, 14.4463, 14.4452) * CHOOSE(CONTROL!$C$19, $D$11, 100%, $F$11)</f>
        <v>14.446300000000001</v>
      </c>
      <c r="G506" s="8">
        <f>CHOOSE( CONTROL!$C$36, 13.5747, 13.5736) * CHOOSE( CONTROL!$C$19, $D$11, 100%, $F$11)</f>
        <v>13.5747</v>
      </c>
      <c r="H506" s="4">
        <f>CHOOSE( CONTROL!$C$36, 14.5186, 14.5175) * CHOOSE(CONTROL!$C$19, $D$11, 100%, $F$11)</f>
        <v>14.518599999999999</v>
      </c>
      <c r="I506" s="8">
        <f>CHOOSE( CONTROL!$C$36, 13.4327, 13.4317) * CHOOSE(CONTROL!$C$19, $D$11, 100%, $F$11)</f>
        <v>13.432700000000001</v>
      </c>
      <c r="J506" s="4">
        <f>CHOOSE( CONTROL!$C$36, 13.2932, 13.2921) * CHOOSE(CONTROL!$C$19, $D$11, 100%, $F$11)</f>
        <v>13.293200000000001</v>
      </c>
      <c r="K506" s="4"/>
      <c r="L506" s="9">
        <v>31.095300000000002</v>
      </c>
      <c r="M506" s="9">
        <v>12.063700000000001</v>
      </c>
      <c r="N506" s="9">
        <v>4.9444999999999997</v>
      </c>
      <c r="O506" s="9">
        <v>0.37409999999999999</v>
      </c>
      <c r="P506" s="9">
        <v>1.2927</v>
      </c>
      <c r="Q506" s="9">
        <v>19.814599999999999</v>
      </c>
      <c r="R506" s="9"/>
      <c r="S506" s="11"/>
    </row>
    <row r="507" spans="1:19" ht="15.75">
      <c r="A507" s="13">
        <v>56583</v>
      </c>
      <c r="B507" s="8">
        <f>CHOOSE( CONTROL!$C$36, 14.7889, 14.7878) * CHOOSE(CONTROL!$C$19, $D$11, 100%, $F$11)</f>
        <v>14.7889</v>
      </c>
      <c r="C507" s="8">
        <f>CHOOSE( CONTROL!$C$36, 14.794, 14.7929) * CHOOSE(CONTROL!$C$19, $D$11, 100%, $F$11)</f>
        <v>14.794</v>
      </c>
      <c r="D507" s="8">
        <f>CHOOSE( CONTROL!$C$36, 14.7732, 14.7721) * CHOOSE( CONTROL!$C$19, $D$11, 100%, $F$11)</f>
        <v>14.773199999999999</v>
      </c>
      <c r="E507" s="12">
        <f>CHOOSE( CONTROL!$C$36, 14.7803, 14.7792) * CHOOSE( CONTROL!$C$19, $D$11, 100%, $F$11)</f>
        <v>14.7803</v>
      </c>
      <c r="F507" s="4">
        <f>CHOOSE( CONTROL!$C$36, 15.4481, 15.447) * CHOOSE(CONTROL!$C$19, $D$11, 100%, $F$11)</f>
        <v>15.4481</v>
      </c>
      <c r="G507" s="8">
        <f>CHOOSE( CONTROL!$C$36, 14.6173, 14.6162) * CHOOSE( CONTROL!$C$19, $D$11, 100%, $F$11)</f>
        <v>14.6173</v>
      </c>
      <c r="H507" s="4">
        <f>CHOOSE( CONTROL!$C$36, 15.5064, 15.5054) * CHOOSE(CONTROL!$C$19, $D$11, 100%, $F$11)</f>
        <v>15.506399999999999</v>
      </c>
      <c r="I507" s="8">
        <f>CHOOSE( CONTROL!$C$36, 14.5259, 14.5249) * CHOOSE(CONTROL!$C$19, $D$11, 100%, $F$11)</f>
        <v>14.5259</v>
      </c>
      <c r="J507" s="4">
        <f>CHOOSE( CONTROL!$C$36, 14.3367, 14.3357) * CHOOSE(CONTROL!$C$19, $D$11, 100%, $F$11)</f>
        <v>14.3367</v>
      </c>
      <c r="K507" s="4"/>
      <c r="L507" s="9">
        <v>28.360600000000002</v>
      </c>
      <c r="M507" s="9">
        <v>11.6745</v>
      </c>
      <c r="N507" s="9">
        <v>4.7850000000000001</v>
      </c>
      <c r="O507" s="9">
        <v>0.36199999999999999</v>
      </c>
      <c r="P507" s="9">
        <v>1.2509999999999999</v>
      </c>
      <c r="Q507" s="9">
        <v>19.1754</v>
      </c>
      <c r="R507" s="9"/>
      <c r="S507" s="11"/>
    </row>
    <row r="508" spans="1:19" ht="15.75">
      <c r="A508" s="13">
        <v>56614</v>
      </c>
      <c r="B508" s="8">
        <f>CHOOSE( CONTROL!$C$36, 14.7619, 14.7609) * CHOOSE(CONTROL!$C$19, $D$11, 100%, $F$11)</f>
        <v>14.761900000000001</v>
      </c>
      <c r="C508" s="8">
        <f>CHOOSE( CONTROL!$C$36, 14.767, 14.766) * CHOOSE(CONTROL!$C$19, $D$11, 100%, $F$11)</f>
        <v>14.766999999999999</v>
      </c>
      <c r="D508" s="8">
        <f>CHOOSE( CONTROL!$C$36, 14.7476, 14.7466) * CHOOSE( CONTROL!$C$19, $D$11, 100%, $F$11)</f>
        <v>14.7476</v>
      </c>
      <c r="E508" s="12">
        <f>CHOOSE( CONTROL!$C$36, 14.7542, 14.7532) * CHOOSE( CONTROL!$C$19, $D$11, 100%, $F$11)</f>
        <v>14.754200000000001</v>
      </c>
      <c r="F508" s="4">
        <f>CHOOSE( CONTROL!$C$36, 15.4212, 15.4201) * CHOOSE(CONTROL!$C$19, $D$11, 100%, $F$11)</f>
        <v>15.421200000000001</v>
      </c>
      <c r="G508" s="8">
        <f>CHOOSE( CONTROL!$C$36, 14.5917, 14.5907) * CHOOSE( CONTROL!$C$19, $D$11, 100%, $F$11)</f>
        <v>14.591699999999999</v>
      </c>
      <c r="H508" s="4">
        <f>CHOOSE( CONTROL!$C$36, 15.4799, 15.4788) * CHOOSE(CONTROL!$C$19, $D$11, 100%, $F$11)</f>
        <v>15.479900000000001</v>
      </c>
      <c r="I508" s="8">
        <f>CHOOSE( CONTROL!$C$36, 14.5041, 14.5031) * CHOOSE(CONTROL!$C$19, $D$11, 100%, $F$11)</f>
        <v>14.504099999999999</v>
      </c>
      <c r="J508" s="4">
        <f>CHOOSE( CONTROL!$C$36, 14.3106, 14.3096) * CHOOSE(CONTROL!$C$19, $D$11, 100%, $F$11)</f>
        <v>14.310600000000001</v>
      </c>
      <c r="K508" s="4"/>
      <c r="L508" s="9">
        <v>29.306000000000001</v>
      </c>
      <c r="M508" s="9">
        <v>12.063700000000001</v>
      </c>
      <c r="N508" s="9">
        <v>4.9444999999999997</v>
      </c>
      <c r="O508" s="9">
        <v>0.37409999999999999</v>
      </c>
      <c r="P508" s="9">
        <v>1.2927</v>
      </c>
      <c r="Q508" s="9">
        <v>19.814599999999999</v>
      </c>
      <c r="R508" s="9"/>
      <c r="S508" s="11"/>
    </row>
    <row r="509" spans="1:19" ht="15.75">
      <c r="A509" s="13">
        <v>56645</v>
      </c>
      <c r="B509" s="8">
        <f>CHOOSE( CONTROL!$C$36, 15.1978, 15.1968) * CHOOSE(CONTROL!$C$19, $D$11, 100%, $F$11)</f>
        <v>15.197800000000001</v>
      </c>
      <c r="C509" s="8">
        <f>CHOOSE( CONTROL!$C$36, 15.2029, 15.2019) * CHOOSE(CONTROL!$C$19, $D$11, 100%, $F$11)</f>
        <v>15.2029</v>
      </c>
      <c r="D509" s="8">
        <f>CHOOSE( CONTROL!$C$36, 15.2042, 15.2031) * CHOOSE( CONTROL!$C$19, $D$11, 100%, $F$11)</f>
        <v>15.2042</v>
      </c>
      <c r="E509" s="12">
        <f>CHOOSE( CONTROL!$C$36, 15.2032, 15.2021) * CHOOSE( CONTROL!$C$19, $D$11, 100%, $F$11)</f>
        <v>15.203200000000001</v>
      </c>
      <c r="F509" s="4">
        <f>CHOOSE( CONTROL!$C$36, 15.8571, 15.856) * CHOOSE(CONTROL!$C$19, $D$11, 100%, $F$11)</f>
        <v>15.857100000000001</v>
      </c>
      <c r="G509" s="8">
        <f>CHOOSE( CONTROL!$C$36, 15.0326, 15.0315) * CHOOSE( CONTROL!$C$19, $D$11, 100%, $F$11)</f>
        <v>15.0326</v>
      </c>
      <c r="H509" s="4">
        <f>CHOOSE( CONTROL!$C$36, 15.9097, 15.9086) * CHOOSE(CONTROL!$C$19, $D$11, 100%, $F$11)</f>
        <v>15.909700000000001</v>
      </c>
      <c r="I509" s="8">
        <f>CHOOSE( CONTROL!$C$36, 14.9039, 14.9029) * CHOOSE(CONTROL!$C$19, $D$11, 100%, $F$11)</f>
        <v>14.9039</v>
      </c>
      <c r="J509" s="4">
        <f>CHOOSE( CONTROL!$C$36, 14.7327, 14.7317) * CHOOSE(CONTROL!$C$19, $D$11, 100%, $F$11)</f>
        <v>14.732699999999999</v>
      </c>
      <c r="K509" s="4"/>
      <c r="L509" s="9">
        <v>29.306000000000001</v>
      </c>
      <c r="M509" s="9">
        <v>12.063700000000001</v>
      </c>
      <c r="N509" s="9">
        <v>4.9444999999999997</v>
      </c>
      <c r="O509" s="9">
        <v>0.37409999999999999</v>
      </c>
      <c r="P509" s="9">
        <v>1.2927</v>
      </c>
      <c r="Q509" s="9">
        <v>19.751300000000001</v>
      </c>
      <c r="R509" s="9"/>
      <c r="S509" s="11"/>
    </row>
    <row r="510" spans="1:19" ht="15.75">
      <c r="A510" s="13">
        <v>56673</v>
      </c>
      <c r="B510" s="8">
        <f>CHOOSE( CONTROL!$C$36, 14.2143, 14.2132) * CHOOSE(CONTROL!$C$19, $D$11, 100%, $F$11)</f>
        <v>14.2143</v>
      </c>
      <c r="C510" s="8">
        <f>CHOOSE( CONTROL!$C$36, 14.2194, 14.2183) * CHOOSE(CONTROL!$C$19, $D$11, 100%, $F$11)</f>
        <v>14.2194</v>
      </c>
      <c r="D510" s="8">
        <f>CHOOSE( CONTROL!$C$36, 14.2205, 14.2195) * CHOOSE( CONTROL!$C$19, $D$11, 100%, $F$11)</f>
        <v>14.220499999999999</v>
      </c>
      <c r="E510" s="12">
        <f>CHOOSE( CONTROL!$C$36, 14.2196, 14.2185) * CHOOSE( CONTROL!$C$19, $D$11, 100%, $F$11)</f>
        <v>14.2196</v>
      </c>
      <c r="F510" s="4">
        <f>CHOOSE( CONTROL!$C$36, 14.8735, 14.8725) * CHOOSE(CONTROL!$C$19, $D$11, 100%, $F$11)</f>
        <v>14.8735</v>
      </c>
      <c r="G510" s="8">
        <f>CHOOSE( CONTROL!$C$36, 14.0627, 14.0616) * CHOOSE( CONTROL!$C$19, $D$11, 100%, $F$11)</f>
        <v>14.0627</v>
      </c>
      <c r="H510" s="4">
        <f>CHOOSE( CONTROL!$C$36, 14.9399, 14.9388) * CHOOSE(CONTROL!$C$19, $D$11, 100%, $F$11)</f>
        <v>14.9399</v>
      </c>
      <c r="I510" s="8">
        <f>CHOOSE( CONTROL!$C$36, 13.9507, 13.9496) * CHOOSE(CONTROL!$C$19, $D$11, 100%, $F$11)</f>
        <v>13.950699999999999</v>
      </c>
      <c r="J510" s="4">
        <f>CHOOSE( CONTROL!$C$36, 13.7804, 13.7793) * CHOOSE(CONTROL!$C$19, $D$11, 100%, $F$11)</f>
        <v>13.7804</v>
      </c>
      <c r="K510" s="4"/>
      <c r="L510" s="9">
        <v>26.469899999999999</v>
      </c>
      <c r="M510" s="9">
        <v>10.8962</v>
      </c>
      <c r="N510" s="9">
        <v>4.4660000000000002</v>
      </c>
      <c r="O510" s="9">
        <v>0.33789999999999998</v>
      </c>
      <c r="P510" s="9">
        <v>1.1676</v>
      </c>
      <c r="Q510" s="9">
        <v>17.8399</v>
      </c>
      <c r="R510" s="9"/>
      <c r="S510" s="11"/>
    </row>
    <row r="511" spans="1:19" ht="15.75">
      <c r="A511" s="13">
        <v>56704</v>
      </c>
      <c r="B511" s="8">
        <f>CHOOSE( CONTROL!$C$36, 13.9114, 13.9103) * CHOOSE(CONTROL!$C$19, $D$11, 100%, $F$11)</f>
        <v>13.9114</v>
      </c>
      <c r="C511" s="8">
        <f>CHOOSE( CONTROL!$C$36, 13.9165, 13.9154) * CHOOSE(CONTROL!$C$19, $D$11, 100%, $F$11)</f>
        <v>13.916499999999999</v>
      </c>
      <c r="D511" s="8">
        <f>CHOOSE( CONTROL!$C$36, 13.917, 13.9159) * CHOOSE( CONTROL!$C$19, $D$11, 100%, $F$11)</f>
        <v>13.917</v>
      </c>
      <c r="E511" s="12">
        <f>CHOOSE( CONTROL!$C$36, 13.9163, 13.9152) * CHOOSE( CONTROL!$C$19, $D$11, 100%, $F$11)</f>
        <v>13.9163</v>
      </c>
      <c r="F511" s="4">
        <f>CHOOSE( CONTROL!$C$36, 14.5706, 14.5695) * CHOOSE(CONTROL!$C$19, $D$11, 100%, $F$11)</f>
        <v>14.570600000000001</v>
      </c>
      <c r="G511" s="8">
        <f>CHOOSE( CONTROL!$C$36, 13.7635, 13.7624) * CHOOSE( CONTROL!$C$19, $D$11, 100%, $F$11)</f>
        <v>13.763500000000001</v>
      </c>
      <c r="H511" s="4">
        <f>CHOOSE( CONTROL!$C$36, 14.6412, 14.6401) * CHOOSE(CONTROL!$C$19, $D$11, 100%, $F$11)</f>
        <v>14.6412</v>
      </c>
      <c r="I511" s="8">
        <f>CHOOSE( CONTROL!$C$36, 13.6552, 13.6541) * CHOOSE(CONTROL!$C$19, $D$11, 100%, $F$11)</f>
        <v>13.655200000000001</v>
      </c>
      <c r="J511" s="4">
        <f>CHOOSE( CONTROL!$C$36, 13.487, 13.486) * CHOOSE(CONTROL!$C$19, $D$11, 100%, $F$11)</f>
        <v>13.487</v>
      </c>
      <c r="K511" s="4"/>
      <c r="L511" s="9">
        <v>29.306000000000001</v>
      </c>
      <c r="M511" s="9">
        <v>12.063700000000001</v>
      </c>
      <c r="N511" s="9">
        <v>4.9444999999999997</v>
      </c>
      <c r="O511" s="9">
        <v>0.37409999999999999</v>
      </c>
      <c r="P511" s="9">
        <v>1.2927</v>
      </c>
      <c r="Q511" s="9">
        <v>19.751300000000001</v>
      </c>
      <c r="R511" s="9"/>
      <c r="S511" s="11"/>
    </row>
    <row r="512" spans="1:19" ht="15.75">
      <c r="A512" s="13">
        <v>56734</v>
      </c>
      <c r="B512" s="8">
        <f>CHOOSE( CONTROL!$C$36, 14.1238, 14.1227) * CHOOSE(CONTROL!$C$19, $D$11, 100%, $F$11)</f>
        <v>14.123799999999999</v>
      </c>
      <c r="C512" s="8">
        <f>CHOOSE( CONTROL!$C$36, 14.1283, 14.1272) * CHOOSE(CONTROL!$C$19, $D$11, 100%, $F$11)</f>
        <v>14.128299999999999</v>
      </c>
      <c r="D512" s="8">
        <f>CHOOSE( CONTROL!$C$36, 14.1487, 14.1476) * CHOOSE( CONTROL!$C$19, $D$11, 100%, $F$11)</f>
        <v>14.1487</v>
      </c>
      <c r="E512" s="12">
        <f>CHOOSE( CONTROL!$C$36, 14.1414, 14.1403) * CHOOSE( CONTROL!$C$19, $D$11, 100%, $F$11)</f>
        <v>14.141400000000001</v>
      </c>
      <c r="F512" s="4">
        <f>CHOOSE( CONTROL!$C$36, 14.8582, 14.8571) * CHOOSE(CONTROL!$C$19, $D$11, 100%, $F$11)</f>
        <v>14.8582</v>
      </c>
      <c r="G512" s="8">
        <f>CHOOSE( CONTROL!$C$36, 13.9803, 13.9793) * CHOOSE( CONTROL!$C$19, $D$11, 100%, $F$11)</f>
        <v>13.9803</v>
      </c>
      <c r="H512" s="4">
        <f>CHOOSE( CONTROL!$C$36, 14.9248, 14.9237) * CHOOSE(CONTROL!$C$19, $D$11, 100%, $F$11)</f>
        <v>14.924799999999999</v>
      </c>
      <c r="I512" s="8">
        <f>CHOOSE( CONTROL!$C$36, 13.8298, 13.8287) * CHOOSE(CONTROL!$C$19, $D$11, 100%, $F$11)</f>
        <v>13.829800000000001</v>
      </c>
      <c r="J512" s="4">
        <f>CHOOSE( CONTROL!$C$36, 13.692, 13.6909) * CHOOSE(CONTROL!$C$19, $D$11, 100%, $F$11)</f>
        <v>13.692</v>
      </c>
      <c r="K512" s="4"/>
      <c r="L512" s="9">
        <v>30.092199999999998</v>
      </c>
      <c r="M512" s="9">
        <v>11.6745</v>
      </c>
      <c r="N512" s="9">
        <v>4.7850000000000001</v>
      </c>
      <c r="O512" s="9">
        <v>0.36199999999999999</v>
      </c>
      <c r="P512" s="9">
        <v>1.2509999999999999</v>
      </c>
      <c r="Q512" s="9">
        <v>19.1142</v>
      </c>
      <c r="R512" s="9"/>
      <c r="S512" s="11"/>
    </row>
    <row r="513" spans="1:19" ht="15.75">
      <c r="A513" s="13">
        <v>56765</v>
      </c>
      <c r="B513" s="8">
        <f>CHOOSE( CONTROL!$C$36, 14.5025, 14.5008) * CHOOSE(CONTROL!$C$19, $D$11, 100%, $F$11)</f>
        <v>14.5025</v>
      </c>
      <c r="C513" s="8">
        <f>CHOOSE( CONTROL!$C$36, 14.5105, 14.5088) * CHOOSE(CONTROL!$C$19, $D$11, 100%, $F$11)</f>
        <v>14.5105</v>
      </c>
      <c r="D513" s="8">
        <f>CHOOSE( CONTROL!$C$36, 14.5247, 14.523) * CHOOSE( CONTROL!$C$19, $D$11, 100%, $F$11)</f>
        <v>14.524699999999999</v>
      </c>
      <c r="E513" s="12">
        <f>CHOOSE( CONTROL!$C$36, 14.5183, 14.5166) * CHOOSE( CONTROL!$C$19, $D$11, 100%, $F$11)</f>
        <v>14.5183</v>
      </c>
      <c r="F513" s="4">
        <f>CHOOSE( CONTROL!$C$36, 15.2355, 15.2339) * CHOOSE(CONTROL!$C$19, $D$11, 100%, $F$11)</f>
        <v>15.2355</v>
      </c>
      <c r="G513" s="8">
        <f>CHOOSE( CONTROL!$C$36, 14.3523, 14.3507) * CHOOSE( CONTROL!$C$19, $D$11, 100%, $F$11)</f>
        <v>14.3523</v>
      </c>
      <c r="H513" s="4">
        <f>CHOOSE( CONTROL!$C$36, 15.2968, 15.2952) * CHOOSE(CONTROL!$C$19, $D$11, 100%, $F$11)</f>
        <v>15.296799999999999</v>
      </c>
      <c r="I513" s="8">
        <f>CHOOSE( CONTROL!$C$36, 14.1949, 14.1933) * CHOOSE(CONTROL!$C$19, $D$11, 100%, $F$11)</f>
        <v>14.194900000000001</v>
      </c>
      <c r="J513" s="4">
        <f>CHOOSE( CONTROL!$C$36, 14.0574, 14.0557) * CHOOSE(CONTROL!$C$19, $D$11, 100%, $F$11)</f>
        <v>14.057399999999999</v>
      </c>
      <c r="K513" s="4"/>
      <c r="L513" s="9">
        <v>30.7165</v>
      </c>
      <c r="M513" s="9">
        <v>12.063700000000001</v>
      </c>
      <c r="N513" s="9">
        <v>4.9444999999999997</v>
      </c>
      <c r="O513" s="9">
        <v>0.37409999999999999</v>
      </c>
      <c r="P513" s="9">
        <v>1.2927</v>
      </c>
      <c r="Q513" s="9">
        <v>19.751300000000001</v>
      </c>
      <c r="R513" s="9"/>
      <c r="S513" s="11"/>
    </row>
    <row r="514" spans="1:19" ht="15.75">
      <c r="A514" s="13">
        <v>56795</v>
      </c>
      <c r="B514" s="8">
        <f>CHOOSE( CONTROL!$C$36, 14.2691, 14.2674) * CHOOSE(CONTROL!$C$19, $D$11, 100%, $F$11)</f>
        <v>14.2691</v>
      </c>
      <c r="C514" s="8">
        <f>CHOOSE( CONTROL!$C$36, 14.2771, 14.2754) * CHOOSE(CONTROL!$C$19, $D$11, 100%, $F$11)</f>
        <v>14.277100000000001</v>
      </c>
      <c r="D514" s="8">
        <f>CHOOSE( CONTROL!$C$36, 14.2915, 14.2898) * CHOOSE( CONTROL!$C$19, $D$11, 100%, $F$11)</f>
        <v>14.291499999999999</v>
      </c>
      <c r="E514" s="12">
        <f>CHOOSE( CONTROL!$C$36, 14.2851, 14.2834) * CHOOSE( CONTROL!$C$19, $D$11, 100%, $F$11)</f>
        <v>14.2851</v>
      </c>
      <c r="F514" s="4">
        <f>CHOOSE( CONTROL!$C$36, 15.0021, 15.0005) * CHOOSE(CONTROL!$C$19, $D$11, 100%, $F$11)</f>
        <v>15.0021</v>
      </c>
      <c r="G514" s="8">
        <f>CHOOSE( CONTROL!$C$36, 14.1224, 14.1207) * CHOOSE( CONTROL!$C$19, $D$11, 100%, $F$11)</f>
        <v>14.122400000000001</v>
      </c>
      <c r="H514" s="4">
        <f>CHOOSE( CONTROL!$C$36, 15.0667, 15.065) * CHOOSE(CONTROL!$C$19, $D$11, 100%, $F$11)</f>
        <v>15.066700000000001</v>
      </c>
      <c r="I514" s="8">
        <f>CHOOSE( CONTROL!$C$36, 13.9695, 13.9679) * CHOOSE(CONTROL!$C$19, $D$11, 100%, $F$11)</f>
        <v>13.9695</v>
      </c>
      <c r="J514" s="4">
        <f>CHOOSE( CONTROL!$C$36, 13.8314, 13.8298) * CHOOSE(CONTROL!$C$19, $D$11, 100%, $F$11)</f>
        <v>13.8314</v>
      </c>
      <c r="K514" s="4"/>
      <c r="L514" s="9">
        <v>29.7257</v>
      </c>
      <c r="M514" s="9">
        <v>11.6745</v>
      </c>
      <c r="N514" s="9">
        <v>4.7850000000000001</v>
      </c>
      <c r="O514" s="9">
        <v>0.36199999999999999</v>
      </c>
      <c r="P514" s="9">
        <v>1.2509999999999999</v>
      </c>
      <c r="Q514" s="9">
        <v>19.1142</v>
      </c>
      <c r="R514" s="9"/>
      <c r="S514" s="11"/>
    </row>
    <row r="515" spans="1:19" ht="15.75">
      <c r="A515" s="13">
        <v>56826</v>
      </c>
      <c r="B515" s="8">
        <f>CHOOSE( CONTROL!$C$36, 14.8837, 14.882) * CHOOSE(CONTROL!$C$19, $D$11, 100%, $F$11)</f>
        <v>14.883699999999999</v>
      </c>
      <c r="C515" s="8">
        <f>CHOOSE( CONTROL!$C$36, 14.8917, 14.89) * CHOOSE(CONTROL!$C$19, $D$11, 100%, $F$11)</f>
        <v>14.8917</v>
      </c>
      <c r="D515" s="8">
        <f>CHOOSE( CONTROL!$C$36, 14.9063, 14.9047) * CHOOSE( CONTROL!$C$19, $D$11, 100%, $F$11)</f>
        <v>14.9063</v>
      </c>
      <c r="E515" s="12">
        <f>CHOOSE( CONTROL!$C$36, 14.8998, 14.8982) * CHOOSE( CONTROL!$C$19, $D$11, 100%, $F$11)</f>
        <v>14.899800000000001</v>
      </c>
      <c r="F515" s="4">
        <f>CHOOSE( CONTROL!$C$36, 15.6167, 15.6151) * CHOOSE(CONTROL!$C$19, $D$11, 100%, $F$11)</f>
        <v>15.6167</v>
      </c>
      <c r="G515" s="8">
        <f>CHOOSE( CONTROL!$C$36, 14.7286, 14.7269) * CHOOSE( CONTROL!$C$19, $D$11, 100%, $F$11)</f>
        <v>14.7286</v>
      </c>
      <c r="H515" s="4">
        <f>CHOOSE( CONTROL!$C$36, 15.6727, 15.6711) * CHOOSE(CONTROL!$C$19, $D$11, 100%, $F$11)</f>
        <v>15.672700000000001</v>
      </c>
      <c r="I515" s="8">
        <f>CHOOSE( CONTROL!$C$36, 14.5657, 14.5641) * CHOOSE(CONTROL!$C$19, $D$11, 100%, $F$11)</f>
        <v>14.5657</v>
      </c>
      <c r="J515" s="4">
        <f>CHOOSE( CONTROL!$C$36, 14.4265, 14.4249) * CHOOSE(CONTROL!$C$19, $D$11, 100%, $F$11)</f>
        <v>14.426500000000001</v>
      </c>
      <c r="K515" s="4"/>
      <c r="L515" s="9">
        <v>30.7165</v>
      </c>
      <c r="M515" s="9">
        <v>12.063700000000001</v>
      </c>
      <c r="N515" s="9">
        <v>4.9444999999999997</v>
      </c>
      <c r="O515" s="9">
        <v>0.37409999999999999</v>
      </c>
      <c r="P515" s="9">
        <v>1.2927</v>
      </c>
      <c r="Q515" s="9">
        <v>19.751300000000001</v>
      </c>
      <c r="R515" s="9"/>
      <c r="S515" s="11"/>
    </row>
    <row r="516" spans="1:19" ht="15.75">
      <c r="A516" s="13">
        <v>56857</v>
      </c>
      <c r="B516" s="8">
        <f>CHOOSE( CONTROL!$C$36, 13.7337, 13.7321) * CHOOSE(CONTROL!$C$19, $D$11, 100%, $F$11)</f>
        <v>13.733700000000001</v>
      </c>
      <c r="C516" s="8">
        <f>CHOOSE( CONTROL!$C$36, 13.7417, 13.7401) * CHOOSE(CONTROL!$C$19, $D$11, 100%, $F$11)</f>
        <v>13.7417</v>
      </c>
      <c r="D516" s="8">
        <f>CHOOSE( CONTROL!$C$36, 13.7564, 13.7548) * CHOOSE( CONTROL!$C$19, $D$11, 100%, $F$11)</f>
        <v>13.756399999999999</v>
      </c>
      <c r="E516" s="12">
        <f>CHOOSE( CONTROL!$C$36, 13.7499, 13.7483) * CHOOSE( CONTROL!$C$19, $D$11, 100%, $F$11)</f>
        <v>13.7499</v>
      </c>
      <c r="F516" s="4">
        <f>CHOOSE( CONTROL!$C$36, 14.4668, 14.4651) * CHOOSE(CONTROL!$C$19, $D$11, 100%, $F$11)</f>
        <v>14.466799999999999</v>
      </c>
      <c r="G516" s="8">
        <f>CHOOSE( CONTROL!$C$36, 13.5947, 13.5931) * CHOOSE( CONTROL!$C$19, $D$11, 100%, $F$11)</f>
        <v>13.5947</v>
      </c>
      <c r="H516" s="4">
        <f>CHOOSE( CONTROL!$C$36, 14.5388, 14.5371) * CHOOSE(CONTROL!$C$19, $D$11, 100%, $F$11)</f>
        <v>14.5388</v>
      </c>
      <c r="I516" s="8">
        <f>CHOOSE( CONTROL!$C$36, 13.4519, 13.4503) * CHOOSE(CONTROL!$C$19, $D$11, 100%, $F$11)</f>
        <v>13.4519</v>
      </c>
      <c r="J516" s="4">
        <f>CHOOSE( CONTROL!$C$36, 13.313, 13.3114) * CHOOSE(CONTROL!$C$19, $D$11, 100%, $F$11)</f>
        <v>13.313000000000001</v>
      </c>
      <c r="K516" s="4"/>
      <c r="L516" s="9">
        <v>30.7165</v>
      </c>
      <c r="M516" s="9">
        <v>12.063700000000001</v>
      </c>
      <c r="N516" s="9">
        <v>4.9444999999999997</v>
      </c>
      <c r="O516" s="9">
        <v>0.37409999999999999</v>
      </c>
      <c r="P516" s="9">
        <v>1.2927</v>
      </c>
      <c r="Q516" s="9">
        <v>19.751300000000001</v>
      </c>
      <c r="R516" s="9"/>
      <c r="S516" s="11"/>
    </row>
    <row r="517" spans="1:19" ht="15.75">
      <c r="A517" s="13">
        <v>56887</v>
      </c>
      <c r="B517" s="8">
        <f>CHOOSE( CONTROL!$C$36, 13.4458, 13.4441) * CHOOSE(CONTROL!$C$19, $D$11, 100%, $F$11)</f>
        <v>13.4458</v>
      </c>
      <c r="C517" s="8">
        <f>CHOOSE( CONTROL!$C$36, 13.4538, 13.4521) * CHOOSE(CONTROL!$C$19, $D$11, 100%, $F$11)</f>
        <v>13.453799999999999</v>
      </c>
      <c r="D517" s="8">
        <f>CHOOSE( CONTROL!$C$36, 13.4684, 13.4667) * CHOOSE( CONTROL!$C$19, $D$11, 100%, $F$11)</f>
        <v>13.468400000000001</v>
      </c>
      <c r="E517" s="12">
        <f>CHOOSE( CONTROL!$C$36, 13.4619, 13.4602) * CHOOSE( CONTROL!$C$19, $D$11, 100%, $F$11)</f>
        <v>13.4619</v>
      </c>
      <c r="F517" s="4">
        <f>CHOOSE( CONTROL!$C$36, 14.1788, 14.1771) * CHOOSE(CONTROL!$C$19, $D$11, 100%, $F$11)</f>
        <v>14.178800000000001</v>
      </c>
      <c r="G517" s="8">
        <f>CHOOSE( CONTROL!$C$36, 13.3107, 13.3091) * CHOOSE( CONTROL!$C$19, $D$11, 100%, $F$11)</f>
        <v>13.310700000000001</v>
      </c>
      <c r="H517" s="4">
        <f>CHOOSE( CONTROL!$C$36, 14.2548, 14.2532) * CHOOSE(CONTROL!$C$19, $D$11, 100%, $F$11)</f>
        <v>14.254799999999999</v>
      </c>
      <c r="I517" s="8">
        <f>CHOOSE( CONTROL!$C$36, 13.1725, 13.1709) * CHOOSE(CONTROL!$C$19, $D$11, 100%, $F$11)</f>
        <v>13.172499999999999</v>
      </c>
      <c r="J517" s="4">
        <f>CHOOSE( CONTROL!$C$36, 13.0341, 13.0325) * CHOOSE(CONTROL!$C$19, $D$11, 100%, $F$11)</f>
        <v>13.0341</v>
      </c>
      <c r="K517" s="4"/>
      <c r="L517" s="9">
        <v>29.7257</v>
      </c>
      <c r="M517" s="9">
        <v>11.6745</v>
      </c>
      <c r="N517" s="9">
        <v>4.7850000000000001</v>
      </c>
      <c r="O517" s="9">
        <v>0.36199999999999999</v>
      </c>
      <c r="P517" s="9">
        <v>1.2509999999999999</v>
      </c>
      <c r="Q517" s="9">
        <v>19.1142</v>
      </c>
      <c r="R517" s="9"/>
      <c r="S517" s="11"/>
    </row>
    <row r="518" spans="1:19" ht="15.75">
      <c r="A518" s="13">
        <v>56918</v>
      </c>
      <c r="B518" s="8">
        <f>CHOOSE( CONTROL!$C$36, 14.0414, 14.0403) * CHOOSE(CONTROL!$C$19, $D$11, 100%, $F$11)</f>
        <v>14.041399999999999</v>
      </c>
      <c r="C518" s="8">
        <f>CHOOSE( CONTROL!$C$36, 14.0467, 14.0457) * CHOOSE(CONTROL!$C$19, $D$11, 100%, $F$11)</f>
        <v>14.0467</v>
      </c>
      <c r="D518" s="8">
        <f>CHOOSE( CONTROL!$C$36, 14.0672, 14.0661) * CHOOSE( CONTROL!$C$19, $D$11, 100%, $F$11)</f>
        <v>14.0672</v>
      </c>
      <c r="E518" s="12">
        <f>CHOOSE( CONTROL!$C$36, 14.0599, 14.0588) * CHOOSE( CONTROL!$C$19, $D$11, 100%, $F$11)</f>
        <v>14.059900000000001</v>
      </c>
      <c r="F518" s="4">
        <f>CHOOSE( CONTROL!$C$36, 14.7761, 14.7751) * CHOOSE(CONTROL!$C$19, $D$11, 100%, $F$11)</f>
        <v>14.7761</v>
      </c>
      <c r="G518" s="8">
        <f>CHOOSE( CONTROL!$C$36, 13.8999, 13.8988) * CHOOSE( CONTROL!$C$19, $D$11, 100%, $F$11)</f>
        <v>13.899900000000001</v>
      </c>
      <c r="H518" s="4">
        <f>CHOOSE( CONTROL!$C$36, 14.8438, 14.8428) * CHOOSE(CONTROL!$C$19, $D$11, 100%, $F$11)</f>
        <v>14.8438</v>
      </c>
      <c r="I518" s="8">
        <f>CHOOSE( CONTROL!$C$36, 13.7523, 13.7512) * CHOOSE(CONTROL!$C$19, $D$11, 100%, $F$11)</f>
        <v>13.7523</v>
      </c>
      <c r="J518" s="4">
        <f>CHOOSE( CONTROL!$C$36, 13.6125, 13.6115) * CHOOSE(CONTROL!$C$19, $D$11, 100%, $F$11)</f>
        <v>13.612500000000001</v>
      </c>
      <c r="K518" s="4"/>
      <c r="L518" s="9">
        <v>31.095300000000002</v>
      </c>
      <c r="M518" s="9">
        <v>12.063700000000001</v>
      </c>
      <c r="N518" s="9">
        <v>4.9444999999999997</v>
      </c>
      <c r="O518" s="9">
        <v>0.37409999999999999</v>
      </c>
      <c r="P518" s="9">
        <v>1.2927</v>
      </c>
      <c r="Q518" s="9">
        <v>19.751300000000001</v>
      </c>
      <c r="R518" s="9"/>
      <c r="S518" s="11"/>
    </row>
    <row r="519" spans="1:19" ht="15.75">
      <c r="A519" s="13">
        <v>56948</v>
      </c>
      <c r="B519" s="8">
        <f>CHOOSE( CONTROL!$C$36, 15.1446, 15.1435) * CHOOSE(CONTROL!$C$19, $D$11, 100%, $F$11)</f>
        <v>15.144600000000001</v>
      </c>
      <c r="C519" s="8">
        <f>CHOOSE( CONTROL!$C$36, 15.1497, 15.1486) * CHOOSE(CONTROL!$C$19, $D$11, 100%, $F$11)</f>
        <v>15.149699999999999</v>
      </c>
      <c r="D519" s="8">
        <f>CHOOSE( CONTROL!$C$36, 15.1289, 15.1278) * CHOOSE( CONTROL!$C$19, $D$11, 100%, $F$11)</f>
        <v>15.1289</v>
      </c>
      <c r="E519" s="12">
        <f>CHOOSE( CONTROL!$C$36, 15.136, 15.1349) * CHOOSE( CONTROL!$C$19, $D$11, 100%, $F$11)</f>
        <v>15.135999999999999</v>
      </c>
      <c r="F519" s="4">
        <f>CHOOSE( CONTROL!$C$36, 15.8038, 15.8028) * CHOOSE(CONTROL!$C$19, $D$11, 100%, $F$11)</f>
        <v>15.803800000000001</v>
      </c>
      <c r="G519" s="8">
        <f>CHOOSE( CONTROL!$C$36, 14.9681, 14.967) * CHOOSE( CONTROL!$C$19, $D$11, 100%, $F$11)</f>
        <v>14.9681</v>
      </c>
      <c r="H519" s="4">
        <f>CHOOSE( CONTROL!$C$36, 15.8572, 15.8561) * CHOOSE(CONTROL!$C$19, $D$11, 100%, $F$11)</f>
        <v>15.857200000000001</v>
      </c>
      <c r="I519" s="8">
        <f>CHOOSE( CONTROL!$C$36, 14.8705, 14.8695) * CHOOSE(CONTROL!$C$19, $D$11, 100%, $F$11)</f>
        <v>14.8705</v>
      </c>
      <c r="J519" s="4">
        <f>CHOOSE( CONTROL!$C$36, 14.6812, 14.6801) * CHOOSE(CONTROL!$C$19, $D$11, 100%, $F$11)</f>
        <v>14.6812</v>
      </c>
      <c r="K519" s="4"/>
      <c r="L519" s="9">
        <v>28.360600000000002</v>
      </c>
      <c r="M519" s="9">
        <v>11.6745</v>
      </c>
      <c r="N519" s="9">
        <v>4.7850000000000001</v>
      </c>
      <c r="O519" s="9">
        <v>0.36199999999999999</v>
      </c>
      <c r="P519" s="9">
        <v>1.2509999999999999</v>
      </c>
      <c r="Q519" s="9">
        <v>19.1142</v>
      </c>
      <c r="R519" s="9"/>
      <c r="S519" s="11"/>
    </row>
    <row r="520" spans="1:19" ht="15.75">
      <c r="A520" s="13">
        <v>56979</v>
      </c>
      <c r="B520" s="8">
        <f>CHOOSE( CONTROL!$C$36, 15.117, 15.1159) * CHOOSE(CONTROL!$C$19, $D$11, 100%, $F$11)</f>
        <v>15.117000000000001</v>
      </c>
      <c r="C520" s="8">
        <f>CHOOSE( CONTROL!$C$36, 15.1221, 15.121) * CHOOSE(CONTROL!$C$19, $D$11, 100%, $F$11)</f>
        <v>15.1221</v>
      </c>
      <c r="D520" s="8">
        <f>CHOOSE( CONTROL!$C$36, 15.1027, 15.1016) * CHOOSE( CONTROL!$C$19, $D$11, 100%, $F$11)</f>
        <v>15.1027</v>
      </c>
      <c r="E520" s="12">
        <f>CHOOSE( CONTROL!$C$36, 15.1093, 15.1082) * CHOOSE( CONTROL!$C$19, $D$11, 100%, $F$11)</f>
        <v>15.109299999999999</v>
      </c>
      <c r="F520" s="4">
        <f>CHOOSE( CONTROL!$C$36, 15.7763, 15.7752) * CHOOSE(CONTROL!$C$19, $D$11, 100%, $F$11)</f>
        <v>15.776300000000001</v>
      </c>
      <c r="G520" s="8">
        <f>CHOOSE( CONTROL!$C$36, 14.9419, 14.9408) * CHOOSE( CONTROL!$C$19, $D$11, 100%, $F$11)</f>
        <v>14.9419</v>
      </c>
      <c r="H520" s="4">
        <f>CHOOSE( CONTROL!$C$36, 15.83, 15.8289) * CHOOSE(CONTROL!$C$19, $D$11, 100%, $F$11)</f>
        <v>15.83</v>
      </c>
      <c r="I520" s="8">
        <f>CHOOSE( CONTROL!$C$36, 14.8481, 14.8471) * CHOOSE(CONTROL!$C$19, $D$11, 100%, $F$11)</f>
        <v>14.848100000000001</v>
      </c>
      <c r="J520" s="4">
        <f>CHOOSE( CONTROL!$C$36, 14.6545, 14.6534) * CHOOSE(CONTROL!$C$19, $D$11, 100%, $F$11)</f>
        <v>14.654500000000001</v>
      </c>
      <c r="K520" s="4"/>
      <c r="L520" s="9">
        <v>29.306000000000001</v>
      </c>
      <c r="M520" s="9">
        <v>12.063700000000001</v>
      </c>
      <c r="N520" s="9">
        <v>4.9444999999999997</v>
      </c>
      <c r="O520" s="9">
        <v>0.37409999999999999</v>
      </c>
      <c r="P520" s="9">
        <v>1.2927</v>
      </c>
      <c r="Q520" s="9">
        <v>19.751300000000001</v>
      </c>
      <c r="R520" s="9"/>
      <c r="S520" s="11"/>
    </row>
    <row r="521" spans="1:19" ht="15.75">
      <c r="A521" s="13">
        <v>57010</v>
      </c>
      <c r="B521" s="8">
        <f>CHOOSE( CONTROL!$C$36, 15.5634, 15.5623) * CHOOSE(CONTROL!$C$19, $D$11, 100%, $F$11)</f>
        <v>15.5634</v>
      </c>
      <c r="C521" s="8">
        <f>CHOOSE( CONTROL!$C$36, 15.5685, 15.5674) * CHOOSE(CONTROL!$C$19, $D$11, 100%, $F$11)</f>
        <v>15.5685</v>
      </c>
      <c r="D521" s="8">
        <f>CHOOSE( CONTROL!$C$36, 15.5698, 15.5687) * CHOOSE( CONTROL!$C$19, $D$11, 100%, $F$11)</f>
        <v>15.569800000000001</v>
      </c>
      <c r="E521" s="12">
        <f>CHOOSE( CONTROL!$C$36, 15.5688, 15.5677) * CHOOSE( CONTROL!$C$19, $D$11, 100%, $F$11)</f>
        <v>15.5688</v>
      </c>
      <c r="F521" s="4">
        <f>CHOOSE( CONTROL!$C$36, 16.2227, 16.2216) * CHOOSE(CONTROL!$C$19, $D$11, 100%, $F$11)</f>
        <v>16.2227</v>
      </c>
      <c r="G521" s="8">
        <f>CHOOSE( CONTROL!$C$36, 15.3931, 15.392) * CHOOSE( CONTROL!$C$19, $D$11, 100%, $F$11)</f>
        <v>15.3931</v>
      </c>
      <c r="H521" s="4">
        <f>CHOOSE( CONTROL!$C$36, 16.2702, 16.2691) * CHOOSE(CONTROL!$C$19, $D$11, 100%, $F$11)</f>
        <v>16.270199999999999</v>
      </c>
      <c r="I521" s="8">
        <f>CHOOSE( CONTROL!$C$36, 15.2581, 15.257) * CHOOSE(CONTROL!$C$19, $D$11, 100%, $F$11)</f>
        <v>15.258100000000001</v>
      </c>
      <c r="J521" s="4">
        <f>CHOOSE( CONTROL!$C$36, 15.0867, 15.0856) * CHOOSE(CONTROL!$C$19, $D$11, 100%, $F$11)</f>
        <v>15.0867</v>
      </c>
      <c r="K521" s="4"/>
      <c r="L521" s="9">
        <v>29.306000000000001</v>
      </c>
      <c r="M521" s="9">
        <v>12.063700000000001</v>
      </c>
      <c r="N521" s="9">
        <v>4.9444999999999997</v>
      </c>
      <c r="O521" s="9">
        <v>0.37409999999999999</v>
      </c>
      <c r="P521" s="9">
        <v>1.2927</v>
      </c>
      <c r="Q521" s="9">
        <v>19.688099999999999</v>
      </c>
      <c r="R521" s="9"/>
      <c r="S521" s="11"/>
    </row>
    <row r="522" spans="1:19" ht="15.75">
      <c r="A522" s="13">
        <v>57038</v>
      </c>
      <c r="B522" s="8">
        <f>CHOOSE( CONTROL!$C$36, 14.5562, 14.5551) * CHOOSE(CONTROL!$C$19, $D$11, 100%, $F$11)</f>
        <v>14.5562</v>
      </c>
      <c r="C522" s="8">
        <f>CHOOSE( CONTROL!$C$36, 14.5613, 14.5602) * CHOOSE(CONTROL!$C$19, $D$11, 100%, $F$11)</f>
        <v>14.561299999999999</v>
      </c>
      <c r="D522" s="8">
        <f>CHOOSE( CONTROL!$C$36, 14.5625, 14.5614) * CHOOSE( CONTROL!$C$19, $D$11, 100%, $F$11)</f>
        <v>14.5625</v>
      </c>
      <c r="E522" s="12">
        <f>CHOOSE( CONTROL!$C$36, 14.5615, 14.5604) * CHOOSE( CONTROL!$C$19, $D$11, 100%, $F$11)</f>
        <v>14.561500000000001</v>
      </c>
      <c r="F522" s="4">
        <f>CHOOSE( CONTROL!$C$36, 15.2155, 15.2144) * CHOOSE(CONTROL!$C$19, $D$11, 100%, $F$11)</f>
        <v>15.2155</v>
      </c>
      <c r="G522" s="8">
        <f>CHOOSE( CONTROL!$C$36, 14.3998, 14.3988) * CHOOSE( CONTROL!$C$19, $D$11, 100%, $F$11)</f>
        <v>14.399800000000001</v>
      </c>
      <c r="H522" s="4">
        <f>CHOOSE( CONTROL!$C$36, 15.277, 15.276) * CHOOSE(CONTROL!$C$19, $D$11, 100%, $F$11)</f>
        <v>15.276999999999999</v>
      </c>
      <c r="I522" s="8">
        <f>CHOOSE( CONTROL!$C$36, 14.2819, 14.2809) * CHOOSE(CONTROL!$C$19, $D$11, 100%, $F$11)</f>
        <v>14.2819</v>
      </c>
      <c r="J522" s="4">
        <f>CHOOSE( CONTROL!$C$36, 14.1114, 14.1104) * CHOOSE(CONTROL!$C$19, $D$11, 100%, $F$11)</f>
        <v>14.1114</v>
      </c>
      <c r="K522" s="4"/>
      <c r="L522" s="9">
        <v>27.415299999999998</v>
      </c>
      <c r="M522" s="9">
        <v>11.285299999999999</v>
      </c>
      <c r="N522" s="9">
        <v>4.6254999999999997</v>
      </c>
      <c r="O522" s="9">
        <v>0.34989999999999999</v>
      </c>
      <c r="P522" s="9">
        <v>1.2093</v>
      </c>
      <c r="Q522" s="9">
        <v>18.417899999999999</v>
      </c>
      <c r="R522" s="9"/>
      <c r="S522" s="11"/>
    </row>
    <row r="523" spans="1:19" ht="15.75">
      <c r="A523" s="13">
        <v>57070</v>
      </c>
      <c r="B523" s="8">
        <f>CHOOSE( CONTROL!$C$36, 14.246, 14.2449) * CHOOSE(CONTROL!$C$19, $D$11, 100%, $F$11)</f>
        <v>14.246</v>
      </c>
      <c r="C523" s="8">
        <f>CHOOSE( CONTROL!$C$36, 14.2511, 14.25) * CHOOSE(CONTROL!$C$19, $D$11, 100%, $F$11)</f>
        <v>14.251099999999999</v>
      </c>
      <c r="D523" s="8">
        <f>CHOOSE( CONTROL!$C$36, 14.2516, 14.2505) * CHOOSE( CONTROL!$C$19, $D$11, 100%, $F$11)</f>
        <v>14.2516</v>
      </c>
      <c r="E523" s="12">
        <f>CHOOSE( CONTROL!$C$36, 14.2509, 14.2498) * CHOOSE( CONTROL!$C$19, $D$11, 100%, $F$11)</f>
        <v>14.2509</v>
      </c>
      <c r="F523" s="4">
        <f>CHOOSE( CONTROL!$C$36, 14.9053, 14.9042) * CHOOSE(CONTROL!$C$19, $D$11, 100%, $F$11)</f>
        <v>14.9053</v>
      </c>
      <c r="G523" s="8">
        <f>CHOOSE( CONTROL!$C$36, 14.0935, 14.0924) * CHOOSE( CONTROL!$C$19, $D$11, 100%, $F$11)</f>
        <v>14.093500000000001</v>
      </c>
      <c r="H523" s="4">
        <f>CHOOSE( CONTROL!$C$36, 14.9711, 14.9701) * CHOOSE(CONTROL!$C$19, $D$11, 100%, $F$11)</f>
        <v>14.9711</v>
      </c>
      <c r="I523" s="8">
        <f>CHOOSE( CONTROL!$C$36, 13.9794, 13.9783) * CHOOSE(CONTROL!$C$19, $D$11, 100%, $F$11)</f>
        <v>13.9794</v>
      </c>
      <c r="J523" s="4">
        <f>CHOOSE( CONTROL!$C$36, 13.8111, 13.81) * CHOOSE(CONTROL!$C$19, $D$11, 100%, $F$11)</f>
        <v>13.8111</v>
      </c>
      <c r="K523" s="4"/>
      <c r="L523" s="9">
        <v>29.306000000000001</v>
      </c>
      <c r="M523" s="9">
        <v>12.063700000000001</v>
      </c>
      <c r="N523" s="9">
        <v>4.9444999999999997</v>
      </c>
      <c r="O523" s="9">
        <v>0.37409999999999999</v>
      </c>
      <c r="P523" s="9">
        <v>1.2927</v>
      </c>
      <c r="Q523" s="9">
        <v>19.688099999999999</v>
      </c>
      <c r="R523" s="9"/>
      <c r="S523" s="11"/>
    </row>
    <row r="524" spans="1:19" ht="15.75">
      <c r="A524" s="13">
        <v>57100</v>
      </c>
      <c r="B524" s="8">
        <f>CHOOSE( CONTROL!$C$36, 14.4635, 14.4624) * CHOOSE(CONTROL!$C$19, $D$11, 100%, $F$11)</f>
        <v>14.4635</v>
      </c>
      <c r="C524" s="8">
        <f>CHOOSE( CONTROL!$C$36, 14.4681, 14.467) * CHOOSE(CONTROL!$C$19, $D$11, 100%, $F$11)</f>
        <v>14.4681</v>
      </c>
      <c r="D524" s="8">
        <f>CHOOSE( CONTROL!$C$36, 14.4885, 14.4874) * CHOOSE( CONTROL!$C$19, $D$11, 100%, $F$11)</f>
        <v>14.4885</v>
      </c>
      <c r="E524" s="12">
        <f>CHOOSE( CONTROL!$C$36, 14.4812, 14.4801) * CHOOSE( CONTROL!$C$19, $D$11, 100%, $F$11)</f>
        <v>14.481199999999999</v>
      </c>
      <c r="F524" s="4">
        <f>CHOOSE( CONTROL!$C$36, 15.1979, 15.1968) * CHOOSE(CONTROL!$C$19, $D$11, 100%, $F$11)</f>
        <v>15.197900000000001</v>
      </c>
      <c r="G524" s="8">
        <f>CHOOSE( CONTROL!$C$36, 14.3153, 14.3143) * CHOOSE( CONTROL!$C$19, $D$11, 100%, $F$11)</f>
        <v>14.315300000000001</v>
      </c>
      <c r="H524" s="4">
        <f>CHOOSE( CONTROL!$C$36, 15.2597, 15.2587) * CHOOSE(CONTROL!$C$19, $D$11, 100%, $F$11)</f>
        <v>15.2597</v>
      </c>
      <c r="I524" s="8">
        <f>CHOOSE( CONTROL!$C$36, 14.1589, 14.1578) * CHOOSE(CONTROL!$C$19, $D$11, 100%, $F$11)</f>
        <v>14.158899999999999</v>
      </c>
      <c r="J524" s="4">
        <f>CHOOSE( CONTROL!$C$36, 14.021, 14.0199) * CHOOSE(CONTROL!$C$19, $D$11, 100%, $F$11)</f>
        <v>14.021000000000001</v>
      </c>
      <c r="K524" s="4"/>
      <c r="L524" s="9">
        <v>30.092199999999998</v>
      </c>
      <c r="M524" s="9">
        <v>11.6745</v>
      </c>
      <c r="N524" s="9">
        <v>4.7850000000000001</v>
      </c>
      <c r="O524" s="9">
        <v>0.36199999999999999</v>
      </c>
      <c r="P524" s="9">
        <v>1.2509999999999999</v>
      </c>
      <c r="Q524" s="9">
        <v>19.053000000000001</v>
      </c>
      <c r="R524" s="9"/>
      <c r="S524" s="11"/>
    </row>
    <row r="525" spans="1:19" ht="15.75">
      <c r="A525" s="13">
        <v>57131</v>
      </c>
      <c r="B525" s="8">
        <f>CHOOSE( CONTROL!$C$36, 14.8513, 14.8496) * CHOOSE(CONTROL!$C$19, $D$11, 100%, $F$11)</f>
        <v>14.8513</v>
      </c>
      <c r="C525" s="8">
        <f>CHOOSE( CONTROL!$C$36, 14.8593, 14.8576) * CHOOSE(CONTROL!$C$19, $D$11, 100%, $F$11)</f>
        <v>14.859299999999999</v>
      </c>
      <c r="D525" s="8">
        <f>CHOOSE( CONTROL!$C$36, 14.8735, 14.8718) * CHOOSE( CONTROL!$C$19, $D$11, 100%, $F$11)</f>
        <v>14.8735</v>
      </c>
      <c r="E525" s="12">
        <f>CHOOSE( CONTROL!$C$36, 14.8671, 14.8654) * CHOOSE( CONTROL!$C$19, $D$11, 100%, $F$11)</f>
        <v>14.867100000000001</v>
      </c>
      <c r="F525" s="4">
        <f>CHOOSE( CONTROL!$C$36, 15.5843, 15.5826) * CHOOSE(CONTROL!$C$19, $D$11, 100%, $F$11)</f>
        <v>15.584300000000001</v>
      </c>
      <c r="G525" s="8">
        <f>CHOOSE( CONTROL!$C$36, 14.6963, 14.6946) * CHOOSE( CONTROL!$C$19, $D$11, 100%, $F$11)</f>
        <v>14.696300000000001</v>
      </c>
      <c r="H525" s="4">
        <f>CHOOSE( CONTROL!$C$36, 15.6407, 15.6391) * CHOOSE(CONTROL!$C$19, $D$11, 100%, $F$11)</f>
        <v>15.640700000000001</v>
      </c>
      <c r="I525" s="8">
        <f>CHOOSE( CONTROL!$C$36, 14.5328, 14.5312) * CHOOSE(CONTROL!$C$19, $D$11, 100%, $F$11)</f>
        <v>14.5328</v>
      </c>
      <c r="J525" s="4">
        <f>CHOOSE( CONTROL!$C$36, 14.3951, 14.3935) * CHOOSE(CONTROL!$C$19, $D$11, 100%, $F$11)</f>
        <v>14.395099999999999</v>
      </c>
      <c r="K525" s="4"/>
      <c r="L525" s="9">
        <v>30.7165</v>
      </c>
      <c r="M525" s="9">
        <v>12.063700000000001</v>
      </c>
      <c r="N525" s="9">
        <v>4.9444999999999997</v>
      </c>
      <c r="O525" s="9">
        <v>0.37409999999999999</v>
      </c>
      <c r="P525" s="9">
        <v>1.2927</v>
      </c>
      <c r="Q525" s="9">
        <v>19.688099999999999</v>
      </c>
      <c r="R525" s="9"/>
      <c r="S525" s="11"/>
    </row>
    <row r="526" spans="1:19" ht="15.75">
      <c r="A526" s="13">
        <v>57161</v>
      </c>
      <c r="B526" s="8">
        <f>CHOOSE( CONTROL!$C$36, 14.6123, 14.6106) * CHOOSE(CONTROL!$C$19, $D$11, 100%, $F$11)</f>
        <v>14.612299999999999</v>
      </c>
      <c r="C526" s="8">
        <f>CHOOSE( CONTROL!$C$36, 14.6203, 14.6186) * CHOOSE(CONTROL!$C$19, $D$11, 100%, $F$11)</f>
        <v>14.6203</v>
      </c>
      <c r="D526" s="8">
        <f>CHOOSE( CONTROL!$C$36, 14.6347, 14.633) * CHOOSE( CONTROL!$C$19, $D$11, 100%, $F$11)</f>
        <v>14.6347</v>
      </c>
      <c r="E526" s="12">
        <f>CHOOSE( CONTROL!$C$36, 14.6283, 14.6266) * CHOOSE( CONTROL!$C$19, $D$11, 100%, $F$11)</f>
        <v>14.628299999999999</v>
      </c>
      <c r="F526" s="4">
        <f>CHOOSE( CONTROL!$C$36, 15.3453, 15.3436) * CHOOSE(CONTROL!$C$19, $D$11, 100%, $F$11)</f>
        <v>15.3453</v>
      </c>
      <c r="G526" s="8">
        <f>CHOOSE( CONTROL!$C$36, 14.4608, 14.4591) * CHOOSE( CONTROL!$C$19, $D$11, 100%, $F$11)</f>
        <v>14.460800000000001</v>
      </c>
      <c r="H526" s="4">
        <f>CHOOSE( CONTROL!$C$36, 15.4051, 15.4034) * CHOOSE(CONTROL!$C$19, $D$11, 100%, $F$11)</f>
        <v>15.405099999999999</v>
      </c>
      <c r="I526" s="8">
        <f>CHOOSE( CONTROL!$C$36, 14.3019, 14.3003) * CHOOSE(CONTROL!$C$19, $D$11, 100%, $F$11)</f>
        <v>14.3019</v>
      </c>
      <c r="J526" s="4">
        <f>CHOOSE( CONTROL!$C$36, 14.1637, 14.1621) * CHOOSE(CONTROL!$C$19, $D$11, 100%, $F$11)</f>
        <v>14.1637</v>
      </c>
      <c r="K526" s="4"/>
      <c r="L526" s="9">
        <v>29.7257</v>
      </c>
      <c r="M526" s="9">
        <v>11.6745</v>
      </c>
      <c r="N526" s="9">
        <v>4.7850000000000001</v>
      </c>
      <c r="O526" s="9">
        <v>0.36199999999999999</v>
      </c>
      <c r="P526" s="9">
        <v>1.2509999999999999</v>
      </c>
      <c r="Q526" s="9">
        <v>19.053000000000001</v>
      </c>
      <c r="R526" s="9"/>
      <c r="S526" s="11"/>
    </row>
    <row r="527" spans="1:19" ht="15.75">
      <c r="A527" s="13">
        <v>57192</v>
      </c>
      <c r="B527" s="8">
        <f>CHOOSE( CONTROL!$C$36, 15.2416, 15.24) * CHOOSE(CONTROL!$C$19, $D$11, 100%, $F$11)</f>
        <v>15.2416</v>
      </c>
      <c r="C527" s="8">
        <f>CHOOSE( CONTROL!$C$36, 15.2496, 15.248) * CHOOSE(CONTROL!$C$19, $D$11, 100%, $F$11)</f>
        <v>15.249599999999999</v>
      </c>
      <c r="D527" s="8">
        <f>CHOOSE( CONTROL!$C$36, 15.2643, 15.2626) * CHOOSE( CONTROL!$C$19, $D$11, 100%, $F$11)</f>
        <v>15.2643</v>
      </c>
      <c r="E527" s="12">
        <f>CHOOSE( CONTROL!$C$36, 15.2578, 15.2561) * CHOOSE( CONTROL!$C$19, $D$11, 100%, $F$11)</f>
        <v>15.2578</v>
      </c>
      <c r="F527" s="4">
        <f>CHOOSE( CONTROL!$C$36, 15.9747, 15.973) * CHOOSE(CONTROL!$C$19, $D$11, 100%, $F$11)</f>
        <v>15.9747</v>
      </c>
      <c r="G527" s="8">
        <f>CHOOSE( CONTROL!$C$36, 15.0815, 15.0799) * CHOOSE( CONTROL!$C$19, $D$11, 100%, $F$11)</f>
        <v>15.0815</v>
      </c>
      <c r="H527" s="4">
        <f>CHOOSE( CONTROL!$C$36, 16.0256, 16.024) * CHOOSE(CONTROL!$C$19, $D$11, 100%, $F$11)</f>
        <v>16.025600000000001</v>
      </c>
      <c r="I527" s="8">
        <f>CHOOSE( CONTROL!$C$36, 14.9125, 14.9109) * CHOOSE(CONTROL!$C$19, $D$11, 100%, $F$11)</f>
        <v>14.9125</v>
      </c>
      <c r="J527" s="4">
        <f>CHOOSE( CONTROL!$C$36, 14.7731, 14.7715) * CHOOSE(CONTROL!$C$19, $D$11, 100%, $F$11)</f>
        <v>14.773099999999999</v>
      </c>
      <c r="K527" s="4"/>
      <c r="L527" s="9">
        <v>30.7165</v>
      </c>
      <c r="M527" s="9">
        <v>12.063700000000001</v>
      </c>
      <c r="N527" s="9">
        <v>4.9444999999999997</v>
      </c>
      <c r="O527" s="9">
        <v>0.37409999999999999</v>
      </c>
      <c r="P527" s="9">
        <v>1.2927</v>
      </c>
      <c r="Q527" s="9">
        <v>19.688099999999999</v>
      </c>
      <c r="R527" s="9"/>
      <c r="S527" s="11"/>
    </row>
    <row r="528" spans="1:19" ht="15.75">
      <c r="A528" s="13">
        <v>57223</v>
      </c>
      <c r="B528" s="8">
        <f>CHOOSE( CONTROL!$C$36, 14.0641, 14.0624) * CHOOSE(CONTROL!$C$19, $D$11, 100%, $F$11)</f>
        <v>14.0641</v>
      </c>
      <c r="C528" s="8">
        <f>CHOOSE( CONTROL!$C$36, 14.072, 14.0704) * CHOOSE(CONTROL!$C$19, $D$11, 100%, $F$11)</f>
        <v>14.071999999999999</v>
      </c>
      <c r="D528" s="8">
        <f>CHOOSE( CONTROL!$C$36, 14.0867, 14.0851) * CHOOSE( CONTROL!$C$19, $D$11, 100%, $F$11)</f>
        <v>14.0867</v>
      </c>
      <c r="E528" s="12">
        <f>CHOOSE( CONTROL!$C$36, 14.0802, 14.0786) * CHOOSE( CONTROL!$C$19, $D$11, 100%, $F$11)</f>
        <v>14.0802</v>
      </c>
      <c r="F528" s="4">
        <f>CHOOSE( CONTROL!$C$36, 14.7971, 14.7954) * CHOOSE(CONTROL!$C$19, $D$11, 100%, $F$11)</f>
        <v>14.7971</v>
      </c>
      <c r="G528" s="8">
        <f>CHOOSE( CONTROL!$C$36, 13.9204, 13.9188) * CHOOSE( CONTROL!$C$19, $D$11, 100%, $F$11)</f>
        <v>13.920400000000001</v>
      </c>
      <c r="H528" s="4">
        <f>CHOOSE( CONTROL!$C$36, 14.8645, 14.8628) * CHOOSE(CONTROL!$C$19, $D$11, 100%, $F$11)</f>
        <v>14.8645</v>
      </c>
      <c r="I528" s="8">
        <f>CHOOSE( CONTROL!$C$36, 13.7719, 13.7702) * CHOOSE(CONTROL!$C$19, $D$11, 100%, $F$11)</f>
        <v>13.7719</v>
      </c>
      <c r="J528" s="4">
        <f>CHOOSE( CONTROL!$C$36, 13.6328, 13.6312) * CHOOSE(CONTROL!$C$19, $D$11, 100%, $F$11)</f>
        <v>13.6328</v>
      </c>
      <c r="K528" s="4"/>
      <c r="L528" s="9">
        <v>30.7165</v>
      </c>
      <c r="M528" s="9">
        <v>12.063700000000001</v>
      </c>
      <c r="N528" s="9">
        <v>4.9444999999999997</v>
      </c>
      <c r="O528" s="9">
        <v>0.37409999999999999</v>
      </c>
      <c r="P528" s="9">
        <v>1.2927</v>
      </c>
      <c r="Q528" s="9">
        <v>19.688099999999999</v>
      </c>
      <c r="R528" s="9"/>
      <c r="S528" s="11"/>
    </row>
    <row r="529" spans="1:19" ht="15.75">
      <c r="A529" s="13">
        <v>57253</v>
      </c>
      <c r="B529" s="8">
        <f>CHOOSE( CONTROL!$C$36, 13.7692, 13.7675) * CHOOSE(CONTROL!$C$19, $D$11, 100%, $F$11)</f>
        <v>13.7692</v>
      </c>
      <c r="C529" s="8">
        <f>CHOOSE( CONTROL!$C$36, 13.7772, 13.7755) * CHOOSE(CONTROL!$C$19, $D$11, 100%, $F$11)</f>
        <v>13.777200000000001</v>
      </c>
      <c r="D529" s="8">
        <f>CHOOSE( CONTROL!$C$36, 13.7918, 13.7901) * CHOOSE( CONTROL!$C$19, $D$11, 100%, $F$11)</f>
        <v>13.7918</v>
      </c>
      <c r="E529" s="12">
        <f>CHOOSE( CONTROL!$C$36, 13.7853, 13.7836) * CHOOSE( CONTROL!$C$19, $D$11, 100%, $F$11)</f>
        <v>13.785299999999999</v>
      </c>
      <c r="F529" s="4">
        <f>CHOOSE( CONTROL!$C$36, 14.5022, 14.5005) * CHOOSE(CONTROL!$C$19, $D$11, 100%, $F$11)</f>
        <v>14.5022</v>
      </c>
      <c r="G529" s="8">
        <f>CHOOSE( CONTROL!$C$36, 13.6296, 13.6279) * CHOOSE( CONTROL!$C$19, $D$11, 100%, $F$11)</f>
        <v>13.6296</v>
      </c>
      <c r="H529" s="4">
        <f>CHOOSE( CONTROL!$C$36, 14.5737, 14.5721) * CHOOSE(CONTROL!$C$19, $D$11, 100%, $F$11)</f>
        <v>14.573700000000001</v>
      </c>
      <c r="I529" s="8">
        <f>CHOOSE( CONTROL!$C$36, 13.4858, 13.4842) * CHOOSE(CONTROL!$C$19, $D$11, 100%, $F$11)</f>
        <v>13.485799999999999</v>
      </c>
      <c r="J529" s="4">
        <f>CHOOSE( CONTROL!$C$36, 13.3473, 13.3457) * CHOOSE(CONTROL!$C$19, $D$11, 100%, $F$11)</f>
        <v>13.347300000000001</v>
      </c>
      <c r="K529" s="4"/>
      <c r="L529" s="9">
        <v>29.7257</v>
      </c>
      <c r="M529" s="9">
        <v>11.6745</v>
      </c>
      <c r="N529" s="9">
        <v>4.7850000000000001</v>
      </c>
      <c r="O529" s="9">
        <v>0.36199999999999999</v>
      </c>
      <c r="P529" s="9">
        <v>1.2509999999999999</v>
      </c>
      <c r="Q529" s="9">
        <v>19.053000000000001</v>
      </c>
      <c r="R529" s="9"/>
      <c r="S529" s="11"/>
    </row>
    <row r="530" spans="1:19" ht="15.75">
      <c r="A530" s="13">
        <v>57284</v>
      </c>
      <c r="B530" s="8">
        <f>CHOOSE( CONTROL!$C$36, 14.3791, 14.3781) * CHOOSE(CONTROL!$C$19, $D$11, 100%, $F$11)</f>
        <v>14.379099999999999</v>
      </c>
      <c r="C530" s="8">
        <f>CHOOSE( CONTROL!$C$36, 14.3845, 14.3834) * CHOOSE(CONTROL!$C$19, $D$11, 100%, $F$11)</f>
        <v>14.384499999999999</v>
      </c>
      <c r="D530" s="8">
        <f>CHOOSE( CONTROL!$C$36, 14.405, 14.4039) * CHOOSE( CONTROL!$C$19, $D$11, 100%, $F$11)</f>
        <v>14.404999999999999</v>
      </c>
      <c r="E530" s="12">
        <f>CHOOSE( CONTROL!$C$36, 14.3977, 14.3966) * CHOOSE( CONTROL!$C$19, $D$11, 100%, $F$11)</f>
        <v>14.3977</v>
      </c>
      <c r="F530" s="4">
        <f>CHOOSE( CONTROL!$C$36, 15.1139, 15.1128) * CHOOSE(CONTROL!$C$19, $D$11, 100%, $F$11)</f>
        <v>15.113899999999999</v>
      </c>
      <c r="G530" s="8">
        <f>CHOOSE( CONTROL!$C$36, 14.2329, 14.2319) * CHOOSE( CONTROL!$C$19, $D$11, 100%, $F$11)</f>
        <v>14.232900000000001</v>
      </c>
      <c r="H530" s="4">
        <f>CHOOSE( CONTROL!$C$36, 15.1769, 15.1758) * CHOOSE(CONTROL!$C$19, $D$11, 100%, $F$11)</f>
        <v>15.1769</v>
      </c>
      <c r="I530" s="8">
        <f>CHOOSE( CONTROL!$C$36, 14.0795, 14.0784) * CHOOSE(CONTROL!$C$19, $D$11, 100%, $F$11)</f>
        <v>14.079499999999999</v>
      </c>
      <c r="J530" s="4">
        <f>CHOOSE( CONTROL!$C$36, 13.9396, 13.9385) * CHOOSE(CONTROL!$C$19, $D$11, 100%, $F$11)</f>
        <v>13.9396</v>
      </c>
      <c r="K530" s="4"/>
      <c r="L530" s="9">
        <v>31.095300000000002</v>
      </c>
      <c r="M530" s="9">
        <v>12.063700000000001</v>
      </c>
      <c r="N530" s="9">
        <v>4.9444999999999997</v>
      </c>
      <c r="O530" s="9">
        <v>0.37409999999999999</v>
      </c>
      <c r="P530" s="9">
        <v>1.2927</v>
      </c>
      <c r="Q530" s="9">
        <v>19.688099999999999</v>
      </c>
      <c r="R530" s="9"/>
      <c r="S530" s="11"/>
    </row>
    <row r="531" spans="1:19" ht="15.75">
      <c r="A531" s="13">
        <v>57314</v>
      </c>
      <c r="B531" s="8">
        <f>CHOOSE( CONTROL!$C$36, 15.5089, 15.5078) * CHOOSE(CONTROL!$C$19, $D$11, 100%, $F$11)</f>
        <v>15.508900000000001</v>
      </c>
      <c r="C531" s="8">
        <f>CHOOSE( CONTROL!$C$36, 15.514, 15.5129) * CHOOSE(CONTROL!$C$19, $D$11, 100%, $F$11)</f>
        <v>15.513999999999999</v>
      </c>
      <c r="D531" s="8">
        <f>CHOOSE( CONTROL!$C$36, 15.4932, 15.4921) * CHOOSE( CONTROL!$C$19, $D$11, 100%, $F$11)</f>
        <v>15.4932</v>
      </c>
      <c r="E531" s="12">
        <f>CHOOSE( CONTROL!$C$36, 15.5003, 15.4992) * CHOOSE( CONTROL!$C$19, $D$11, 100%, $F$11)</f>
        <v>15.500299999999999</v>
      </c>
      <c r="F531" s="4">
        <f>CHOOSE( CONTROL!$C$36, 16.1681, 16.167) * CHOOSE(CONTROL!$C$19, $D$11, 100%, $F$11)</f>
        <v>16.168099999999999</v>
      </c>
      <c r="G531" s="8">
        <f>CHOOSE( CONTROL!$C$36, 15.3272, 15.3262) * CHOOSE( CONTROL!$C$19, $D$11, 100%, $F$11)</f>
        <v>15.327199999999999</v>
      </c>
      <c r="H531" s="4">
        <f>CHOOSE( CONTROL!$C$36, 16.2164, 16.2153) * CHOOSE(CONTROL!$C$19, $D$11, 100%, $F$11)</f>
        <v>16.2164</v>
      </c>
      <c r="I531" s="8">
        <f>CHOOSE( CONTROL!$C$36, 15.2234, 15.2224) * CHOOSE(CONTROL!$C$19, $D$11, 100%, $F$11)</f>
        <v>15.2234</v>
      </c>
      <c r="J531" s="4">
        <f>CHOOSE( CONTROL!$C$36, 15.0339, 15.0328) * CHOOSE(CONTROL!$C$19, $D$11, 100%, $F$11)</f>
        <v>15.033899999999999</v>
      </c>
      <c r="K531" s="4"/>
      <c r="L531" s="9">
        <v>28.360600000000002</v>
      </c>
      <c r="M531" s="9">
        <v>11.6745</v>
      </c>
      <c r="N531" s="9">
        <v>4.7850000000000001</v>
      </c>
      <c r="O531" s="9">
        <v>0.36199999999999999</v>
      </c>
      <c r="P531" s="9">
        <v>1.2509999999999999</v>
      </c>
      <c r="Q531" s="9">
        <v>19.053000000000001</v>
      </c>
      <c r="R531" s="9"/>
      <c r="S531" s="11"/>
    </row>
    <row r="532" spans="1:19" ht="15.75">
      <c r="A532" s="13">
        <v>57345</v>
      </c>
      <c r="B532" s="8">
        <f>CHOOSE( CONTROL!$C$36, 15.4806, 15.4795) * CHOOSE(CONTROL!$C$19, $D$11, 100%, $F$11)</f>
        <v>15.480600000000001</v>
      </c>
      <c r="C532" s="8">
        <f>CHOOSE( CONTROL!$C$36, 15.4857, 15.4846) * CHOOSE(CONTROL!$C$19, $D$11, 100%, $F$11)</f>
        <v>15.4857</v>
      </c>
      <c r="D532" s="8">
        <f>CHOOSE( CONTROL!$C$36, 15.4663, 15.4652) * CHOOSE( CONTROL!$C$19, $D$11, 100%, $F$11)</f>
        <v>15.4663</v>
      </c>
      <c r="E532" s="12">
        <f>CHOOSE( CONTROL!$C$36, 15.4729, 15.4718) * CHOOSE( CONTROL!$C$19, $D$11, 100%, $F$11)</f>
        <v>15.472899999999999</v>
      </c>
      <c r="F532" s="4">
        <f>CHOOSE( CONTROL!$C$36, 16.1399, 16.1388) * CHOOSE(CONTROL!$C$19, $D$11, 100%, $F$11)</f>
        <v>16.139900000000001</v>
      </c>
      <c r="G532" s="8">
        <f>CHOOSE( CONTROL!$C$36, 15.3004, 15.2993) * CHOOSE( CONTROL!$C$19, $D$11, 100%, $F$11)</f>
        <v>15.3004</v>
      </c>
      <c r="H532" s="4">
        <f>CHOOSE( CONTROL!$C$36, 16.1886, 16.1875) * CHOOSE(CONTROL!$C$19, $D$11, 100%, $F$11)</f>
        <v>16.188600000000001</v>
      </c>
      <c r="I532" s="8">
        <f>CHOOSE( CONTROL!$C$36, 15.2004, 15.1993) * CHOOSE(CONTROL!$C$19, $D$11, 100%, $F$11)</f>
        <v>15.2004</v>
      </c>
      <c r="J532" s="4">
        <f>CHOOSE( CONTROL!$C$36, 15.0066, 15.0055) * CHOOSE(CONTROL!$C$19, $D$11, 100%, $F$11)</f>
        <v>15.006600000000001</v>
      </c>
      <c r="K532" s="4"/>
      <c r="L532" s="9">
        <v>29.306000000000001</v>
      </c>
      <c r="M532" s="9">
        <v>12.063700000000001</v>
      </c>
      <c r="N532" s="9">
        <v>4.9444999999999997</v>
      </c>
      <c r="O532" s="9">
        <v>0.37409999999999999</v>
      </c>
      <c r="P532" s="9">
        <v>1.2927</v>
      </c>
      <c r="Q532" s="9">
        <v>19.688099999999999</v>
      </c>
      <c r="R532" s="9"/>
      <c r="S532" s="11"/>
    </row>
    <row r="533" spans="1:19" ht="15.75">
      <c r="A533" s="13">
        <v>57376</v>
      </c>
      <c r="B533" s="8">
        <f>CHOOSE( CONTROL!$C$36, 15.9377, 15.9366) * CHOOSE(CONTROL!$C$19, $D$11, 100%, $F$11)</f>
        <v>15.9377</v>
      </c>
      <c r="C533" s="8">
        <f>CHOOSE( CONTROL!$C$36, 15.9428, 15.9417) * CHOOSE(CONTROL!$C$19, $D$11, 100%, $F$11)</f>
        <v>15.9428</v>
      </c>
      <c r="D533" s="8">
        <f>CHOOSE( CONTROL!$C$36, 15.9441, 15.943) * CHOOSE( CONTROL!$C$19, $D$11, 100%, $F$11)</f>
        <v>15.944100000000001</v>
      </c>
      <c r="E533" s="12">
        <f>CHOOSE( CONTROL!$C$36, 15.9431, 15.942) * CHOOSE( CONTROL!$C$19, $D$11, 100%, $F$11)</f>
        <v>15.943099999999999</v>
      </c>
      <c r="F533" s="4">
        <f>CHOOSE( CONTROL!$C$36, 16.597, 16.5959) * CHOOSE(CONTROL!$C$19, $D$11, 100%, $F$11)</f>
        <v>16.597000000000001</v>
      </c>
      <c r="G533" s="8">
        <f>CHOOSE( CONTROL!$C$36, 15.7622, 15.7611) * CHOOSE( CONTROL!$C$19, $D$11, 100%, $F$11)</f>
        <v>15.7622</v>
      </c>
      <c r="H533" s="4">
        <f>CHOOSE( CONTROL!$C$36, 16.6393, 16.6382) * CHOOSE(CONTROL!$C$19, $D$11, 100%, $F$11)</f>
        <v>16.639299999999999</v>
      </c>
      <c r="I533" s="8">
        <f>CHOOSE( CONTROL!$C$36, 15.6207, 15.6197) * CHOOSE(CONTROL!$C$19, $D$11, 100%, $F$11)</f>
        <v>15.620699999999999</v>
      </c>
      <c r="J533" s="4">
        <f>CHOOSE( CONTROL!$C$36, 15.4492, 15.4481) * CHOOSE(CONTROL!$C$19, $D$11, 100%, $F$11)</f>
        <v>15.449199999999999</v>
      </c>
      <c r="K533" s="4"/>
      <c r="L533" s="9">
        <v>29.306000000000001</v>
      </c>
      <c r="M533" s="9">
        <v>12.063700000000001</v>
      </c>
      <c r="N533" s="9">
        <v>4.9444999999999997</v>
      </c>
      <c r="O533" s="9">
        <v>0.37409999999999999</v>
      </c>
      <c r="P533" s="9">
        <v>1.2927</v>
      </c>
      <c r="Q533" s="9">
        <v>19.688099999999999</v>
      </c>
      <c r="R533" s="9"/>
      <c r="S533" s="11"/>
    </row>
    <row r="534" spans="1:19" ht="15.75">
      <c r="A534" s="13">
        <v>57404</v>
      </c>
      <c r="B534" s="8">
        <f>CHOOSE( CONTROL!$C$36, 14.9063, 14.9053) * CHOOSE(CONTROL!$C$19, $D$11, 100%, $F$11)</f>
        <v>14.9063</v>
      </c>
      <c r="C534" s="8">
        <f>CHOOSE( CONTROL!$C$36, 14.9114, 14.9104) * CHOOSE(CONTROL!$C$19, $D$11, 100%, $F$11)</f>
        <v>14.9114</v>
      </c>
      <c r="D534" s="8">
        <f>CHOOSE( CONTROL!$C$36, 14.9126, 14.9115) * CHOOSE( CONTROL!$C$19, $D$11, 100%, $F$11)</f>
        <v>14.912599999999999</v>
      </c>
      <c r="E534" s="12">
        <f>CHOOSE( CONTROL!$C$36, 14.9116, 14.9106) * CHOOSE( CONTROL!$C$19, $D$11, 100%, $F$11)</f>
        <v>14.9116</v>
      </c>
      <c r="F534" s="4">
        <f>CHOOSE( CONTROL!$C$36, 15.5656, 15.5645) * CHOOSE(CONTROL!$C$19, $D$11, 100%, $F$11)</f>
        <v>15.5656</v>
      </c>
      <c r="G534" s="8">
        <f>CHOOSE( CONTROL!$C$36, 14.7451, 14.744) * CHOOSE( CONTROL!$C$19, $D$11, 100%, $F$11)</f>
        <v>14.745100000000001</v>
      </c>
      <c r="H534" s="4">
        <f>CHOOSE( CONTROL!$C$36, 15.6223, 15.6212) * CHOOSE(CONTROL!$C$19, $D$11, 100%, $F$11)</f>
        <v>15.622299999999999</v>
      </c>
      <c r="I534" s="8">
        <f>CHOOSE( CONTROL!$C$36, 14.6211, 14.6201) * CHOOSE(CONTROL!$C$19, $D$11, 100%, $F$11)</f>
        <v>14.6211</v>
      </c>
      <c r="J534" s="4">
        <f>CHOOSE( CONTROL!$C$36, 14.4505, 14.4494) * CHOOSE(CONTROL!$C$19, $D$11, 100%, $F$11)</f>
        <v>14.4505</v>
      </c>
      <c r="K534" s="4"/>
      <c r="L534" s="9">
        <v>26.469899999999999</v>
      </c>
      <c r="M534" s="9">
        <v>10.8962</v>
      </c>
      <c r="N534" s="9">
        <v>4.4660000000000002</v>
      </c>
      <c r="O534" s="9">
        <v>0.33789999999999998</v>
      </c>
      <c r="P534" s="9">
        <v>1.1676</v>
      </c>
      <c r="Q534" s="9">
        <v>17.782800000000002</v>
      </c>
      <c r="R534" s="9"/>
      <c r="S534" s="11"/>
    </row>
    <row r="535" spans="1:19" ht="15.75">
      <c r="A535" s="13">
        <v>57435</v>
      </c>
      <c r="B535" s="8">
        <f>CHOOSE( CONTROL!$C$36, 14.5887, 14.5876) * CHOOSE(CONTROL!$C$19, $D$11, 100%, $F$11)</f>
        <v>14.588699999999999</v>
      </c>
      <c r="C535" s="8">
        <f>CHOOSE( CONTROL!$C$36, 14.5938, 14.5927) * CHOOSE(CONTROL!$C$19, $D$11, 100%, $F$11)</f>
        <v>14.5938</v>
      </c>
      <c r="D535" s="8">
        <f>CHOOSE( CONTROL!$C$36, 14.5943, 14.5932) * CHOOSE( CONTROL!$C$19, $D$11, 100%, $F$11)</f>
        <v>14.5943</v>
      </c>
      <c r="E535" s="12">
        <f>CHOOSE( CONTROL!$C$36, 14.5936, 14.5925) * CHOOSE( CONTROL!$C$19, $D$11, 100%, $F$11)</f>
        <v>14.5936</v>
      </c>
      <c r="F535" s="4">
        <f>CHOOSE( CONTROL!$C$36, 15.2479, 15.2468) * CHOOSE(CONTROL!$C$19, $D$11, 100%, $F$11)</f>
        <v>15.2479</v>
      </c>
      <c r="G535" s="8">
        <f>CHOOSE( CONTROL!$C$36, 14.4314, 14.4303) * CHOOSE( CONTROL!$C$19, $D$11, 100%, $F$11)</f>
        <v>14.4314</v>
      </c>
      <c r="H535" s="4">
        <f>CHOOSE( CONTROL!$C$36, 15.3091, 15.308) * CHOOSE(CONTROL!$C$19, $D$11, 100%, $F$11)</f>
        <v>15.309100000000001</v>
      </c>
      <c r="I535" s="8">
        <f>CHOOSE( CONTROL!$C$36, 14.3114, 14.3103) * CHOOSE(CONTROL!$C$19, $D$11, 100%, $F$11)</f>
        <v>14.311400000000001</v>
      </c>
      <c r="J535" s="4">
        <f>CHOOSE( CONTROL!$C$36, 14.1429, 14.1418) * CHOOSE(CONTROL!$C$19, $D$11, 100%, $F$11)</f>
        <v>14.142899999999999</v>
      </c>
      <c r="K535" s="4"/>
      <c r="L535" s="9">
        <v>29.306000000000001</v>
      </c>
      <c r="M535" s="9">
        <v>12.063700000000001</v>
      </c>
      <c r="N535" s="9">
        <v>4.9444999999999997</v>
      </c>
      <c r="O535" s="9">
        <v>0.37409999999999999</v>
      </c>
      <c r="P535" s="9">
        <v>1.2927</v>
      </c>
      <c r="Q535" s="9">
        <v>19.688099999999999</v>
      </c>
      <c r="R535" s="9"/>
      <c r="S535" s="11"/>
    </row>
    <row r="536" spans="1:19" ht="15.75">
      <c r="A536" s="13">
        <v>57465</v>
      </c>
      <c r="B536" s="8">
        <f>CHOOSE( CONTROL!$C$36, 14.8114, 14.8103) * CHOOSE(CONTROL!$C$19, $D$11, 100%, $F$11)</f>
        <v>14.811400000000001</v>
      </c>
      <c r="C536" s="8">
        <f>CHOOSE( CONTROL!$C$36, 14.816, 14.8149) * CHOOSE(CONTROL!$C$19, $D$11, 100%, $F$11)</f>
        <v>14.816000000000001</v>
      </c>
      <c r="D536" s="8">
        <f>CHOOSE( CONTROL!$C$36, 14.8363, 14.8353) * CHOOSE( CONTROL!$C$19, $D$11, 100%, $F$11)</f>
        <v>14.8363</v>
      </c>
      <c r="E536" s="12">
        <f>CHOOSE( CONTROL!$C$36, 14.8291, 14.828) * CHOOSE( CONTROL!$C$19, $D$11, 100%, $F$11)</f>
        <v>14.8291</v>
      </c>
      <c r="F536" s="4">
        <f>CHOOSE( CONTROL!$C$36, 15.5458, 15.5447) * CHOOSE(CONTROL!$C$19, $D$11, 100%, $F$11)</f>
        <v>15.5458</v>
      </c>
      <c r="G536" s="8">
        <f>CHOOSE( CONTROL!$C$36, 14.6584, 14.6573) * CHOOSE( CONTROL!$C$19, $D$11, 100%, $F$11)</f>
        <v>14.6584</v>
      </c>
      <c r="H536" s="4">
        <f>CHOOSE( CONTROL!$C$36, 15.6028, 15.6017) * CHOOSE(CONTROL!$C$19, $D$11, 100%, $F$11)</f>
        <v>15.6028</v>
      </c>
      <c r="I536" s="8">
        <f>CHOOSE( CONTROL!$C$36, 14.4959, 14.4949) * CHOOSE(CONTROL!$C$19, $D$11, 100%, $F$11)</f>
        <v>14.495900000000001</v>
      </c>
      <c r="J536" s="4">
        <f>CHOOSE( CONTROL!$C$36, 14.3578, 14.3568) * CHOOSE(CONTROL!$C$19, $D$11, 100%, $F$11)</f>
        <v>14.357799999999999</v>
      </c>
      <c r="K536" s="4"/>
      <c r="L536" s="9">
        <v>30.092199999999998</v>
      </c>
      <c r="M536" s="9">
        <v>11.6745</v>
      </c>
      <c r="N536" s="9">
        <v>4.7850000000000001</v>
      </c>
      <c r="O536" s="9">
        <v>0.36199999999999999</v>
      </c>
      <c r="P536" s="9">
        <v>1.2509999999999999</v>
      </c>
      <c r="Q536" s="9">
        <v>19.053000000000001</v>
      </c>
      <c r="R536" s="9"/>
      <c r="S536" s="11"/>
    </row>
    <row r="537" spans="1:19" ht="15.75">
      <c r="A537" s="13">
        <v>57496</v>
      </c>
      <c r="B537" s="8">
        <f>CHOOSE( CONTROL!$C$36, 15.2084, 15.2068) * CHOOSE(CONTROL!$C$19, $D$11, 100%, $F$11)</f>
        <v>15.208399999999999</v>
      </c>
      <c r="C537" s="8">
        <f>CHOOSE( CONTROL!$C$36, 15.2164, 15.2148) * CHOOSE(CONTROL!$C$19, $D$11, 100%, $F$11)</f>
        <v>15.2164</v>
      </c>
      <c r="D537" s="8">
        <f>CHOOSE( CONTROL!$C$36, 15.2306, 15.229) * CHOOSE( CONTROL!$C$19, $D$11, 100%, $F$11)</f>
        <v>15.230600000000001</v>
      </c>
      <c r="E537" s="12">
        <f>CHOOSE( CONTROL!$C$36, 15.2242, 15.2226) * CHOOSE( CONTROL!$C$19, $D$11, 100%, $F$11)</f>
        <v>15.2242</v>
      </c>
      <c r="F537" s="4">
        <f>CHOOSE( CONTROL!$C$36, 15.9415, 15.9398) * CHOOSE(CONTROL!$C$19, $D$11, 100%, $F$11)</f>
        <v>15.9415</v>
      </c>
      <c r="G537" s="8">
        <f>CHOOSE( CONTROL!$C$36, 15.0484, 15.0468) * CHOOSE( CONTROL!$C$19, $D$11, 100%, $F$11)</f>
        <v>15.048400000000001</v>
      </c>
      <c r="H537" s="4">
        <f>CHOOSE( CONTROL!$C$36, 15.9929, 15.9913) * CHOOSE(CONTROL!$C$19, $D$11, 100%, $F$11)</f>
        <v>15.992900000000001</v>
      </c>
      <c r="I537" s="8">
        <f>CHOOSE( CONTROL!$C$36, 14.8788, 14.8772) * CHOOSE(CONTROL!$C$19, $D$11, 100%, $F$11)</f>
        <v>14.8788</v>
      </c>
      <c r="J537" s="4">
        <f>CHOOSE( CONTROL!$C$36, 14.7409, 14.7393) * CHOOSE(CONTROL!$C$19, $D$11, 100%, $F$11)</f>
        <v>14.7409</v>
      </c>
      <c r="K537" s="4"/>
      <c r="L537" s="9">
        <v>30.7165</v>
      </c>
      <c r="M537" s="9">
        <v>12.063700000000001</v>
      </c>
      <c r="N537" s="9">
        <v>4.9444999999999997</v>
      </c>
      <c r="O537" s="9">
        <v>0.37409999999999999</v>
      </c>
      <c r="P537" s="9">
        <v>1.2927</v>
      </c>
      <c r="Q537" s="9">
        <v>19.688099999999999</v>
      </c>
      <c r="R537" s="9"/>
      <c r="S537" s="11"/>
    </row>
    <row r="538" spans="1:19" ht="15.75">
      <c r="A538" s="13">
        <v>57526</v>
      </c>
      <c r="B538" s="8">
        <f>CHOOSE( CONTROL!$C$36, 14.9637, 14.962) * CHOOSE(CONTROL!$C$19, $D$11, 100%, $F$11)</f>
        <v>14.963699999999999</v>
      </c>
      <c r="C538" s="8">
        <f>CHOOSE( CONTROL!$C$36, 14.9717, 14.97) * CHOOSE(CONTROL!$C$19, $D$11, 100%, $F$11)</f>
        <v>14.9717</v>
      </c>
      <c r="D538" s="8">
        <f>CHOOSE( CONTROL!$C$36, 14.9861, 14.9844) * CHOOSE( CONTROL!$C$19, $D$11, 100%, $F$11)</f>
        <v>14.9861</v>
      </c>
      <c r="E538" s="12">
        <f>CHOOSE( CONTROL!$C$36, 14.9797, 14.978) * CHOOSE( CONTROL!$C$19, $D$11, 100%, $F$11)</f>
        <v>14.979699999999999</v>
      </c>
      <c r="F538" s="4">
        <f>CHOOSE( CONTROL!$C$36, 15.6967, 15.6951) * CHOOSE(CONTROL!$C$19, $D$11, 100%, $F$11)</f>
        <v>15.6967</v>
      </c>
      <c r="G538" s="8">
        <f>CHOOSE( CONTROL!$C$36, 14.8073, 14.8056) * CHOOSE( CONTROL!$C$19, $D$11, 100%, $F$11)</f>
        <v>14.8073</v>
      </c>
      <c r="H538" s="4">
        <f>CHOOSE( CONTROL!$C$36, 15.7516, 15.7499) * CHOOSE(CONTROL!$C$19, $D$11, 100%, $F$11)</f>
        <v>15.7516</v>
      </c>
      <c r="I538" s="8">
        <f>CHOOSE( CONTROL!$C$36, 14.6424, 14.6408) * CHOOSE(CONTROL!$C$19, $D$11, 100%, $F$11)</f>
        <v>14.6424</v>
      </c>
      <c r="J538" s="4">
        <f>CHOOSE( CONTROL!$C$36, 14.5039, 14.5023) * CHOOSE(CONTROL!$C$19, $D$11, 100%, $F$11)</f>
        <v>14.5039</v>
      </c>
      <c r="K538" s="4"/>
      <c r="L538" s="9">
        <v>29.7257</v>
      </c>
      <c r="M538" s="9">
        <v>11.6745</v>
      </c>
      <c r="N538" s="9">
        <v>4.7850000000000001</v>
      </c>
      <c r="O538" s="9">
        <v>0.36199999999999999</v>
      </c>
      <c r="P538" s="9">
        <v>1.2509999999999999</v>
      </c>
      <c r="Q538" s="9">
        <v>19.053000000000001</v>
      </c>
      <c r="R538" s="9"/>
      <c r="S538" s="11"/>
    </row>
    <row r="539" spans="1:19" ht="15.75">
      <c r="A539" s="13">
        <v>57557</v>
      </c>
      <c r="B539" s="8">
        <f>CHOOSE( CONTROL!$C$36, 15.6082, 15.6065) * CHOOSE(CONTROL!$C$19, $D$11, 100%, $F$11)</f>
        <v>15.6082</v>
      </c>
      <c r="C539" s="8">
        <f>CHOOSE( CONTROL!$C$36, 15.6162, 15.6145) * CHOOSE(CONTROL!$C$19, $D$11, 100%, $F$11)</f>
        <v>15.616199999999999</v>
      </c>
      <c r="D539" s="8">
        <f>CHOOSE( CONTROL!$C$36, 15.6308, 15.6291) * CHOOSE( CONTROL!$C$19, $D$11, 100%, $F$11)</f>
        <v>15.630800000000001</v>
      </c>
      <c r="E539" s="12">
        <f>CHOOSE( CONTROL!$C$36, 15.6243, 15.6226) * CHOOSE( CONTROL!$C$19, $D$11, 100%, $F$11)</f>
        <v>15.6243</v>
      </c>
      <c r="F539" s="4">
        <f>CHOOSE( CONTROL!$C$36, 16.3412, 16.3395) * CHOOSE(CONTROL!$C$19, $D$11, 100%, $F$11)</f>
        <v>16.341200000000001</v>
      </c>
      <c r="G539" s="8">
        <f>CHOOSE( CONTROL!$C$36, 15.4429, 15.4413) * CHOOSE( CONTROL!$C$19, $D$11, 100%, $F$11)</f>
        <v>15.4429</v>
      </c>
      <c r="H539" s="4">
        <f>CHOOSE( CONTROL!$C$36, 16.3871, 16.3854) * CHOOSE(CONTROL!$C$19, $D$11, 100%, $F$11)</f>
        <v>16.3871</v>
      </c>
      <c r="I539" s="8">
        <f>CHOOSE( CONTROL!$C$36, 15.2676, 15.266) * CHOOSE(CONTROL!$C$19, $D$11, 100%, $F$11)</f>
        <v>15.2676</v>
      </c>
      <c r="J539" s="4">
        <f>CHOOSE( CONTROL!$C$36, 15.128, 15.1264) * CHOOSE(CONTROL!$C$19, $D$11, 100%, $F$11)</f>
        <v>15.128</v>
      </c>
      <c r="K539" s="4"/>
      <c r="L539" s="9">
        <v>30.7165</v>
      </c>
      <c r="M539" s="9">
        <v>12.063700000000001</v>
      </c>
      <c r="N539" s="9">
        <v>4.9444999999999997</v>
      </c>
      <c r="O539" s="9">
        <v>0.37409999999999999</v>
      </c>
      <c r="P539" s="9">
        <v>1.2927</v>
      </c>
      <c r="Q539" s="9">
        <v>19.688099999999999</v>
      </c>
      <c r="R539" s="9"/>
      <c r="S539" s="11"/>
    </row>
    <row r="540" spans="1:19" ht="15.75">
      <c r="A540" s="13">
        <v>57588</v>
      </c>
      <c r="B540" s="8">
        <f>CHOOSE( CONTROL!$C$36, 14.4023, 14.4006) * CHOOSE(CONTROL!$C$19, $D$11, 100%, $F$11)</f>
        <v>14.4023</v>
      </c>
      <c r="C540" s="8">
        <f>CHOOSE( CONTROL!$C$36, 14.4103, 14.4086) * CHOOSE(CONTROL!$C$19, $D$11, 100%, $F$11)</f>
        <v>14.410299999999999</v>
      </c>
      <c r="D540" s="8">
        <f>CHOOSE( CONTROL!$C$36, 14.425, 14.4233) * CHOOSE( CONTROL!$C$19, $D$11, 100%, $F$11)</f>
        <v>14.425000000000001</v>
      </c>
      <c r="E540" s="12">
        <f>CHOOSE( CONTROL!$C$36, 14.4185, 14.4168) * CHOOSE( CONTROL!$C$19, $D$11, 100%, $F$11)</f>
        <v>14.4185</v>
      </c>
      <c r="F540" s="4">
        <f>CHOOSE( CONTROL!$C$36, 15.1353, 15.1337) * CHOOSE(CONTROL!$C$19, $D$11, 100%, $F$11)</f>
        <v>15.135300000000001</v>
      </c>
      <c r="G540" s="8">
        <f>CHOOSE( CONTROL!$C$36, 14.2539, 14.2523) * CHOOSE( CONTROL!$C$19, $D$11, 100%, $F$11)</f>
        <v>14.2539</v>
      </c>
      <c r="H540" s="4">
        <f>CHOOSE( CONTROL!$C$36, 15.198, 15.1964) * CHOOSE(CONTROL!$C$19, $D$11, 100%, $F$11)</f>
        <v>15.198</v>
      </c>
      <c r="I540" s="8">
        <f>CHOOSE( CONTROL!$C$36, 14.0995, 14.0979) * CHOOSE(CONTROL!$C$19, $D$11, 100%, $F$11)</f>
        <v>14.099500000000001</v>
      </c>
      <c r="J540" s="4">
        <f>CHOOSE( CONTROL!$C$36, 13.9603, 13.9587) * CHOOSE(CONTROL!$C$19, $D$11, 100%, $F$11)</f>
        <v>13.9603</v>
      </c>
      <c r="K540" s="4"/>
      <c r="L540" s="9">
        <v>30.7165</v>
      </c>
      <c r="M540" s="9">
        <v>12.063700000000001</v>
      </c>
      <c r="N540" s="9">
        <v>4.9444999999999997</v>
      </c>
      <c r="O540" s="9">
        <v>0.37409999999999999</v>
      </c>
      <c r="P540" s="9">
        <v>1.2927</v>
      </c>
      <c r="Q540" s="9">
        <v>19.688099999999999</v>
      </c>
      <c r="R540" s="9"/>
      <c r="S540" s="11"/>
    </row>
    <row r="541" spans="1:19" ht="15.75">
      <c r="A541" s="13">
        <v>57618</v>
      </c>
      <c r="B541" s="8">
        <f>CHOOSE( CONTROL!$C$36, 14.1003, 14.0987) * CHOOSE(CONTROL!$C$19, $D$11, 100%, $F$11)</f>
        <v>14.100300000000001</v>
      </c>
      <c r="C541" s="8">
        <f>CHOOSE( CONTROL!$C$36, 14.1083, 14.1067) * CHOOSE(CONTROL!$C$19, $D$11, 100%, $F$11)</f>
        <v>14.1083</v>
      </c>
      <c r="D541" s="8">
        <f>CHOOSE( CONTROL!$C$36, 14.1229, 14.1213) * CHOOSE( CONTROL!$C$19, $D$11, 100%, $F$11)</f>
        <v>14.1229</v>
      </c>
      <c r="E541" s="12">
        <f>CHOOSE( CONTROL!$C$36, 14.1164, 14.1148) * CHOOSE( CONTROL!$C$19, $D$11, 100%, $F$11)</f>
        <v>14.116400000000001</v>
      </c>
      <c r="F541" s="4">
        <f>CHOOSE( CONTROL!$C$36, 14.8334, 14.8317) * CHOOSE(CONTROL!$C$19, $D$11, 100%, $F$11)</f>
        <v>14.833399999999999</v>
      </c>
      <c r="G541" s="8">
        <f>CHOOSE( CONTROL!$C$36, 13.9561, 13.9545) * CHOOSE( CONTROL!$C$19, $D$11, 100%, $F$11)</f>
        <v>13.956099999999999</v>
      </c>
      <c r="H541" s="4">
        <f>CHOOSE( CONTROL!$C$36, 14.9003, 14.8986) * CHOOSE(CONTROL!$C$19, $D$11, 100%, $F$11)</f>
        <v>14.9003</v>
      </c>
      <c r="I541" s="8">
        <f>CHOOSE( CONTROL!$C$36, 13.8067, 13.8051) * CHOOSE(CONTROL!$C$19, $D$11, 100%, $F$11)</f>
        <v>13.806699999999999</v>
      </c>
      <c r="J541" s="4">
        <f>CHOOSE( CONTROL!$C$36, 13.6679, 13.6663) * CHOOSE(CONTROL!$C$19, $D$11, 100%, $F$11)</f>
        <v>13.667899999999999</v>
      </c>
      <c r="K541" s="4"/>
      <c r="L541" s="9">
        <v>29.7257</v>
      </c>
      <c r="M541" s="9">
        <v>11.6745</v>
      </c>
      <c r="N541" s="9">
        <v>4.7850000000000001</v>
      </c>
      <c r="O541" s="9">
        <v>0.36199999999999999</v>
      </c>
      <c r="P541" s="9">
        <v>1.2509999999999999</v>
      </c>
      <c r="Q541" s="9">
        <v>19.053000000000001</v>
      </c>
      <c r="R541" s="9"/>
      <c r="S541" s="11"/>
    </row>
    <row r="542" spans="1:19" ht="15.75">
      <c r="A542" s="13">
        <v>57649</v>
      </c>
      <c r="B542" s="8">
        <f>CHOOSE( CONTROL!$C$36, 14.725, 14.7239) * CHOOSE(CONTROL!$C$19, $D$11, 100%, $F$11)</f>
        <v>14.725</v>
      </c>
      <c r="C542" s="8">
        <f>CHOOSE( CONTROL!$C$36, 14.7304, 14.7293) * CHOOSE(CONTROL!$C$19, $D$11, 100%, $F$11)</f>
        <v>14.730399999999999</v>
      </c>
      <c r="D542" s="8">
        <f>CHOOSE( CONTROL!$C$36, 14.7509, 14.7498) * CHOOSE( CONTROL!$C$19, $D$11, 100%, $F$11)</f>
        <v>14.7509</v>
      </c>
      <c r="E542" s="12">
        <f>CHOOSE( CONTROL!$C$36, 14.7436, 14.7425) * CHOOSE( CONTROL!$C$19, $D$11, 100%, $F$11)</f>
        <v>14.743600000000001</v>
      </c>
      <c r="F542" s="4">
        <f>CHOOSE( CONTROL!$C$36, 15.4598, 15.4587) * CHOOSE(CONTROL!$C$19, $D$11, 100%, $F$11)</f>
        <v>15.4598</v>
      </c>
      <c r="G542" s="8">
        <f>CHOOSE( CONTROL!$C$36, 14.574, 14.5729) * CHOOSE( CONTROL!$C$19, $D$11, 100%, $F$11)</f>
        <v>14.574</v>
      </c>
      <c r="H542" s="4">
        <f>CHOOSE( CONTROL!$C$36, 15.5179, 15.5169) * CHOOSE(CONTROL!$C$19, $D$11, 100%, $F$11)</f>
        <v>15.517899999999999</v>
      </c>
      <c r="I542" s="8">
        <f>CHOOSE( CONTROL!$C$36, 14.4146, 14.4135) * CHOOSE(CONTROL!$C$19, $D$11, 100%, $F$11)</f>
        <v>14.4146</v>
      </c>
      <c r="J542" s="4">
        <f>CHOOSE( CONTROL!$C$36, 14.2745, 14.2734) * CHOOSE(CONTROL!$C$19, $D$11, 100%, $F$11)</f>
        <v>14.2745</v>
      </c>
      <c r="K542" s="4"/>
      <c r="L542" s="9">
        <v>31.095300000000002</v>
      </c>
      <c r="M542" s="9">
        <v>12.063700000000001</v>
      </c>
      <c r="N542" s="9">
        <v>4.9444999999999997</v>
      </c>
      <c r="O542" s="9">
        <v>0.37409999999999999</v>
      </c>
      <c r="P542" s="9">
        <v>1.2927</v>
      </c>
      <c r="Q542" s="9">
        <v>19.688099999999999</v>
      </c>
      <c r="R542" s="9"/>
      <c r="S542" s="11"/>
    </row>
    <row r="543" spans="1:19" ht="15.75">
      <c r="A543" s="13">
        <v>57679</v>
      </c>
      <c r="B543" s="8">
        <f>CHOOSE( CONTROL!$C$36, 15.8819, 15.8808) * CHOOSE(CONTROL!$C$19, $D$11, 100%, $F$11)</f>
        <v>15.8819</v>
      </c>
      <c r="C543" s="8">
        <f>CHOOSE( CONTROL!$C$36, 15.887, 15.8859) * CHOOSE(CONTROL!$C$19, $D$11, 100%, $F$11)</f>
        <v>15.887</v>
      </c>
      <c r="D543" s="8">
        <f>CHOOSE( CONTROL!$C$36, 15.8662, 15.8651) * CHOOSE( CONTROL!$C$19, $D$11, 100%, $F$11)</f>
        <v>15.866199999999999</v>
      </c>
      <c r="E543" s="12">
        <f>CHOOSE( CONTROL!$C$36, 15.8733, 15.8722) * CHOOSE( CONTROL!$C$19, $D$11, 100%, $F$11)</f>
        <v>15.8733</v>
      </c>
      <c r="F543" s="4">
        <f>CHOOSE( CONTROL!$C$36, 16.5411, 16.5401) * CHOOSE(CONTROL!$C$19, $D$11, 100%, $F$11)</f>
        <v>16.5411</v>
      </c>
      <c r="G543" s="8">
        <f>CHOOSE( CONTROL!$C$36, 15.6951, 15.694) * CHOOSE( CONTROL!$C$19, $D$11, 100%, $F$11)</f>
        <v>15.6951</v>
      </c>
      <c r="H543" s="4">
        <f>CHOOSE( CONTROL!$C$36, 16.5842, 16.5831) * CHOOSE(CONTROL!$C$19, $D$11, 100%, $F$11)</f>
        <v>16.584199999999999</v>
      </c>
      <c r="I543" s="8">
        <f>CHOOSE( CONTROL!$C$36, 15.5848, 15.5838) * CHOOSE(CONTROL!$C$19, $D$11, 100%, $F$11)</f>
        <v>15.5848</v>
      </c>
      <c r="J543" s="4">
        <f>CHOOSE( CONTROL!$C$36, 15.3951, 15.394) * CHOOSE(CONTROL!$C$19, $D$11, 100%, $F$11)</f>
        <v>15.395099999999999</v>
      </c>
      <c r="K543" s="4"/>
      <c r="L543" s="9">
        <v>28.360600000000002</v>
      </c>
      <c r="M543" s="9">
        <v>11.6745</v>
      </c>
      <c r="N543" s="9">
        <v>4.7850000000000001</v>
      </c>
      <c r="O543" s="9">
        <v>0.36199999999999999</v>
      </c>
      <c r="P543" s="9">
        <v>1.2509999999999999</v>
      </c>
      <c r="Q543" s="9">
        <v>19.053000000000001</v>
      </c>
      <c r="R543" s="9"/>
      <c r="S543" s="11"/>
    </row>
    <row r="544" spans="1:19" ht="15.75">
      <c r="A544" s="13">
        <v>57710</v>
      </c>
      <c r="B544" s="8">
        <f>CHOOSE( CONTROL!$C$36, 15.853, 15.8519) * CHOOSE(CONTROL!$C$19, $D$11, 100%, $F$11)</f>
        <v>15.853</v>
      </c>
      <c r="C544" s="8">
        <f>CHOOSE( CONTROL!$C$36, 15.8581, 15.857) * CHOOSE(CONTROL!$C$19, $D$11, 100%, $F$11)</f>
        <v>15.8581</v>
      </c>
      <c r="D544" s="8">
        <f>CHOOSE( CONTROL!$C$36, 15.8387, 15.8376) * CHOOSE( CONTROL!$C$19, $D$11, 100%, $F$11)</f>
        <v>15.838699999999999</v>
      </c>
      <c r="E544" s="12">
        <f>CHOOSE( CONTROL!$C$36, 15.8453, 15.8442) * CHOOSE( CONTROL!$C$19, $D$11, 100%, $F$11)</f>
        <v>15.8453</v>
      </c>
      <c r="F544" s="4">
        <f>CHOOSE( CONTROL!$C$36, 16.5122, 16.5111) * CHOOSE(CONTROL!$C$19, $D$11, 100%, $F$11)</f>
        <v>16.5122</v>
      </c>
      <c r="G544" s="8">
        <f>CHOOSE( CONTROL!$C$36, 15.6675, 15.6665) * CHOOSE( CONTROL!$C$19, $D$11, 100%, $F$11)</f>
        <v>15.6675</v>
      </c>
      <c r="H544" s="4">
        <f>CHOOSE( CONTROL!$C$36, 16.5557, 16.5546) * CHOOSE(CONTROL!$C$19, $D$11, 100%, $F$11)</f>
        <v>16.555700000000002</v>
      </c>
      <c r="I544" s="8">
        <f>CHOOSE( CONTROL!$C$36, 15.5611, 15.5601) * CHOOSE(CONTROL!$C$19, $D$11, 100%, $F$11)</f>
        <v>15.5611</v>
      </c>
      <c r="J544" s="4">
        <f>CHOOSE( CONTROL!$C$36, 15.3671, 15.366) * CHOOSE(CONTROL!$C$19, $D$11, 100%, $F$11)</f>
        <v>15.367100000000001</v>
      </c>
      <c r="K544" s="4"/>
      <c r="L544" s="9">
        <v>29.306000000000001</v>
      </c>
      <c r="M544" s="9">
        <v>12.063700000000001</v>
      </c>
      <c r="N544" s="9">
        <v>4.9444999999999997</v>
      </c>
      <c r="O544" s="9">
        <v>0.37409999999999999</v>
      </c>
      <c r="P544" s="9">
        <v>1.2927</v>
      </c>
      <c r="Q544" s="9">
        <v>19.688099999999999</v>
      </c>
      <c r="R544" s="9"/>
      <c r="S544" s="11"/>
    </row>
    <row r="545" spans="1:19" ht="15.75">
      <c r="A545" s="13">
        <v>57741</v>
      </c>
      <c r="B545" s="8">
        <f>CHOOSE( CONTROL!$C$36, 16.3211, 16.32) * CHOOSE(CONTROL!$C$19, $D$11, 100%, $F$11)</f>
        <v>16.321100000000001</v>
      </c>
      <c r="C545" s="8">
        <f>CHOOSE( CONTROL!$C$36, 16.3262, 16.3251) * CHOOSE(CONTROL!$C$19, $D$11, 100%, $F$11)</f>
        <v>16.3262</v>
      </c>
      <c r="D545" s="8">
        <f>CHOOSE( CONTROL!$C$36, 16.3275, 16.3264) * CHOOSE( CONTROL!$C$19, $D$11, 100%, $F$11)</f>
        <v>16.327500000000001</v>
      </c>
      <c r="E545" s="12">
        <f>CHOOSE( CONTROL!$C$36, 16.3265, 16.3254) * CHOOSE( CONTROL!$C$19, $D$11, 100%, $F$11)</f>
        <v>16.326499999999999</v>
      </c>
      <c r="F545" s="4">
        <f>CHOOSE( CONTROL!$C$36, 16.9803, 16.9792) * CHOOSE(CONTROL!$C$19, $D$11, 100%, $F$11)</f>
        <v>16.9803</v>
      </c>
      <c r="G545" s="8">
        <f>CHOOSE( CONTROL!$C$36, 16.1402, 16.1391) * CHOOSE( CONTROL!$C$19, $D$11, 100%, $F$11)</f>
        <v>16.1402</v>
      </c>
      <c r="H545" s="4">
        <f>CHOOSE( CONTROL!$C$36, 17.0173, 17.0162) * CHOOSE(CONTROL!$C$19, $D$11, 100%, $F$11)</f>
        <v>17.017299999999999</v>
      </c>
      <c r="I545" s="8">
        <f>CHOOSE( CONTROL!$C$36, 15.9921, 15.991) * CHOOSE(CONTROL!$C$19, $D$11, 100%, $F$11)</f>
        <v>15.992100000000001</v>
      </c>
      <c r="J545" s="4">
        <f>CHOOSE( CONTROL!$C$36, 15.8203, 15.8193) * CHOOSE(CONTROL!$C$19, $D$11, 100%, $F$11)</f>
        <v>15.8203</v>
      </c>
      <c r="K545" s="4"/>
      <c r="L545" s="9">
        <v>29.306000000000001</v>
      </c>
      <c r="M545" s="9">
        <v>12.063700000000001</v>
      </c>
      <c r="N545" s="9">
        <v>4.9444999999999997</v>
      </c>
      <c r="O545" s="9">
        <v>0.37409999999999999</v>
      </c>
      <c r="P545" s="9">
        <v>1.2927</v>
      </c>
      <c r="Q545" s="9">
        <v>19.688099999999999</v>
      </c>
      <c r="R545" s="9"/>
      <c r="S545" s="11"/>
    </row>
    <row r="546" spans="1:19" ht="15.75">
      <c r="A546" s="13">
        <v>57769</v>
      </c>
      <c r="B546" s="8">
        <f>CHOOSE( CONTROL!$C$36, 15.2649, 15.2638) * CHOOSE(CONTROL!$C$19, $D$11, 100%, $F$11)</f>
        <v>15.264900000000001</v>
      </c>
      <c r="C546" s="8">
        <f>CHOOSE( CONTROL!$C$36, 15.27, 15.2689) * CHOOSE(CONTROL!$C$19, $D$11, 100%, $F$11)</f>
        <v>15.27</v>
      </c>
      <c r="D546" s="8">
        <f>CHOOSE( CONTROL!$C$36, 15.2712, 15.2701) * CHOOSE( CONTROL!$C$19, $D$11, 100%, $F$11)</f>
        <v>15.2712</v>
      </c>
      <c r="E546" s="12">
        <f>CHOOSE( CONTROL!$C$36, 15.2702, 15.2691) * CHOOSE( CONTROL!$C$19, $D$11, 100%, $F$11)</f>
        <v>15.270200000000001</v>
      </c>
      <c r="F546" s="4">
        <f>CHOOSE( CONTROL!$C$36, 15.9241, 15.9231) * CHOOSE(CONTROL!$C$19, $D$11, 100%, $F$11)</f>
        <v>15.924099999999999</v>
      </c>
      <c r="G546" s="8">
        <f>CHOOSE( CONTROL!$C$36, 15.0986, 15.0976) * CHOOSE( CONTROL!$C$19, $D$11, 100%, $F$11)</f>
        <v>15.098599999999999</v>
      </c>
      <c r="H546" s="4">
        <f>CHOOSE( CONTROL!$C$36, 15.9758, 15.9748) * CHOOSE(CONTROL!$C$19, $D$11, 100%, $F$11)</f>
        <v>15.9758</v>
      </c>
      <c r="I546" s="8">
        <f>CHOOSE( CONTROL!$C$36, 14.9685, 14.9674) * CHOOSE(CONTROL!$C$19, $D$11, 100%, $F$11)</f>
        <v>14.968500000000001</v>
      </c>
      <c r="J546" s="4">
        <f>CHOOSE( CONTROL!$C$36, 14.7977, 14.7966) * CHOOSE(CONTROL!$C$19, $D$11, 100%, $F$11)</f>
        <v>14.797700000000001</v>
      </c>
      <c r="K546" s="4"/>
      <c r="L546" s="9">
        <v>26.469899999999999</v>
      </c>
      <c r="M546" s="9">
        <v>10.8962</v>
      </c>
      <c r="N546" s="9">
        <v>4.4660000000000002</v>
      </c>
      <c r="O546" s="9">
        <v>0.33789999999999998</v>
      </c>
      <c r="P546" s="9">
        <v>1.1676</v>
      </c>
      <c r="Q546" s="9">
        <v>17.782800000000002</v>
      </c>
      <c r="R546" s="9"/>
      <c r="S546" s="11"/>
    </row>
    <row r="547" spans="1:19" ht="15.75">
      <c r="A547" s="13">
        <v>57800</v>
      </c>
      <c r="B547" s="8">
        <f>CHOOSE( CONTROL!$C$36, 14.9396, 14.9385) * CHOOSE(CONTROL!$C$19, $D$11, 100%, $F$11)</f>
        <v>14.9396</v>
      </c>
      <c r="C547" s="8">
        <f>CHOOSE( CONTROL!$C$36, 14.9447, 14.9436) * CHOOSE(CONTROL!$C$19, $D$11, 100%, $F$11)</f>
        <v>14.944699999999999</v>
      </c>
      <c r="D547" s="8">
        <f>CHOOSE( CONTROL!$C$36, 14.9452, 14.9441) * CHOOSE( CONTROL!$C$19, $D$11, 100%, $F$11)</f>
        <v>14.9452</v>
      </c>
      <c r="E547" s="12">
        <f>CHOOSE( CONTROL!$C$36, 14.9445, 14.9434) * CHOOSE( CONTROL!$C$19, $D$11, 100%, $F$11)</f>
        <v>14.9445</v>
      </c>
      <c r="F547" s="4">
        <f>CHOOSE( CONTROL!$C$36, 15.5988, 15.5978) * CHOOSE(CONTROL!$C$19, $D$11, 100%, $F$11)</f>
        <v>15.598800000000001</v>
      </c>
      <c r="G547" s="8">
        <f>CHOOSE( CONTROL!$C$36, 14.7774, 14.7763) * CHOOSE( CONTROL!$C$19, $D$11, 100%, $F$11)</f>
        <v>14.7774</v>
      </c>
      <c r="H547" s="4">
        <f>CHOOSE( CONTROL!$C$36, 15.6551, 15.654) * CHOOSE(CONTROL!$C$19, $D$11, 100%, $F$11)</f>
        <v>15.655099999999999</v>
      </c>
      <c r="I547" s="8">
        <f>CHOOSE( CONTROL!$C$36, 14.6513, 14.6503) * CHOOSE(CONTROL!$C$19, $D$11, 100%, $F$11)</f>
        <v>14.651300000000001</v>
      </c>
      <c r="J547" s="4">
        <f>CHOOSE( CONTROL!$C$36, 14.4827, 14.4816) * CHOOSE(CONTROL!$C$19, $D$11, 100%, $F$11)</f>
        <v>14.482699999999999</v>
      </c>
      <c r="K547" s="4"/>
      <c r="L547" s="9">
        <v>29.306000000000001</v>
      </c>
      <c r="M547" s="9">
        <v>12.063700000000001</v>
      </c>
      <c r="N547" s="9">
        <v>4.9444999999999997</v>
      </c>
      <c r="O547" s="9">
        <v>0.37409999999999999</v>
      </c>
      <c r="P547" s="9">
        <v>1.2927</v>
      </c>
      <c r="Q547" s="9">
        <v>19.688099999999999</v>
      </c>
      <c r="R547" s="9"/>
      <c r="S547" s="11"/>
    </row>
    <row r="548" spans="1:19" ht="15.75">
      <c r="A548" s="13">
        <v>57830</v>
      </c>
      <c r="B548" s="8">
        <f>CHOOSE( CONTROL!$C$36, 15.1677, 15.1666) * CHOOSE(CONTROL!$C$19, $D$11, 100%, $F$11)</f>
        <v>15.1677</v>
      </c>
      <c r="C548" s="8">
        <f>CHOOSE( CONTROL!$C$36, 15.1722, 15.1711) * CHOOSE(CONTROL!$C$19, $D$11, 100%, $F$11)</f>
        <v>15.1722</v>
      </c>
      <c r="D548" s="8">
        <f>CHOOSE( CONTROL!$C$36, 15.1926, 15.1915) * CHOOSE( CONTROL!$C$19, $D$11, 100%, $F$11)</f>
        <v>15.192600000000001</v>
      </c>
      <c r="E548" s="12">
        <f>CHOOSE( CONTROL!$C$36, 15.1853, 15.1842) * CHOOSE( CONTROL!$C$19, $D$11, 100%, $F$11)</f>
        <v>15.1853</v>
      </c>
      <c r="F548" s="4">
        <f>CHOOSE( CONTROL!$C$36, 15.9021, 15.901) * CHOOSE(CONTROL!$C$19, $D$11, 100%, $F$11)</f>
        <v>15.902100000000001</v>
      </c>
      <c r="G548" s="8">
        <f>CHOOSE( CONTROL!$C$36, 15.0097, 15.0086) * CHOOSE( CONTROL!$C$19, $D$11, 100%, $F$11)</f>
        <v>15.0097</v>
      </c>
      <c r="H548" s="4">
        <f>CHOOSE( CONTROL!$C$36, 15.9541, 15.953) * CHOOSE(CONTROL!$C$19, $D$11, 100%, $F$11)</f>
        <v>15.9541</v>
      </c>
      <c r="I548" s="8">
        <f>CHOOSE( CONTROL!$C$36, 14.8411, 14.84) * CHOOSE(CONTROL!$C$19, $D$11, 100%, $F$11)</f>
        <v>14.841100000000001</v>
      </c>
      <c r="J548" s="4">
        <f>CHOOSE( CONTROL!$C$36, 14.7028, 14.7017) * CHOOSE(CONTROL!$C$19, $D$11, 100%, $F$11)</f>
        <v>14.7028</v>
      </c>
      <c r="K548" s="4"/>
      <c r="L548" s="9">
        <v>30.092199999999998</v>
      </c>
      <c r="M548" s="9">
        <v>11.6745</v>
      </c>
      <c r="N548" s="9">
        <v>4.7850000000000001</v>
      </c>
      <c r="O548" s="9">
        <v>0.36199999999999999</v>
      </c>
      <c r="P548" s="9">
        <v>1.2509999999999999</v>
      </c>
      <c r="Q548" s="9">
        <v>19.053000000000001</v>
      </c>
      <c r="R548" s="9"/>
      <c r="S548" s="11"/>
    </row>
    <row r="549" spans="1:19" ht="15.75">
      <c r="A549" s="13">
        <v>57861</v>
      </c>
      <c r="B549" s="8">
        <f>CHOOSE( CONTROL!$C$36, 15.5742, 15.5725) * CHOOSE(CONTROL!$C$19, $D$11, 100%, $F$11)</f>
        <v>15.574199999999999</v>
      </c>
      <c r="C549" s="8">
        <f>CHOOSE( CONTROL!$C$36, 15.5822, 15.5805) * CHOOSE(CONTROL!$C$19, $D$11, 100%, $F$11)</f>
        <v>15.5822</v>
      </c>
      <c r="D549" s="8">
        <f>CHOOSE( CONTROL!$C$36, 15.5964, 15.5947) * CHOOSE( CONTROL!$C$19, $D$11, 100%, $F$11)</f>
        <v>15.596399999999999</v>
      </c>
      <c r="E549" s="12">
        <f>CHOOSE( CONTROL!$C$36, 15.59, 15.5883) * CHOOSE( CONTROL!$C$19, $D$11, 100%, $F$11)</f>
        <v>15.59</v>
      </c>
      <c r="F549" s="4">
        <f>CHOOSE( CONTROL!$C$36, 16.3072, 16.3055) * CHOOSE(CONTROL!$C$19, $D$11, 100%, $F$11)</f>
        <v>16.307200000000002</v>
      </c>
      <c r="G549" s="8">
        <f>CHOOSE( CONTROL!$C$36, 15.4091, 15.4074) * CHOOSE( CONTROL!$C$19, $D$11, 100%, $F$11)</f>
        <v>15.4091</v>
      </c>
      <c r="H549" s="4">
        <f>CHOOSE( CONTROL!$C$36, 16.3535, 16.3519) * CHOOSE(CONTROL!$C$19, $D$11, 100%, $F$11)</f>
        <v>16.3535</v>
      </c>
      <c r="I549" s="8">
        <f>CHOOSE( CONTROL!$C$36, 15.2331, 15.2315) * CHOOSE(CONTROL!$C$19, $D$11, 100%, $F$11)</f>
        <v>15.2331</v>
      </c>
      <c r="J549" s="4">
        <f>CHOOSE( CONTROL!$C$36, 15.0951, 15.0935) * CHOOSE(CONTROL!$C$19, $D$11, 100%, $F$11)</f>
        <v>15.0951</v>
      </c>
      <c r="K549" s="4"/>
      <c r="L549" s="9">
        <v>30.7165</v>
      </c>
      <c r="M549" s="9">
        <v>12.063700000000001</v>
      </c>
      <c r="N549" s="9">
        <v>4.9444999999999997</v>
      </c>
      <c r="O549" s="9">
        <v>0.37409999999999999</v>
      </c>
      <c r="P549" s="9">
        <v>1.2927</v>
      </c>
      <c r="Q549" s="9">
        <v>19.688099999999999</v>
      </c>
      <c r="R549" s="9"/>
      <c r="S549" s="11"/>
    </row>
    <row r="550" spans="1:19" ht="15.75">
      <c r="A550" s="13">
        <v>57891</v>
      </c>
      <c r="B550" s="8">
        <f>CHOOSE( CONTROL!$C$36, 15.3236, 15.3219) * CHOOSE(CONTROL!$C$19, $D$11, 100%, $F$11)</f>
        <v>15.323600000000001</v>
      </c>
      <c r="C550" s="8">
        <f>CHOOSE( CONTROL!$C$36, 15.3316, 15.3299) * CHOOSE(CONTROL!$C$19, $D$11, 100%, $F$11)</f>
        <v>15.3316</v>
      </c>
      <c r="D550" s="8">
        <f>CHOOSE( CONTROL!$C$36, 15.3459, 15.3443) * CHOOSE( CONTROL!$C$19, $D$11, 100%, $F$11)</f>
        <v>15.3459</v>
      </c>
      <c r="E550" s="12">
        <f>CHOOSE( CONTROL!$C$36, 15.3395, 15.3379) * CHOOSE( CONTROL!$C$19, $D$11, 100%, $F$11)</f>
        <v>15.339499999999999</v>
      </c>
      <c r="F550" s="4">
        <f>CHOOSE( CONTROL!$C$36, 16.0566, 16.0549) * CHOOSE(CONTROL!$C$19, $D$11, 100%, $F$11)</f>
        <v>16.0566</v>
      </c>
      <c r="G550" s="8">
        <f>CHOOSE( CONTROL!$C$36, 15.1621, 15.1605) * CHOOSE( CONTROL!$C$19, $D$11, 100%, $F$11)</f>
        <v>15.162100000000001</v>
      </c>
      <c r="H550" s="4">
        <f>CHOOSE( CONTROL!$C$36, 16.1064, 16.1048) * CHOOSE(CONTROL!$C$19, $D$11, 100%, $F$11)</f>
        <v>16.106400000000001</v>
      </c>
      <c r="I550" s="8">
        <f>CHOOSE( CONTROL!$C$36, 14.991, 14.9894) * CHOOSE(CONTROL!$C$19, $D$11, 100%, $F$11)</f>
        <v>14.991</v>
      </c>
      <c r="J550" s="4">
        <f>CHOOSE( CONTROL!$C$36, 14.8524, 14.8508) * CHOOSE(CONTROL!$C$19, $D$11, 100%, $F$11)</f>
        <v>14.852399999999999</v>
      </c>
      <c r="K550" s="4"/>
      <c r="L550" s="9">
        <v>29.7257</v>
      </c>
      <c r="M550" s="9">
        <v>11.6745</v>
      </c>
      <c r="N550" s="9">
        <v>4.7850000000000001</v>
      </c>
      <c r="O550" s="9">
        <v>0.36199999999999999</v>
      </c>
      <c r="P550" s="9">
        <v>1.2509999999999999</v>
      </c>
      <c r="Q550" s="9">
        <v>19.053000000000001</v>
      </c>
      <c r="R550" s="9"/>
      <c r="S550" s="11"/>
    </row>
    <row r="551" spans="1:19" ht="15.75">
      <c r="A551" s="13">
        <v>57922</v>
      </c>
      <c r="B551" s="8">
        <f>CHOOSE( CONTROL!$C$36, 15.9835, 15.9819) * CHOOSE(CONTROL!$C$19, $D$11, 100%, $F$11)</f>
        <v>15.983499999999999</v>
      </c>
      <c r="C551" s="8">
        <f>CHOOSE( CONTROL!$C$36, 15.9915, 15.9899) * CHOOSE(CONTROL!$C$19, $D$11, 100%, $F$11)</f>
        <v>15.9915</v>
      </c>
      <c r="D551" s="8">
        <f>CHOOSE( CONTROL!$C$36, 16.0061, 16.0045) * CHOOSE( CONTROL!$C$19, $D$11, 100%, $F$11)</f>
        <v>16.0061</v>
      </c>
      <c r="E551" s="12">
        <f>CHOOSE( CONTROL!$C$36, 15.9996, 15.998) * CHOOSE( CONTROL!$C$19, $D$11, 100%, $F$11)</f>
        <v>15.999599999999999</v>
      </c>
      <c r="F551" s="4">
        <f>CHOOSE( CONTROL!$C$36, 16.7165, 16.7149) * CHOOSE(CONTROL!$C$19, $D$11, 100%, $F$11)</f>
        <v>16.7165</v>
      </c>
      <c r="G551" s="8">
        <f>CHOOSE( CONTROL!$C$36, 15.8131, 15.8114) * CHOOSE( CONTROL!$C$19, $D$11, 100%, $F$11)</f>
        <v>15.8131</v>
      </c>
      <c r="H551" s="4">
        <f>CHOOSE( CONTROL!$C$36, 16.7572, 16.7555) * CHOOSE(CONTROL!$C$19, $D$11, 100%, $F$11)</f>
        <v>16.757200000000001</v>
      </c>
      <c r="I551" s="8">
        <f>CHOOSE( CONTROL!$C$36, 15.6312, 15.6296) * CHOOSE(CONTROL!$C$19, $D$11, 100%, $F$11)</f>
        <v>15.6312</v>
      </c>
      <c r="J551" s="4">
        <f>CHOOSE( CONTROL!$C$36, 15.4914, 15.4898) * CHOOSE(CONTROL!$C$19, $D$11, 100%, $F$11)</f>
        <v>15.491400000000001</v>
      </c>
      <c r="K551" s="4"/>
      <c r="L551" s="9">
        <v>30.7165</v>
      </c>
      <c r="M551" s="9">
        <v>12.063700000000001</v>
      </c>
      <c r="N551" s="9">
        <v>4.9444999999999997</v>
      </c>
      <c r="O551" s="9">
        <v>0.37409999999999999</v>
      </c>
      <c r="P551" s="9">
        <v>1.2927</v>
      </c>
      <c r="Q551" s="9">
        <v>19.688099999999999</v>
      </c>
      <c r="R551" s="9"/>
      <c r="S551" s="11"/>
    </row>
    <row r="552" spans="1:19" ht="15.75">
      <c r="A552" s="13">
        <v>57953</v>
      </c>
      <c r="B552" s="8">
        <f>CHOOSE( CONTROL!$C$36, 14.7487, 14.747) * CHOOSE(CONTROL!$C$19, $D$11, 100%, $F$11)</f>
        <v>14.748699999999999</v>
      </c>
      <c r="C552" s="8">
        <f>CHOOSE( CONTROL!$C$36, 14.7567, 14.755) * CHOOSE(CONTROL!$C$19, $D$11, 100%, $F$11)</f>
        <v>14.7567</v>
      </c>
      <c r="D552" s="8">
        <f>CHOOSE( CONTROL!$C$36, 14.7714, 14.7697) * CHOOSE( CONTROL!$C$19, $D$11, 100%, $F$11)</f>
        <v>14.7714</v>
      </c>
      <c r="E552" s="12">
        <f>CHOOSE( CONTROL!$C$36, 14.7649, 14.7632) * CHOOSE( CONTROL!$C$19, $D$11, 100%, $F$11)</f>
        <v>14.764900000000001</v>
      </c>
      <c r="F552" s="4">
        <f>CHOOSE( CONTROL!$C$36, 15.4817, 15.48) * CHOOSE(CONTROL!$C$19, $D$11, 100%, $F$11)</f>
        <v>15.4817</v>
      </c>
      <c r="G552" s="8">
        <f>CHOOSE( CONTROL!$C$36, 14.5955, 14.5938) * CHOOSE( CONTROL!$C$19, $D$11, 100%, $F$11)</f>
        <v>14.595499999999999</v>
      </c>
      <c r="H552" s="4">
        <f>CHOOSE( CONTROL!$C$36, 15.5396, 15.5379) * CHOOSE(CONTROL!$C$19, $D$11, 100%, $F$11)</f>
        <v>15.5396</v>
      </c>
      <c r="I552" s="8">
        <f>CHOOSE( CONTROL!$C$36, 14.4351, 14.4335) * CHOOSE(CONTROL!$C$19, $D$11, 100%, $F$11)</f>
        <v>14.4351</v>
      </c>
      <c r="J552" s="4">
        <f>CHOOSE( CONTROL!$C$36, 14.2957, 14.2941) * CHOOSE(CONTROL!$C$19, $D$11, 100%, $F$11)</f>
        <v>14.2957</v>
      </c>
      <c r="K552" s="4"/>
      <c r="L552" s="9">
        <v>30.7165</v>
      </c>
      <c r="M552" s="9">
        <v>12.063700000000001</v>
      </c>
      <c r="N552" s="9">
        <v>4.9444999999999997</v>
      </c>
      <c r="O552" s="9">
        <v>0.37409999999999999</v>
      </c>
      <c r="P552" s="9">
        <v>1.2927</v>
      </c>
      <c r="Q552" s="9">
        <v>19.688099999999999</v>
      </c>
      <c r="R552" s="9"/>
      <c r="S552" s="11"/>
    </row>
    <row r="553" spans="1:19" ht="15.75">
      <c r="A553" s="13">
        <v>57983</v>
      </c>
      <c r="B553" s="8">
        <f>CHOOSE( CONTROL!$C$36, 14.4394, 14.4378) * CHOOSE(CONTROL!$C$19, $D$11, 100%, $F$11)</f>
        <v>14.439399999999999</v>
      </c>
      <c r="C553" s="8">
        <f>CHOOSE( CONTROL!$C$36, 14.4474, 14.4458) * CHOOSE(CONTROL!$C$19, $D$11, 100%, $F$11)</f>
        <v>14.4474</v>
      </c>
      <c r="D553" s="8">
        <f>CHOOSE( CONTROL!$C$36, 14.462, 14.4604) * CHOOSE( CONTROL!$C$19, $D$11, 100%, $F$11)</f>
        <v>14.462</v>
      </c>
      <c r="E553" s="12">
        <f>CHOOSE( CONTROL!$C$36, 14.4555, 14.4539) * CHOOSE( CONTROL!$C$19, $D$11, 100%, $F$11)</f>
        <v>14.455500000000001</v>
      </c>
      <c r="F553" s="4">
        <f>CHOOSE( CONTROL!$C$36, 15.1725, 15.1708) * CHOOSE(CONTROL!$C$19, $D$11, 100%, $F$11)</f>
        <v>15.172499999999999</v>
      </c>
      <c r="G553" s="8">
        <f>CHOOSE( CONTROL!$C$36, 14.2905, 14.2889) * CHOOSE( CONTROL!$C$19, $D$11, 100%, $F$11)</f>
        <v>14.2905</v>
      </c>
      <c r="H553" s="4">
        <f>CHOOSE( CONTROL!$C$36, 15.2346, 15.233) * CHOOSE(CONTROL!$C$19, $D$11, 100%, $F$11)</f>
        <v>15.2346</v>
      </c>
      <c r="I553" s="8">
        <f>CHOOSE( CONTROL!$C$36, 14.1352, 14.1336) * CHOOSE(CONTROL!$C$19, $D$11, 100%, $F$11)</f>
        <v>14.135199999999999</v>
      </c>
      <c r="J553" s="4">
        <f>CHOOSE( CONTROL!$C$36, 13.9963, 13.9947) * CHOOSE(CONTROL!$C$19, $D$11, 100%, $F$11)</f>
        <v>13.9963</v>
      </c>
      <c r="K553" s="4"/>
      <c r="L553" s="9">
        <v>29.7257</v>
      </c>
      <c r="M553" s="9">
        <v>11.6745</v>
      </c>
      <c r="N553" s="9">
        <v>4.7850000000000001</v>
      </c>
      <c r="O553" s="9">
        <v>0.36199999999999999</v>
      </c>
      <c r="P553" s="9">
        <v>1.2509999999999999</v>
      </c>
      <c r="Q553" s="9">
        <v>19.053000000000001</v>
      </c>
      <c r="R553" s="9"/>
      <c r="S553" s="11"/>
    </row>
    <row r="554" spans="1:19" ht="15.75">
      <c r="A554" s="13">
        <v>58014</v>
      </c>
      <c r="B554" s="8">
        <f>CHOOSE( CONTROL!$C$36, 15.0792, 15.0781) * CHOOSE(CONTROL!$C$19, $D$11, 100%, $F$11)</f>
        <v>15.0792</v>
      </c>
      <c r="C554" s="8">
        <f>CHOOSE( CONTROL!$C$36, 15.0845, 15.0835) * CHOOSE(CONTROL!$C$19, $D$11, 100%, $F$11)</f>
        <v>15.0845</v>
      </c>
      <c r="D554" s="8">
        <f>CHOOSE( CONTROL!$C$36, 15.105, 15.1039) * CHOOSE( CONTROL!$C$19, $D$11, 100%, $F$11)</f>
        <v>15.105</v>
      </c>
      <c r="E554" s="12">
        <f>CHOOSE( CONTROL!$C$36, 15.0977, 15.0966) * CHOOSE( CONTROL!$C$19, $D$11, 100%, $F$11)</f>
        <v>15.0977</v>
      </c>
      <c r="F554" s="4">
        <f>CHOOSE( CONTROL!$C$36, 15.8139, 15.8129) * CHOOSE(CONTROL!$C$19, $D$11, 100%, $F$11)</f>
        <v>15.8139</v>
      </c>
      <c r="G554" s="8">
        <f>CHOOSE( CONTROL!$C$36, 14.9232, 14.9222) * CHOOSE( CONTROL!$C$19, $D$11, 100%, $F$11)</f>
        <v>14.9232</v>
      </c>
      <c r="H554" s="4">
        <f>CHOOSE( CONTROL!$C$36, 15.8672, 15.8661) * CHOOSE(CONTROL!$C$19, $D$11, 100%, $F$11)</f>
        <v>15.8672</v>
      </c>
      <c r="I554" s="8">
        <f>CHOOSE( CONTROL!$C$36, 14.7577, 14.7566) * CHOOSE(CONTROL!$C$19, $D$11, 100%, $F$11)</f>
        <v>14.7577</v>
      </c>
      <c r="J554" s="4">
        <f>CHOOSE( CONTROL!$C$36, 14.6175, 14.6164) * CHOOSE(CONTROL!$C$19, $D$11, 100%, $F$11)</f>
        <v>14.6175</v>
      </c>
      <c r="K554" s="4"/>
      <c r="L554" s="9">
        <v>31.095300000000002</v>
      </c>
      <c r="M554" s="9">
        <v>12.063700000000001</v>
      </c>
      <c r="N554" s="9">
        <v>4.9444999999999997</v>
      </c>
      <c r="O554" s="9">
        <v>0.37409999999999999</v>
      </c>
      <c r="P554" s="9">
        <v>1.2927</v>
      </c>
      <c r="Q554" s="9">
        <v>19.688099999999999</v>
      </c>
      <c r="R554" s="9"/>
      <c r="S554" s="11"/>
    </row>
    <row r="555" spans="1:19" ht="15.75">
      <c r="A555" s="13">
        <v>58044</v>
      </c>
      <c r="B555" s="8">
        <f>CHOOSE( CONTROL!$C$36, 16.2639, 16.2628) * CHOOSE(CONTROL!$C$19, $D$11, 100%, $F$11)</f>
        <v>16.2639</v>
      </c>
      <c r="C555" s="8">
        <f>CHOOSE( CONTROL!$C$36, 16.269, 16.2679) * CHOOSE(CONTROL!$C$19, $D$11, 100%, $F$11)</f>
        <v>16.268999999999998</v>
      </c>
      <c r="D555" s="8">
        <f>CHOOSE( CONTROL!$C$36, 16.2482, 16.2471) * CHOOSE( CONTROL!$C$19, $D$11, 100%, $F$11)</f>
        <v>16.248200000000001</v>
      </c>
      <c r="E555" s="12">
        <f>CHOOSE( CONTROL!$C$36, 16.2553, 16.2542) * CHOOSE( CONTROL!$C$19, $D$11, 100%, $F$11)</f>
        <v>16.255299999999998</v>
      </c>
      <c r="F555" s="4">
        <f>CHOOSE( CONTROL!$C$36, 16.9231, 16.922) * CHOOSE(CONTROL!$C$19, $D$11, 100%, $F$11)</f>
        <v>16.923100000000002</v>
      </c>
      <c r="G555" s="8">
        <f>CHOOSE( CONTROL!$C$36, 16.0717, 16.0707) * CHOOSE( CONTROL!$C$19, $D$11, 100%, $F$11)</f>
        <v>16.0717</v>
      </c>
      <c r="H555" s="4">
        <f>CHOOSE( CONTROL!$C$36, 16.9609, 16.9598) * CHOOSE(CONTROL!$C$19, $D$11, 100%, $F$11)</f>
        <v>16.960899999999999</v>
      </c>
      <c r="I555" s="8">
        <f>CHOOSE( CONTROL!$C$36, 15.9549, 15.9538) * CHOOSE(CONTROL!$C$19, $D$11, 100%, $F$11)</f>
        <v>15.9549</v>
      </c>
      <c r="J555" s="4">
        <f>CHOOSE( CONTROL!$C$36, 15.765, 15.7639) * CHOOSE(CONTROL!$C$19, $D$11, 100%, $F$11)</f>
        <v>15.765000000000001</v>
      </c>
      <c r="K555" s="4"/>
      <c r="L555" s="9">
        <v>28.360600000000002</v>
      </c>
      <c r="M555" s="9">
        <v>11.6745</v>
      </c>
      <c r="N555" s="9">
        <v>4.7850000000000001</v>
      </c>
      <c r="O555" s="9">
        <v>0.36199999999999999</v>
      </c>
      <c r="P555" s="9">
        <v>1.2509999999999999</v>
      </c>
      <c r="Q555" s="9">
        <v>19.053000000000001</v>
      </c>
      <c r="R555" s="9"/>
      <c r="S555" s="11"/>
    </row>
    <row r="556" spans="1:19" ht="15.75">
      <c r="A556" s="13">
        <v>58075</v>
      </c>
      <c r="B556" s="8">
        <f>CHOOSE( CONTROL!$C$36, 16.2343, 16.2332) * CHOOSE(CONTROL!$C$19, $D$11, 100%, $F$11)</f>
        <v>16.234300000000001</v>
      </c>
      <c r="C556" s="8">
        <f>CHOOSE( CONTROL!$C$36, 16.2394, 16.2383) * CHOOSE(CONTROL!$C$19, $D$11, 100%, $F$11)</f>
        <v>16.2394</v>
      </c>
      <c r="D556" s="8">
        <f>CHOOSE( CONTROL!$C$36, 16.22, 16.2189) * CHOOSE( CONTROL!$C$19, $D$11, 100%, $F$11)</f>
        <v>16.22</v>
      </c>
      <c r="E556" s="12">
        <f>CHOOSE( CONTROL!$C$36, 16.2266, 16.2255) * CHOOSE( CONTROL!$C$19, $D$11, 100%, $F$11)</f>
        <v>16.226600000000001</v>
      </c>
      <c r="F556" s="4">
        <f>CHOOSE( CONTROL!$C$36, 16.8935, 16.8924) * CHOOSE(CONTROL!$C$19, $D$11, 100%, $F$11)</f>
        <v>16.8935</v>
      </c>
      <c r="G556" s="8">
        <f>CHOOSE( CONTROL!$C$36, 16.0435, 16.0424) * CHOOSE( CONTROL!$C$19, $D$11, 100%, $F$11)</f>
        <v>16.043500000000002</v>
      </c>
      <c r="H556" s="4">
        <f>CHOOSE( CONTROL!$C$36, 16.9317, 16.9306) * CHOOSE(CONTROL!$C$19, $D$11, 100%, $F$11)</f>
        <v>16.931699999999999</v>
      </c>
      <c r="I556" s="8">
        <f>CHOOSE( CONTROL!$C$36, 15.9305, 15.9294) * CHOOSE(CONTROL!$C$19, $D$11, 100%, $F$11)</f>
        <v>15.9305</v>
      </c>
      <c r="J556" s="4">
        <f>CHOOSE( CONTROL!$C$36, 15.7363, 15.7353) * CHOOSE(CONTROL!$C$19, $D$11, 100%, $F$11)</f>
        <v>15.7363</v>
      </c>
      <c r="K556" s="4"/>
      <c r="L556" s="9">
        <v>29.306000000000001</v>
      </c>
      <c r="M556" s="9">
        <v>12.063700000000001</v>
      </c>
      <c r="N556" s="9">
        <v>4.9444999999999997</v>
      </c>
      <c r="O556" s="9">
        <v>0.37409999999999999</v>
      </c>
      <c r="P556" s="9">
        <v>1.2927</v>
      </c>
      <c r="Q556" s="9">
        <v>19.688099999999999</v>
      </c>
      <c r="R556" s="9"/>
      <c r="S556" s="11"/>
    </row>
    <row r="557" spans="1:19" ht="15.75">
      <c r="A557" s="13">
        <v>58106</v>
      </c>
      <c r="B557" s="8">
        <f>CHOOSE( CONTROL!$C$36, 16.7136, 16.7125) * CHOOSE(CONTROL!$C$19, $D$11, 100%, $F$11)</f>
        <v>16.7136</v>
      </c>
      <c r="C557" s="8">
        <f>CHOOSE( CONTROL!$C$36, 16.7187, 16.7176) * CHOOSE(CONTROL!$C$19, $D$11, 100%, $F$11)</f>
        <v>16.718699999999998</v>
      </c>
      <c r="D557" s="8">
        <f>CHOOSE( CONTROL!$C$36, 16.72, 16.7189) * CHOOSE( CONTROL!$C$19, $D$11, 100%, $F$11)</f>
        <v>16.72</v>
      </c>
      <c r="E557" s="12">
        <f>CHOOSE( CONTROL!$C$36, 16.719, 16.7179) * CHOOSE( CONTROL!$C$19, $D$11, 100%, $F$11)</f>
        <v>16.719000000000001</v>
      </c>
      <c r="F557" s="4">
        <f>CHOOSE( CONTROL!$C$36, 17.3729, 17.3718) * CHOOSE(CONTROL!$C$19, $D$11, 100%, $F$11)</f>
        <v>17.372900000000001</v>
      </c>
      <c r="G557" s="8">
        <f>CHOOSE( CONTROL!$C$36, 16.5272, 16.5261) * CHOOSE( CONTROL!$C$19, $D$11, 100%, $F$11)</f>
        <v>16.527200000000001</v>
      </c>
      <c r="H557" s="4">
        <f>CHOOSE( CONTROL!$C$36, 17.4043, 17.4033) * CHOOSE(CONTROL!$C$19, $D$11, 100%, $F$11)</f>
        <v>17.404299999999999</v>
      </c>
      <c r="I557" s="8">
        <f>CHOOSE( CONTROL!$C$36, 16.3724, 16.3713) * CHOOSE(CONTROL!$C$19, $D$11, 100%, $F$11)</f>
        <v>16.372399999999999</v>
      </c>
      <c r="J557" s="4">
        <f>CHOOSE( CONTROL!$C$36, 16.2004, 16.1994) * CHOOSE(CONTROL!$C$19, $D$11, 100%, $F$11)</f>
        <v>16.200399999999998</v>
      </c>
      <c r="K557" s="4"/>
      <c r="L557" s="9">
        <v>29.306000000000001</v>
      </c>
      <c r="M557" s="9">
        <v>12.063700000000001</v>
      </c>
      <c r="N557" s="9">
        <v>4.9444999999999997</v>
      </c>
      <c r="O557" s="9">
        <v>0.37409999999999999</v>
      </c>
      <c r="P557" s="9">
        <v>1.2927</v>
      </c>
      <c r="Q557" s="9">
        <v>19.688099999999999</v>
      </c>
      <c r="R557" s="9"/>
      <c r="S557" s="11"/>
    </row>
    <row r="558" spans="1:19" ht="15.75">
      <c r="A558" s="13">
        <v>58134</v>
      </c>
      <c r="B558" s="8">
        <f>CHOOSE( CONTROL!$C$36, 15.6321, 15.631) * CHOOSE(CONTROL!$C$19, $D$11, 100%, $F$11)</f>
        <v>15.632099999999999</v>
      </c>
      <c r="C558" s="8">
        <f>CHOOSE( CONTROL!$C$36, 15.6372, 15.6361) * CHOOSE(CONTROL!$C$19, $D$11, 100%, $F$11)</f>
        <v>15.6372</v>
      </c>
      <c r="D558" s="8">
        <f>CHOOSE( CONTROL!$C$36, 15.6383, 15.6372) * CHOOSE( CONTROL!$C$19, $D$11, 100%, $F$11)</f>
        <v>15.638299999999999</v>
      </c>
      <c r="E558" s="12">
        <f>CHOOSE( CONTROL!$C$36, 15.6374, 15.6363) * CHOOSE( CONTROL!$C$19, $D$11, 100%, $F$11)</f>
        <v>15.6374</v>
      </c>
      <c r="F558" s="4">
        <f>CHOOSE( CONTROL!$C$36, 16.2913, 16.2902) * CHOOSE(CONTROL!$C$19, $D$11, 100%, $F$11)</f>
        <v>16.2913</v>
      </c>
      <c r="G558" s="8">
        <f>CHOOSE( CONTROL!$C$36, 15.4607, 15.4596) * CHOOSE( CONTROL!$C$19, $D$11, 100%, $F$11)</f>
        <v>15.460699999999999</v>
      </c>
      <c r="H558" s="4">
        <f>CHOOSE( CONTROL!$C$36, 16.3379, 16.3368) * CHOOSE(CONTROL!$C$19, $D$11, 100%, $F$11)</f>
        <v>16.337900000000001</v>
      </c>
      <c r="I558" s="8">
        <f>CHOOSE( CONTROL!$C$36, 15.3242, 15.3231) * CHOOSE(CONTROL!$C$19, $D$11, 100%, $F$11)</f>
        <v>15.324199999999999</v>
      </c>
      <c r="J558" s="4">
        <f>CHOOSE( CONTROL!$C$36, 15.1532, 15.1521) * CHOOSE(CONTROL!$C$19, $D$11, 100%, $F$11)</f>
        <v>15.1532</v>
      </c>
      <c r="K558" s="4"/>
      <c r="L558" s="9">
        <v>26.469899999999999</v>
      </c>
      <c r="M558" s="9">
        <v>10.8962</v>
      </c>
      <c r="N558" s="9">
        <v>4.4660000000000002</v>
      </c>
      <c r="O558" s="9">
        <v>0.33789999999999998</v>
      </c>
      <c r="P558" s="9">
        <v>1.1676</v>
      </c>
      <c r="Q558" s="9">
        <v>17.782800000000002</v>
      </c>
      <c r="R558" s="9"/>
      <c r="S558" s="11"/>
    </row>
    <row r="559" spans="1:19" ht="15.75">
      <c r="A559" s="13">
        <v>58165</v>
      </c>
      <c r="B559" s="8">
        <f>CHOOSE( CONTROL!$C$36, 15.2989, 15.2979) * CHOOSE(CONTROL!$C$19, $D$11, 100%, $F$11)</f>
        <v>15.2989</v>
      </c>
      <c r="C559" s="8">
        <f>CHOOSE( CONTROL!$C$36, 15.304, 15.303) * CHOOSE(CONTROL!$C$19, $D$11, 100%, $F$11)</f>
        <v>15.304</v>
      </c>
      <c r="D559" s="8">
        <f>CHOOSE( CONTROL!$C$36, 15.3046, 15.3035) * CHOOSE( CONTROL!$C$19, $D$11, 100%, $F$11)</f>
        <v>15.304600000000001</v>
      </c>
      <c r="E559" s="12">
        <f>CHOOSE( CONTROL!$C$36, 15.3038, 15.3028) * CHOOSE( CONTROL!$C$19, $D$11, 100%, $F$11)</f>
        <v>15.303800000000001</v>
      </c>
      <c r="F559" s="4">
        <f>CHOOSE( CONTROL!$C$36, 15.9582, 15.9571) * CHOOSE(CONTROL!$C$19, $D$11, 100%, $F$11)</f>
        <v>15.9582</v>
      </c>
      <c r="G559" s="8">
        <f>CHOOSE( CONTROL!$C$36, 15.1317, 15.1307) * CHOOSE( CONTROL!$C$19, $D$11, 100%, $F$11)</f>
        <v>15.1317</v>
      </c>
      <c r="H559" s="4">
        <f>CHOOSE( CONTROL!$C$36, 16.0094, 16.0083) * CHOOSE(CONTROL!$C$19, $D$11, 100%, $F$11)</f>
        <v>16.009399999999999</v>
      </c>
      <c r="I559" s="8">
        <f>CHOOSE( CONTROL!$C$36, 14.9995, 14.9984) * CHOOSE(CONTROL!$C$19, $D$11, 100%, $F$11)</f>
        <v>14.999499999999999</v>
      </c>
      <c r="J559" s="4">
        <f>CHOOSE( CONTROL!$C$36, 14.8306, 14.8296) * CHOOSE(CONTROL!$C$19, $D$11, 100%, $F$11)</f>
        <v>14.8306</v>
      </c>
      <c r="K559" s="4"/>
      <c r="L559" s="9">
        <v>29.306000000000001</v>
      </c>
      <c r="M559" s="9">
        <v>12.063700000000001</v>
      </c>
      <c r="N559" s="9">
        <v>4.9444999999999997</v>
      </c>
      <c r="O559" s="9">
        <v>0.37409999999999999</v>
      </c>
      <c r="P559" s="9">
        <v>1.2927</v>
      </c>
      <c r="Q559" s="9">
        <v>19.688099999999999</v>
      </c>
      <c r="R559" s="9"/>
      <c r="S559" s="11"/>
    </row>
    <row r="560" spans="1:19" ht="15.75">
      <c r="A560" s="13">
        <v>58195</v>
      </c>
      <c r="B560" s="8">
        <f>CHOOSE( CONTROL!$C$36, 15.5325, 15.5314) * CHOOSE(CONTROL!$C$19, $D$11, 100%, $F$11)</f>
        <v>15.532500000000001</v>
      </c>
      <c r="C560" s="8">
        <f>CHOOSE( CONTROL!$C$36, 15.537, 15.5359) * CHOOSE(CONTROL!$C$19, $D$11, 100%, $F$11)</f>
        <v>15.537000000000001</v>
      </c>
      <c r="D560" s="8">
        <f>CHOOSE( CONTROL!$C$36, 15.5574, 15.5563) * CHOOSE( CONTROL!$C$19, $D$11, 100%, $F$11)</f>
        <v>15.557399999999999</v>
      </c>
      <c r="E560" s="12">
        <f>CHOOSE( CONTROL!$C$36, 15.5501, 15.549) * CHOOSE( CONTROL!$C$19, $D$11, 100%, $F$11)</f>
        <v>15.5501</v>
      </c>
      <c r="F560" s="4">
        <f>CHOOSE( CONTROL!$C$36, 16.2669, 16.2658) * CHOOSE(CONTROL!$C$19, $D$11, 100%, $F$11)</f>
        <v>16.2669</v>
      </c>
      <c r="G560" s="8">
        <f>CHOOSE( CONTROL!$C$36, 15.3694, 15.3683) * CHOOSE( CONTROL!$C$19, $D$11, 100%, $F$11)</f>
        <v>15.369400000000001</v>
      </c>
      <c r="H560" s="4">
        <f>CHOOSE( CONTROL!$C$36, 16.3138, 16.3127) * CHOOSE(CONTROL!$C$19, $D$11, 100%, $F$11)</f>
        <v>16.313800000000001</v>
      </c>
      <c r="I560" s="8">
        <f>CHOOSE( CONTROL!$C$36, 15.1945, 15.1934) * CHOOSE(CONTROL!$C$19, $D$11, 100%, $F$11)</f>
        <v>15.1945</v>
      </c>
      <c r="J560" s="4">
        <f>CHOOSE( CONTROL!$C$36, 15.056, 15.055) * CHOOSE(CONTROL!$C$19, $D$11, 100%, $F$11)</f>
        <v>15.055999999999999</v>
      </c>
      <c r="K560" s="4"/>
      <c r="L560" s="9">
        <v>30.092199999999998</v>
      </c>
      <c r="M560" s="9">
        <v>11.6745</v>
      </c>
      <c r="N560" s="9">
        <v>4.7850000000000001</v>
      </c>
      <c r="O560" s="9">
        <v>0.36199999999999999</v>
      </c>
      <c r="P560" s="9">
        <v>1.2509999999999999</v>
      </c>
      <c r="Q560" s="9">
        <v>19.053000000000001</v>
      </c>
      <c r="R560" s="9"/>
      <c r="S560" s="11"/>
    </row>
    <row r="561" spans="1:19" ht="15.75">
      <c r="A561" s="13">
        <v>58226</v>
      </c>
      <c r="B561" s="8">
        <f>CHOOSE( CONTROL!$C$36, 15.9487, 15.947) * CHOOSE(CONTROL!$C$19, $D$11, 100%, $F$11)</f>
        <v>15.948700000000001</v>
      </c>
      <c r="C561" s="8">
        <f>CHOOSE( CONTROL!$C$36, 15.9567, 15.955) * CHOOSE(CONTROL!$C$19, $D$11, 100%, $F$11)</f>
        <v>15.9567</v>
      </c>
      <c r="D561" s="8">
        <f>CHOOSE( CONTROL!$C$36, 15.9709, 15.9692) * CHOOSE( CONTROL!$C$19, $D$11, 100%, $F$11)</f>
        <v>15.9709</v>
      </c>
      <c r="E561" s="12">
        <f>CHOOSE( CONTROL!$C$36, 15.9645, 15.9628) * CHOOSE( CONTROL!$C$19, $D$11, 100%, $F$11)</f>
        <v>15.964499999999999</v>
      </c>
      <c r="F561" s="4">
        <f>CHOOSE( CONTROL!$C$36, 16.6817, 16.6801) * CHOOSE(CONTROL!$C$19, $D$11, 100%, $F$11)</f>
        <v>16.681699999999999</v>
      </c>
      <c r="G561" s="8">
        <f>CHOOSE( CONTROL!$C$36, 15.7784, 15.7767) * CHOOSE( CONTROL!$C$19, $D$11, 100%, $F$11)</f>
        <v>15.7784</v>
      </c>
      <c r="H561" s="4">
        <f>CHOOSE( CONTROL!$C$36, 16.7228, 16.7212) * CHOOSE(CONTROL!$C$19, $D$11, 100%, $F$11)</f>
        <v>16.722799999999999</v>
      </c>
      <c r="I561" s="8">
        <f>CHOOSE( CONTROL!$C$36, 15.596, 15.5944) * CHOOSE(CONTROL!$C$19, $D$11, 100%, $F$11)</f>
        <v>15.596</v>
      </c>
      <c r="J561" s="4">
        <f>CHOOSE( CONTROL!$C$36, 15.4577, 15.4561) * CHOOSE(CONTROL!$C$19, $D$11, 100%, $F$11)</f>
        <v>15.457700000000001</v>
      </c>
      <c r="K561" s="4"/>
      <c r="L561" s="9">
        <v>30.7165</v>
      </c>
      <c r="M561" s="9">
        <v>12.063700000000001</v>
      </c>
      <c r="N561" s="9">
        <v>4.9444999999999997</v>
      </c>
      <c r="O561" s="9">
        <v>0.37409999999999999</v>
      </c>
      <c r="P561" s="9">
        <v>1.2927</v>
      </c>
      <c r="Q561" s="9">
        <v>19.688099999999999</v>
      </c>
      <c r="R561" s="9"/>
      <c r="S561" s="11"/>
    </row>
    <row r="562" spans="1:19" ht="15.75">
      <c r="A562" s="13">
        <v>58256</v>
      </c>
      <c r="B562" s="8">
        <f>CHOOSE( CONTROL!$C$36, 15.6921, 15.6904) * CHOOSE(CONTROL!$C$19, $D$11, 100%, $F$11)</f>
        <v>15.6921</v>
      </c>
      <c r="C562" s="8">
        <f>CHOOSE( CONTROL!$C$36, 15.7001, 15.6984) * CHOOSE(CONTROL!$C$19, $D$11, 100%, $F$11)</f>
        <v>15.700100000000001</v>
      </c>
      <c r="D562" s="8">
        <f>CHOOSE( CONTROL!$C$36, 15.7145, 15.7128) * CHOOSE( CONTROL!$C$19, $D$11, 100%, $F$11)</f>
        <v>15.714499999999999</v>
      </c>
      <c r="E562" s="12">
        <f>CHOOSE( CONTROL!$C$36, 15.7081, 15.7064) * CHOOSE( CONTROL!$C$19, $D$11, 100%, $F$11)</f>
        <v>15.7081</v>
      </c>
      <c r="F562" s="4">
        <f>CHOOSE( CONTROL!$C$36, 16.4251, 16.4234) * CHOOSE(CONTROL!$C$19, $D$11, 100%, $F$11)</f>
        <v>16.4251</v>
      </c>
      <c r="G562" s="8">
        <f>CHOOSE( CONTROL!$C$36, 15.5255, 15.5238) * CHOOSE( CONTROL!$C$19, $D$11, 100%, $F$11)</f>
        <v>15.525499999999999</v>
      </c>
      <c r="H562" s="4">
        <f>CHOOSE( CONTROL!$C$36, 16.4698, 16.4682) * CHOOSE(CONTROL!$C$19, $D$11, 100%, $F$11)</f>
        <v>16.469799999999999</v>
      </c>
      <c r="I562" s="8">
        <f>CHOOSE( CONTROL!$C$36, 15.348, 15.3464) * CHOOSE(CONTROL!$C$19, $D$11, 100%, $F$11)</f>
        <v>15.348000000000001</v>
      </c>
      <c r="J562" s="4">
        <f>CHOOSE( CONTROL!$C$36, 15.2092, 15.2076) * CHOOSE(CONTROL!$C$19, $D$11, 100%, $F$11)</f>
        <v>15.209199999999999</v>
      </c>
      <c r="K562" s="4"/>
      <c r="L562" s="9">
        <v>29.7257</v>
      </c>
      <c r="M562" s="9">
        <v>11.6745</v>
      </c>
      <c r="N562" s="9">
        <v>4.7850000000000001</v>
      </c>
      <c r="O562" s="9">
        <v>0.36199999999999999</v>
      </c>
      <c r="P562" s="9">
        <v>1.2509999999999999</v>
      </c>
      <c r="Q562" s="9">
        <v>19.053000000000001</v>
      </c>
      <c r="R562" s="9"/>
      <c r="S562" s="11"/>
    </row>
    <row r="563" spans="1:19" ht="15.75">
      <c r="A563" s="13">
        <v>58287</v>
      </c>
      <c r="B563" s="8">
        <f>CHOOSE( CONTROL!$C$36, 16.3679, 16.3662) * CHOOSE(CONTROL!$C$19, $D$11, 100%, $F$11)</f>
        <v>16.367899999999999</v>
      </c>
      <c r="C563" s="8">
        <f>CHOOSE( CONTROL!$C$36, 16.3759, 16.3742) * CHOOSE(CONTROL!$C$19, $D$11, 100%, $F$11)</f>
        <v>16.375900000000001</v>
      </c>
      <c r="D563" s="8">
        <f>CHOOSE( CONTROL!$C$36, 16.3905, 16.3888) * CHOOSE( CONTROL!$C$19, $D$11, 100%, $F$11)</f>
        <v>16.390499999999999</v>
      </c>
      <c r="E563" s="12">
        <f>CHOOSE( CONTROL!$C$36, 16.384, 16.3823) * CHOOSE( CONTROL!$C$19, $D$11, 100%, $F$11)</f>
        <v>16.384</v>
      </c>
      <c r="F563" s="4">
        <f>CHOOSE( CONTROL!$C$36, 17.1009, 17.0992) * CHOOSE(CONTROL!$C$19, $D$11, 100%, $F$11)</f>
        <v>17.100899999999999</v>
      </c>
      <c r="G563" s="8">
        <f>CHOOSE( CONTROL!$C$36, 16.1921, 16.1904) * CHOOSE( CONTROL!$C$19, $D$11, 100%, $F$11)</f>
        <v>16.1921</v>
      </c>
      <c r="H563" s="4">
        <f>CHOOSE( CONTROL!$C$36, 17.1362, 17.1345) * CHOOSE(CONTROL!$C$19, $D$11, 100%, $F$11)</f>
        <v>17.136199999999999</v>
      </c>
      <c r="I563" s="8">
        <f>CHOOSE( CONTROL!$C$36, 16.0036, 16.002) * CHOOSE(CONTROL!$C$19, $D$11, 100%, $F$11)</f>
        <v>16.003599999999999</v>
      </c>
      <c r="J563" s="4">
        <f>CHOOSE( CONTROL!$C$36, 15.8636, 15.862) * CHOOSE(CONTROL!$C$19, $D$11, 100%, $F$11)</f>
        <v>15.8636</v>
      </c>
      <c r="K563" s="4"/>
      <c r="L563" s="9">
        <v>30.7165</v>
      </c>
      <c r="M563" s="9">
        <v>12.063700000000001</v>
      </c>
      <c r="N563" s="9">
        <v>4.9444999999999997</v>
      </c>
      <c r="O563" s="9">
        <v>0.37409999999999999</v>
      </c>
      <c r="P563" s="9">
        <v>1.2927</v>
      </c>
      <c r="Q563" s="9">
        <v>19.688099999999999</v>
      </c>
      <c r="R563" s="9"/>
      <c r="S563" s="11"/>
    </row>
    <row r="564" spans="1:19" ht="15.75">
      <c r="A564" s="13">
        <v>58318</v>
      </c>
      <c r="B564" s="8">
        <f>CHOOSE( CONTROL!$C$36, 15.1034, 15.1017) * CHOOSE(CONTROL!$C$19, $D$11, 100%, $F$11)</f>
        <v>15.103400000000001</v>
      </c>
      <c r="C564" s="8">
        <f>CHOOSE( CONTROL!$C$36, 15.1114, 15.1097) * CHOOSE(CONTROL!$C$19, $D$11, 100%, $F$11)</f>
        <v>15.1114</v>
      </c>
      <c r="D564" s="8">
        <f>CHOOSE( CONTROL!$C$36, 15.126, 15.1244) * CHOOSE( CONTROL!$C$19, $D$11, 100%, $F$11)</f>
        <v>15.125999999999999</v>
      </c>
      <c r="E564" s="12">
        <f>CHOOSE( CONTROL!$C$36, 15.1195, 15.1179) * CHOOSE( CONTROL!$C$19, $D$11, 100%, $F$11)</f>
        <v>15.1195</v>
      </c>
      <c r="F564" s="4">
        <f>CHOOSE( CONTROL!$C$36, 15.8364, 15.8347) * CHOOSE(CONTROL!$C$19, $D$11, 100%, $F$11)</f>
        <v>15.836399999999999</v>
      </c>
      <c r="G564" s="8">
        <f>CHOOSE( CONTROL!$C$36, 14.9452, 14.9436) * CHOOSE( CONTROL!$C$19, $D$11, 100%, $F$11)</f>
        <v>14.9452</v>
      </c>
      <c r="H564" s="4">
        <f>CHOOSE( CONTROL!$C$36, 15.8893, 15.8877) * CHOOSE(CONTROL!$C$19, $D$11, 100%, $F$11)</f>
        <v>15.8893</v>
      </c>
      <c r="I564" s="8">
        <f>CHOOSE( CONTROL!$C$36, 14.7787, 14.7771) * CHOOSE(CONTROL!$C$19, $D$11, 100%, $F$11)</f>
        <v>14.778700000000001</v>
      </c>
      <c r="J564" s="4">
        <f>CHOOSE( CONTROL!$C$36, 14.6392, 14.6376) * CHOOSE(CONTROL!$C$19, $D$11, 100%, $F$11)</f>
        <v>14.639200000000001</v>
      </c>
      <c r="K564" s="4"/>
      <c r="L564" s="9">
        <v>30.7165</v>
      </c>
      <c r="M564" s="9">
        <v>12.063700000000001</v>
      </c>
      <c r="N564" s="9">
        <v>4.9444999999999997</v>
      </c>
      <c r="O564" s="9">
        <v>0.37409999999999999</v>
      </c>
      <c r="P564" s="9">
        <v>1.2927</v>
      </c>
      <c r="Q564" s="9">
        <v>19.688099999999999</v>
      </c>
      <c r="R564" s="9"/>
      <c r="S564" s="11"/>
    </row>
    <row r="565" spans="1:19" ht="15.75">
      <c r="A565" s="13">
        <v>58348</v>
      </c>
      <c r="B565" s="8">
        <f>CHOOSE( CONTROL!$C$36, 14.7867, 14.7851) * CHOOSE(CONTROL!$C$19, $D$11, 100%, $F$11)</f>
        <v>14.7867</v>
      </c>
      <c r="C565" s="8">
        <f>CHOOSE( CONTROL!$C$36, 14.7947, 14.7931) * CHOOSE(CONTROL!$C$19, $D$11, 100%, $F$11)</f>
        <v>14.794700000000001</v>
      </c>
      <c r="D565" s="8">
        <f>CHOOSE( CONTROL!$C$36, 14.8093, 14.8076) * CHOOSE( CONTROL!$C$19, $D$11, 100%, $F$11)</f>
        <v>14.8093</v>
      </c>
      <c r="E565" s="12">
        <f>CHOOSE( CONTROL!$C$36, 14.8028, 14.8011) * CHOOSE( CONTROL!$C$19, $D$11, 100%, $F$11)</f>
        <v>14.8028</v>
      </c>
      <c r="F565" s="4">
        <f>CHOOSE( CONTROL!$C$36, 15.5197, 15.5181) * CHOOSE(CONTROL!$C$19, $D$11, 100%, $F$11)</f>
        <v>15.5197</v>
      </c>
      <c r="G565" s="8">
        <f>CHOOSE( CONTROL!$C$36, 14.6329, 14.6313) * CHOOSE( CONTROL!$C$19, $D$11, 100%, $F$11)</f>
        <v>14.632899999999999</v>
      </c>
      <c r="H565" s="4">
        <f>CHOOSE( CONTROL!$C$36, 15.5771, 15.5754) * CHOOSE(CONTROL!$C$19, $D$11, 100%, $F$11)</f>
        <v>15.5771</v>
      </c>
      <c r="I565" s="8">
        <f>CHOOSE( CONTROL!$C$36, 14.4716, 14.47) * CHOOSE(CONTROL!$C$19, $D$11, 100%, $F$11)</f>
        <v>14.4716</v>
      </c>
      <c r="J565" s="4">
        <f>CHOOSE( CONTROL!$C$36, 14.3326, 14.331) * CHOOSE(CONTROL!$C$19, $D$11, 100%, $F$11)</f>
        <v>14.332599999999999</v>
      </c>
      <c r="K565" s="4"/>
      <c r="L565" s="9">
        <v>29.7257</v>
      </c>
      <c r="M565" s="9">
        <v>11.6745</v>
      </c>
      <c r="N565" s="9">
        <v>4.7850000000000001</v>
      </c>
      <c r="O565" s="9">
        <v>0.36199999999999999</v>
      </c>
      <c r="P565" s="9">
        <v>1.2509999999999999</v>
      </c>
      <c r="Q565" s="9">
        <v>19.053000000000001</v>
      </c>
      <c r="R565" s="9"/>
      <c r="S565" s="11"/>
    </row>
    <row r="566" spans="1:19" ht="15.75">
      <c r="A566" s="13">
        <v>58379</v>
      </c>
      <c r="B566" s="8">
        <f>CHOOSE( CONTROL!$C$36, 15.4419, 15.4408) * CHOOSE(CONTROL!$C$19, $D$11, 100%, $F$11)</f>
        <v>15.4419</v>
      </c>
      <c r="C566" s="8">
        <f>CHOOSE( CONTROL!$C$36, 15.4472, 15.4462) * CHOOSE(CONTROL!$C$19, $D$11, 100%, $F$11)</f>
        <v>15.4472</v>
      </c>
      <c r="D566" s="8">
        <f>CHOOSE( CONTROL!$C$36, 15.4677, 15.4666) * CHOOSE( CONTROL!$C$19, $D$11, 100%, $F$11)</f>
        <v>15.467700000000001</v>
      </c>
      <c r="E566" s="12">
        <f>CHOOSE( CONTROL!$C$36, 15.4604, 15.4593) * CHOOSE( CONTROL!$C$19, $D$11, 100%, $F$11)</f>
        <v>15.4604</v>
      </c>
      <c r="F566" s="4">
        <f>CHOOSE( CONTROL!$C$36, 16.1766, 16.1756) * CHOOSE(CONTROL!$C$19, $D$11, 100%, $F$11)</f>
        <v>16.176600000000001</v>
      </c>
      <c r="G566" s="8">
        <f>CHOOSE( CONTROL!$C$36, 15.2809, 15.2798) * CHOOSE( CONTROL!$C$19, $D$11, 100%, $F$11)</f>
        <v>15.280900000000001</v>
      </c>
      <c r="H566" s="4">
        <f>CHOOSE( CONTROL!$C$36, 16.2248, 16.2237) * CHOOSE(CONTROL!$C$19, $D$11, 100%, $F$11)</f>
        <v>16.224799999999998</v>
      </c>
      <c r="I566" s="8">
        <f>CHOOSE( CONTROL!$C$36, 15.109, 15.108) * CHOOSE(CONTROL!$C$19, $D$11, 100%, $F$11)</f>
        <v>15.109</v>
      </c>
      <c r="J566" s="4">
        <f>CHOOSE( CONTROL!$C$36, 14.9686, 14.9676) * CHOOSE(CONTROL!$C$19, $D$11, 100%, $F$11)</f>
        <v>14.9686</v>
      </c>
      <c r="K566" s="4"/>
      <c r="L566" s="9">
        <v>31.095300000000002</v>
      </c>
      <c r="M566" s="9">
        <v>12.063700000000001</v>
      </c>
      <c r="N566" s="9">
        <v>4.9444999999999997</v>
      </c>
      <c r="O566" s="9">
        <v>0.37409999999999999</v>
      </c>
      <c r="P566" s="9">
        <v>1.2927</v>
      </c>
      <c r="Q566" s="9">
        <v>19.688099999999999</v>
      </c>
      <c r="R566" s="9"/>
      <c r="S566" s="11"/>
    </row>
    <row r="567" spans="1:19" ht="15.75">
      <c r="A567" s="13">
        <v>58409</v>
      </c>
      <c r="B567" s="8">
        <f>CHOOSE( CONTROL!$C$36, 16.655, 16.654) * CHOOSE(CONTROL!$C$19, $D$11, 100%, $F$11)</f>
        <v>16.655000000000001</v>
      </c>
      <c r="C567" s="8">
        <f>CHOOSE( CONTROL!$C$36, 16.6601, 16.6591) * CHOOSE(CONTROL!$C$19, $D$11, 100%, $F$11)</f>
        <v>16.6601</v>
      </c>
      <c r="D567" s="8">
        <f>CHOOSE( CONTROL!$C$36, 16.6394, 16.6383) * CHOOSE( CONTROL!$C$19, $D$11, 100%, $F$11)</f>
        <v>16.639399999999998</v>
      </c>
      <c r="E567" s="12">
        <f>CHOOSE( CONTROL!$C$36, 16.6464, 16.6454) * CHOOSE( CONTROL!$C$19, $D$11, 100%, $F$11)</f>
        <v>16.6464</v>
      </c>
      <c r="F567" s="4">
        <f>CHOOSE( CONTROL!$C$36, 17.3143, 17.3132) * CHOOSE(CONTROL!$C$19, $D$11, 100%, $F$11)</f>
        <v>17.314299999999999</v>
      </c>
      <c r="G567" s="8">
        <f>CHOOSE( CONTROL!$C$36, 16.4574, 16.4564) * CHOOSE( CONTROL!$C$19, $D$11, 100%, $F$11)</f>
        <v>16.4574</v>
      </c>
      <c r="H567" s="4">
        <f>CHOOSE( CONTROL!$C$36, 17.3466, 17.3455) * CHOOSE(CONTROL!$C$19, $D$11, 100%, $F$11)</f>
        <v>17.346599999999999</v>
      </c>
      <c r="I567" s="8">
        <f>CHOOSE( CONTROL!$C$36, 16.3338, 16.3328) * CHOOSE(CONTROL!$C$19, $D$11, 100%, $F$11)</f>
        <v>16.3338</v>
      </c>
      <c r="J567" s="4">
        <f>CHOOSE( CONTROL!$C$36, 16.1437, 16.1427) * CHOOSE(CONTROL!$C$19, $D$11, 100%, $F$11)</f>
        <v>16.143699999999999</v>
      </c>
      <c r="K567" s="4"/>
      <c r="L567" s="9">
        <v>28.360600000000002</v>
      </c>
      <c r="M567" s="9">
        <v>11.6745</v>
      </c>
      <c r="N567" s="9">
        <v>4.7850000000000001</v>
      </c>
      <c r="O567" s="9">
        <v>0.36199999999999999</v>
      </c>
      <c r="P567" s="9">
        <v>1.2509999999999999</v>
      </c>
      <c r="Q567" s="9">
        <v>19.053000000000001</v>
      </c>
      <c r="R567" s="9"/>
      <c r="S567" s="11"/>
    </row>
    <row r="568" spans="1:19" ht="15.75">
      <c r="A568" s="13">
        <v>58440</v>
      </c>
      <c r="B568" s="8">
        <f>CHOOSE( CONTROL!$C$36, 16.6247, 16.6236) * CHOOSE(CONTROL!$C$19, $D$11, 100%, $F$11)</f>
        <v>16.624700000000001</v>
      </c>
      <c r="C568" s="8">
        <f>CHOOSE( CONTROL!$C$36, 16.6298, 16.6287) * CHOOSE(CONTROL!$C$19, $D$11, 100%, $F$11)</f>
        <v>16.629799999999999</v>
      </c>
      <c r="D568" s="8">
        <f>CHOOSE( CONTROL!$C$36, 16.6104, 16.6093) * CHOOSE( CONTROL!$C$19, $D$11, 100%, $F$11)</f>
        <v>16.610399999999998</v>
      </c>
      <c r="E568" s="12">
        <f>CHOOSE( CONTROL!$C$36, 16.617, 16.6159) * CHOOSE( CONTROL!$C$19, $D$11, 100%, $F$11)</f>
        <v>16.617000000000001</v>
      </c>
      <c r="F568" s="4">
        <f>CHOOSE( CONTROL!$C$36, 17.284, 17.2829) * CHOOSE(CONTROL!$C$19, $D$11, 100%, $F$11)</f>
        <v>17.283999999999999</v>
      </c>
      <c r="G568" s="8">
        <f>CHOOSE( CONTROL!$C$36, 16.4285, 16.4275) * CHOOSE( CONTROL!$C$19, $D$11, 100%, $F$11)</f>
        <v>16.4285</v>
      </c>
      <c r="H568" s="4">
        <f>CHOOSE( CONTROL!$C$36, 17.3167, 17.3156) * CHOOSE(CONTROL!$C$19, $D$11, 100%, $F$11)</f>
        <v>17.316700000000001</v>
      </c>
      <c r="I568" s="8">
        <f>CHOOSE( CONTROL!$C$36, 16.3088, 16.3077) * CHOOSE(CONTROL!$C$19, $D$11, 100%, $F$11)</f>
        <v>16.308800000000002</v>
      </c>
      <c r="J568" s="4">
        <f>CHOOSE( CONTROL!$C$36, 16.1144, 16.1133) * CHOOSE(CONTROL!$C$19, $D$11, 100%, $F$11)</f>
        <v>16.1144</v>
      </c>
      <c r="K568" s="4"/>
      <c r="L568" s="9">
        <v>29.306000000000001</v>
      </c>
      <c r="M568" s="9">
        <v>12.063700000000001</v>
      </c>
      <c r="N568" s="9">
        <v>4.9444999999999997</v>
      </c>
      <c r="O568" s="9">
        <v>0.37409999999999999</v>
      </c>
      <c r="P568" s="9">
        <v>1.2927</v>
      </c>
      <c r="Q568" s="9">
        <v>19.688099999999999</v>
      </c>
      <c r="R568" s="9"/>
      <c r="S568" s="11"/>
    </row>
    <row r="569" spans="1:19" ht="15.75">
      <c r="A569" s="13">
        <v>58471</v>
      </c>
      <c r="B569" s="8">
        <f>CHOOSE( CONTROL!$C$36, 17.1156, 17.1145) * CHOOSE(CONTROL!$C$19, $D$11, 100%, $F$11)</f>
        <v>17.115600000000001</v>
      </c>
      <c r="C569" s="8">
        <f>CHOOSE( CONTROL!$C$36, 17.1207, 17.1196) * CHOOSE(CONTROL!$C$19, $D$11, 100%, $F$11)</f>
        <v>17.120699999999999</v>
      </c>
      <c r="D569" s="8">
        <f>CHOOSE( CONTROL!$C$36, 17.122, 17.1209) * CHOOSE( CONTROL!$C$19, $D$11, 100%, $F$11)</f>
        <v>17.122</v>
      </c>
      <c r="E569" s="12">
        <f>CHOOSE( CONTROL!$C$36, 17.121, 17.1199) * CHOOSE( CONTROL!$C$19, $D$11, 100%, $F$11)</f>
        <v>17.120999999999999</v>
      </c>
      <c r="F569" s="4">
        <f>CHOOSE( CONTROL!$C$36, 17.7748, 17.7737) * CHOOSE(CONTROL!$C$19, $D$11, 100%, $F$11)</f>
        <v>17.774799999999999</v>
      </c>
      <c r="G569" s="8">
        <f>CHOOSE( CONTROL!$C$36, 16.9236, 16.9225) * CHOOSE( CONTROL!$C$19, $D$11, 100%, $F$11)</f>
        <v>16.9236</v>
      </c>
      <c r="H569" s="4">
        <f>CHOOSE( CONTROL!$C$36, 17.8007, 17.7996) * CHOOSE(CONTROL!$C$19, $D$11, 100%, $F$11)</f>
        <v>17.800699999999999</v>
      </c>
      <c r="I569" s="8">
        <f>CHOOSE( CONTROL!$C$36, 16.7618, 16.7607) * CHOOSE(CONTROL!$C$19, $D$11, 100%, $F$11)</f>
        <v>16.761800000000001</v>
      </c>
      <c r="J569" s="4">
        <f>CHOOSE( CONTROL!$C$36, 16.5897, 16.5886) * CHOOSE(CONTROL!$C$19, $D$11, 100%, $F$11)</f>
        <v>16.589700000000001</v>
      </c>
      <c r="K569" s="4"/>
      <c r="L569" s="9">
        <v>29.306000000000001</v>
      </c>
      <c r="M569" s="9">
        <v>12.063700000000001</v>
      </c>
      <c r="N569" s="9">
        <v>4.9444999999999997</v>
      </c>
      <c r="O569" s="9">
        <v>0.37409999999999999</v>
      </c>
      <c r="P569" s="9">
        <v>1.2927</v>
      </c>
      <c r="Q569" s="9">
        <v>19.688099999999999</v>
      </c>
      <c r="R569" s="9"/>
      <c r="S569" s="11"/>
    </row>
    <row r="570" spans="1:19" ht="15.75">
      <c r="A570" s="13">
        <v>58499</v>
      </c>
      <c r="B570" s="8">
        <f>CHOOSE( CONTROL!$C$36, 16.008, 16.007) * CHOOSE(CONTROL!$C$19, $D$11, 100%, $F$11)</f>
        <v>16.007999999999999</v>
      </c>
      <c r="C570" s="8">
        <f>CHOOSE( CONTROL!$C$36, 16.0131, 16.0121) * CHOOSE(CONTROL!$C$19, $D$11, 100%, $F$11)</f>
        <v>16.013100000000001</v>
      </c>
      <c r="D570" s="8">
        <f>CHOOSE( CONTROL!$C$36, 16.0143, 16.0132) * CHOOSE( CONTROL!$C$19, $D$11, 100%, $F$11)</f>
        <v>16.014299999999999</v>
      </c>
      <c r="E570" s="12">
        <f>CHOOSE( CONTROL!$C$36, 16.0133, 16.0123) * CHOOSE( CONTROL!$C$19, $D$11, 100%, $F$11)</f>
        <v>16.013300000000001</v>
      </c>
      <c r="F570" s="4">
        <f>CHOOSE( CONTROL!$C$36, 16.6673, 16.6662) * CHOOSE(CONTROL!$C$19, $D$11, 100%, $F$11)</f>
        <v>16.667300000000001</v>
      </c>
      <c r="G570" s="8">
        <f>CHOOSE( CONTROL!$C$36, 15.8314, 15.8303) * CHOOSE( CONTROL!$C$19, $D$11, 100%, $F$11)</f>
        <v>15.8314</v>
      </c>
      <c r="H570" s="4">
        <f>CHOOSE( CONTROL!$C$36, 16.7086, 16.7075) * CHOOSE(CONTROL!$C$19, $D$11, 100%, $F$11)</f>
        <v>16.708600000000001</v>
      </c>
      <c r="I570" s="8">
        <f>CHOOSE( CONTROL!$C$36, 15.6884, 15.6874) * CHOOSE(CONTROL!$C$19, $D$11, 100%, $F$11)</f>
        <v>15.6884</v>
      </c>
      <c r="J570" s="4">
        <f>CHOOSE( CONTROL!$C$36, 15.5172, 15.5162) * CHOOSE(CONTROL!$C$19, $D$11, 100%, $F$11)</f>
        <v>15.517200000000001</v>
      </c>
      <c r="K570" s="4"/>
      <c r="L570" s="9">
        <v>27.415299999999998</v>
      </c>
      <c r="M570" s="9">
        <v>11.285299999999999</v>
      </c>
      <c r="N570" s="9">
        <v>4.6254999999999997</v>
      </c>
      <c r="O570" s="9">
        <v>0.34989999999999999</v>
      </c>
      <c r="P570" s="9">
        <v>1.2093</v>
      </c>
      <c r="Q570" s="9">
        <v>18.417899999999999</v>
      </c>
      <c r="R570" s="9"/>
      <c r="S570" s="11"/>
    </row>
    <row r="571" spans="1:19" ht="15.75">
      <c r="A571" s="13">
        <v>58531</v>
      </c>
      <c r="B571" s="8">
        <f>CHOOSE( CONTROL!$C$36, 15.6669, 15.6658) * CHOOSE(CONTROL!$C$19, $D$11, 100%, $F$11)</f>
        <v>15.6669</v>
      </c>
      <c r="C571" s="8">
        <f>CHOOSE( CONTROL!$C$36, 15.672, 15.6709) * CHOOSE(CONTROL!$C$19, $D$11, 100%, $F$11)</f>
        <v>15.672000000000001</v>
      </c>
      <c r="D571" s="8">
        <f>CHOOSE( CONTROL!$C$36, 15.6725, 15.6715) * CHOOSE( CONTROL!$C$19, $D$11, 100%, $F$11)</f>
        <v>15.672499999999999</v>
      </c>
      <c r="E571" s="12">
        <f>CHOOSE( CONTROL!$C$36, 15.6718, 15.6707) * CHOOSE( CONTROL!$C$19, $D$11, 100%, $F$11)</f>
        <v>15.671799999999999</v>
      </c>
      <c r="F571" s="4">
        <f>CHOOSE( CONTROL!$C$36, 16.3262, 16.3251) * CHOOSE(CONTROL!$C$19, $D$11, 100%, $F$11)</f>
        <v>16.3262</v>
      </c>
      <c r="G571" s="8">
        <f>CHOOSE( CONTROL!$C$36, 15.4946, 15.4935) * CHOOSE( CONTROL!$C$19, $D$11, 100%, $F$11)</f>
        <v>15.4946</v>
      </c>
      <c r="H571" s="4">
        <f>CHOOSE( CONTROL!$C$36, 16.3723, 16.3712) * CHOOSE(CONTROL!$C$19, $D$11, 100%, $F$11)</f>
        <v>16.372299999999999</v>
      </c>
      <c r="I571" s="8">
        <f>CHOOSE( CONTROL!$C$36, 15.356, 15.3549) * CHOOSE(CONTROL!$C$19, $D$11, 100%, $F$11)</f>
        <v>15.356</v>
      </c>
      <c r="J571" s="4">
        <f>CHOOSE( CONTROL!$C$36, 15.1869, 15.1859) * CHOOSE(CONTROL!$C$19, $D$11, 100%, $F$11)</f>
        <v>15.1869</v>
      </c>
      <c r="K571" s="4"/>
      <c r="L571" s="9">
        <v>29.306000000000001</v>
      </c>
      <c r="M571" s="9">
        <v>12.063700000000001</v>
      </c>
      <c r="N571" s="9">
        <v>4.9444999999999997</v>
      </c>
      <c r="O571" s="9">
        <v>0.37409999999999999</v>
      </c>
      <c r="P571" s="9">
        <v>1.2927</v>
      </c>
      <c r="Q571" s="9">
        <v>19.688099999999999</v>
      </c>
      <c r="R571" s="9"/>
      <c r="S571" s="11"/>
    </row>
    <row r="572" spans="1:19" ht="15.75">
      <c r="A572" s="13">
        <v>58561</v>
      </c>
      <c r="B572" s="8">
        <f>CHOOSE( CONTROL!$C$36, 15.9061, 15.905) * CHOOSE(CONTROL!$C$19, $D$11, 100%, $F$11)</f>
        <v>15.9061</v>
      </c>
      <c r="C572" s="8">
        <f>CHOOSE( CONTROL!$C$36, 15.9106, 15.9095) * CHOOSE(CONTROL!$C$19, $D$11, 100%, $F$11)</f>
        <v>15.910600000000001</v>
      </c>
      <c r="D572" s="8">
        <f>CHOOSE( CONTROL!$C$36, 15.931, 15.9299) * CHOOSE( CONTROL!$C$19, $D$11, 100%, $F$11)</f>
        <v>15.930999999999999</v>
      </c>
      <c r="E572" s="12">
        <f>CHOOSE( CONTROL!$C$36, 15.9237, 15.9226) * CHOOSE( CONTROL!$C$19, $D$11, 100%, $F$11)</f>
        <v>15.9237</v>
      </c>
      <c r="F572" s="4">
        <f>CHOOSE( CONTROL!$C$36, 16.6405, 16.6394) * CHOOSE(CONTROL!$C$19, $D$11, 100%, $F$11)</f>
        <v>16.640499999999999</v>
      </c>
      <c r="G572" s="8">
        <f>CHOOSE( CONTROL!$C$36, 15.7377, 15.7367) * CHOOSE( CONTROL!$C$19, $D$11, 100%, $F$11)</f>
        <v>15.7377</v>
      </c>
      <c r="H572" s="4">
        <f>CHOOSE( CONTROL!$C$36, 16.6821, 16.6811) * CHOOSE(CONTROL!$C$19, $D$11, 100%, $F$11)</f>
        <v>16.682099999999998</v>
      </c>
      <c r="I572" s="8">
        <f>CHOOSE( CONTROL!$C$36, 15.5564, 15.5553) * CHOOSE(CONTROL!$C$19, $D$11, 100%, $F$11)</f>
        <v>15.5564</v>
      </c>
      <c r="J572" s="4">
        <f>CHOOSE( CONTROL!$C$36, 15.4178, 15.4167) * CHOOSE(CONTROL!$C$19, $D$11, 100%, $F$11)</f>
        <v>15.4178</v>
      </c>
      <c r="K572" s="4"/>
      <c r="L572" s="9">
        <v>30.092199999999998</v>
      </c>
      <c r="M572" s="9">
        <v>11.6745</v>
      </c>
      <c r="N572" s="9">
        <v>4.7850000000000001</v>
      </c>
      <c r="O572" s="9">
        <v>0.36199999999999999</v>
      </c>
      <c r="P572" s="9">
        <v>1.2509999999999999</v>
      </c>
      <c r="Q572" s="9">
        <v>19.053000000000001</v>
      </c>
      <c r="R572" s="9"/>
      <c r="S572" s="11"/>
    </row>
    <row r="573" spans="1:19" ht="15.75">
      <c r="A573" s="13">
        <v>58592</v>
      </c>
      <c r="B573" s="8">
        <f>CHOOSE( CONTROL!$C$36, 16.3322, 16.3306) * CHOOSE(CONTROL!$C$19, $D$11, 100%, $F$11)</f>
        <v>16.3322</v>
      </c>
      <c r="C573" s="8">
        <f>CHOOSE( CONTROL!$C$36, 16.3402, 16.3386) * CHOOSE(CONTROL!$C$19, $D$11, 100%, $F$11)</f>
        <v>16.340199999999999</v>
      </c>
      <c r="D573" s="8">
        <f>CHOOSE( CONTROL!$C$36, 16.3544, 16.3528) * CHOOSE( CONTROL!$C$19, $D$11, 100%, $F$11)</f>
        <v>16.354399999999998</v>
      </c>
      <c r="E573" s="12">
        <f>CHOOSE( CONTROL!$C$36, 16.348, 16.3464) * CHOOSE( CONTROL!$C$19, $D$11, 100%, $F$11)</f>
        <v>16.347999999999999</v>
      </c>
      <c r="F573" s="4">
        <f>CHOOSE( CONTROL!$C$36, 17.0653, 17.0636) * CHOOSE(CONTROL!$C$19, $D$11, 100%, $F$11)</f>
        <v>17.065300000000001</v>
      </c>
      <c r="G573" s="8">
        <f>CHOOSE( CONTROL!$C$36, 16.1566, 16.1549) * CHOOSE( CONTROL!$C$19, $D$11, 100%, $F$11)</f>
        <v>16.156600000000001</v>
      </c>
      <c r="H573" s="4">
        <f>CHOOSE( CONTROL!$C$36, 17.101, 17.0994) * CHOOSE(CONTROL!$C$19, $D$11, 100%, $F$11)</f>
        <v>17.100999999999999</v>
      </c>
      <c r="I573" s="8">
        <f>CHOOSE( CONTROL!$C$36, 15.9675, 15.9659) * CHOOSE(CONTROL!$C$19, $D$11, 100%, $F$11)</f>
        <v>15.967499999999999</v>
      </c>
      <c r="J573" s="4">
        <f>CHOOSE( CONTROL!$C$36, 15.8291, 15.8275) * CHOOSE(CONTROL!$C$19, $D$11, 100%, $F$11)</f>
        <v>15.8291</v>
      </c>
      <c r="K573" s="4"/>
      <c r="L573" s="9">
        <v>30.7165</v>
      </c>
      <c r="M573" s="9">
        <v>12.063700000000001</v>
      </c>
      <c r="N573" s="9">
        <v>4.9444999999999997</v>
      </c>
      <c r="O573" s="9">
        <v>0.37409999999999999</v>
      </c>
      <c r="P573" s="9">
        <v>1.2927</v>
      </c>
      <c r="Q573" s="9">
        <v>19.688099999999999</v>
      </c>
      <c r="R573" s="9"/>
      <c r="S573" s="11"/>
    </row>
    <row r="574" spans="1:19" ht="15.75">
      <c r="A574" s="13">
        <v>58622</v>
      </c>
      <c r="B574" s="8">
        <f>CHOOSE( CONTROL!$C$36, 16.0694, 16.0678) * CHOOSE(CONTROL!$C$19, $D$11, 100%, $F$11)</f>
        <v>16.069400000000002</v>
      </c>
      <c r="C574" s="8">
        <f>CHOOSE( CONTROL!$C$36, 16.0774, 16.0758) * CHOOSE(CONTROL!$C$19, $D$11, 100%, $F$11)</f>
        <v>16.077400000000001</v>
      </c>
      <c r="D574" s="8">
        <f>CHOOSE( CONTROL!$C$36, 16.0918, 16.0902) * CHOOSE( CONTROL!$C$19, $D$11, 100%, $F$11)</f>
        <v>16.091799999999999</v>
      </c>
      <c r="E574" s="12">
        <f>CHOOSE( CONTROL!$C$36, 16.0854, 16.0838) * CHOOSE( CONTROL!$C$19, $D$11, 100%, $F$11)</f>
        <v>16.0854</v>
      </c>
      <c r="F574" s="4">
        <f>CHOOSE( CONTROL!$C$36, 16.8025, 16.8008) * CHOOSE(CONTROL!$C$19, $D$11, 100%, $F$11)</f>
        <v>16.802499999999998</v>
      </c>
      <c r="G574" s="8">
        <f>CHOOSE( CONTROL!$C$36, 15.8976, 15.8959) * CHOOSE( CONTROL!$C$19, $D$11, 100%, $F$11)</f>
        <v>15.897600000000001</v>
      </c>
      <c r="H574" s="4">
        <f>CHOOSE( CONTROL!$C$36, 16.8419, 16.8403) * CHOOSE(CONTROL!$C$19, $D$11, 100%, $F$11)</f>
        <v>16.841899999999999</v>
      </c>
      <c r="I574" s="8">
        <f>CHOOSE( CONTROL!$C$36, 15.7136, 15.712) * CHOOSE(CONTROL!$C$19, $D$11, 100%, $F$11)</f>
        <v>15.7136</v>
      </c>
      <c r="J574" s="4">
        <f>CHOOSE( CONTROL!$C$36, 15.5746, 15.573) * CHOOSE(CONTROL!$C$19, $D$11, 100%, $F$11)</f>
        <v>15.5746</v>
      </c>
      <c r="K574" s="4"/>
      <c r="L574" s="9">
        <v>29.7257</v>
      </c>
      <c r="M574" s="9">
        <v>11.6745</v>
      </c>
      <c r="N574" s="9">
        <v>4.7850000000000001</v>
      </c>
      <c r="O574" s="9">
        <v>0.36199999999999999</v>
      </c>
      <c r="P574" s="9">
        <v>1.2509999999999999</v>
      </c>
      <c r="Q574" s="9">
        <v>19.053000000000001</v>
      </c>
      <c r="R574" s="9"/>
      <c r="S574" s="11"/>
    </row>
    <row r="575" spans="1:19" ht="15.75">
      <c r="A575" s="13">
        <v>58653</v>
      </c>
      <c r="B575" s="8">
        <f>CHOOSE( CONTROL!$C$36, 16.7615, 16.7598) * CHOOSE(CONTROL!$C$19, $D$11, 100%, $F$11)</f>
        <v>16.761500000000002</v>
      </c>
      <c r="C575" s="8">
        <f>CHOOSE( CONTROL!$C$36, 16.7695, 16.7678) * CHOOSE(CONTROL!$C$19, $D$11, 100%, $F$11)</f>
        <v>16.769500000000001</v>
      </c>
      <c r="D575" s="8">
        <f>CHOOSE( CONTROL!$C$36, 16.7841, 16.7824) * CHOOSE( CONTROL!$C$19, $D$11, 100%, $F$11)</f>
        <v>16.784099999999999</v>
      </c>
      <c r="E575" s="12">
        <f>CHOOSE( CONTROL!$C$36, 16.7776, 16.7759) * CHOOSE( CONTROL!$C$19, $D$11, 100%, $F$11)</f>
        <v>16.7776</v>
      </c>
      <c r="F575" s="4">
        <f>CHOOSE( CONTROL!$C$36, 17.4945, 17.4928) * CHOOSE(CONTROL!$C$19, $D$11, 100%, $F$11)</f>
        <v>17.494499999999999</v>
      </c>
      <c r="G575" s="8">
        <f>CHOOSE( CONTROL!$C$36, 16.5802, 16.5785) * CHOOSE( CONTROL!$C$19, $D$11, 100%, $F$11)</f>
        <v>16.580200000000001</v>
      </c>
      <c r="H575" s="4">
        <f>CHOOSE( CONTROL!$C$36, 17.5243, 17.5226) * CHOOSE(CONTROL!$C$19, $D$11, 100%, $F$11)</f>
        <v>17.5243</v>
      </c>
      <c r="I575" s="8">
        <f>CHOOSE( CONTROL!$C$36, 16.3849, 16.3833) * CHOOSE(CONTROL!$C$19, $D$11, 100%, $F$11)</f>
        <v>16.384899999999998</v>
      </c>
      <c r="J575" s="4">
        <f>CHOOSE( CONTROL!$C$36, 16.2447, 16.2431) * CHOOSE(CONTROL!$C$19, $D$11, 100%, $F$11)</f>
        <v>16.244700000000002</v>
      </c>
      <c r="K575" s="4"/>
      <c r="L575" s="9">
        <v>30.7165</v>
      </c>
      <c r="M575" s="9">
        <v>12.063700000000001</v>
      </c>
      <c r="N575" s="9">
        <v>4.9444999999999997</v>
      </c>
      <c r="O575" s="9">
        <v>0.37409999999999999</v>
      </c>
      <c r="P575" s="9">
        <v>1.2927</v>
      </c>
      <c r="Q575" s="9">
        <v>19.688099999999999</v>
      </c>
      <c r="R575" s="9"/>
      <c r="S575" s="11"/>
    </row>
    <row r="576" spans="1:19" ht="15.75">
      <c r="A576" s="13">
        <v>58684</v>
      </c>
      <c r="B576" s="8">
        <f>CHOOSE( CONTROL!$C$36, 15.4666, 15.4649) * CHOOSE(CONTROL!$C$19, $D$11, 100%, $F$11)</f>
        <v>15.4666</v>
      </c>
      <c r="C576" s="8">
        <f>CHOOSE( CONTROL!$C$36, 15.4746, 15.4729) * CHOOSE(CONTROL!$C$19, $D$11, 100%, $F$11)</f>
        <v>15.474600000000001</v>
      </c>
      <c r="D576" s="8">
        <f>CHOOSE( CONTROL!$C$36, 15.4893, 15.4876) * CHOOSE( CONTROL!$C$19, $D$11, 100%, $F$11)</f>
        <v>15.4893</v>
      </c>
      <c r="E576" s="12">
        <f>CHOOSE( CONTROL!$C$36, 15.4828, 15.4811) * CHOOSE( CONTROL!$C$19, $D$11, 100%, $F$11)</f>
        <v>15.482799999999999</v>
      </c>
      <c r="F576" s="4">
        <f>CHOOSE( CONTROL!$C$36, 16.1996, 16.198) * CHOOSE(CONTROL!$C$19, $D$11, 100%, $F$11)</f>
        <v>16.1996</v>
      </c>
      <c r="G576" s="8">
        <f>CHOOSE( CONTROL!$C$36, 15.3034, 15.3017) * CHOOSE( CONTROL!$C$19, $D$11, 100%, $F$11)</f>
        <v>15.3034</v>
      </c>
      <c r="H576" s="4">
        <f>CHOOSE( CONTROL!$C$36, 16.2475, 16.2458) * CHOOSE(CONTROL!$C$19, $D$11, 100%, $F$11)</f>
        <v>16.247499999999999</v>
      </c>
      <c r="I576" s="8">
        <f>CHOOSE( CONTROL!$C$36, 15.1306, 15.129) * CHOOSE(CONTROL!$C$19, $D$11, 100%, $F$11)</f>
        <v>15.130599999999999</v>
      </c>
      <c r="J576" s="4">
        <f>CHOOSE( CONTROL!$C$36, 14.9909, 14.9893) * CHOOSE(CONTROL!$C$19, $D$11, 100%, $F$11)</f>
        <v>14.9909</v>
      </c>
      <c r="K576" s="4"/>
      <c r="L576" s="9">
        <v>30.7165</v>
      </c>
      <c r="M576" s="9">
        <v>12.063700000000001</v>
      </c>
      <c r="N576" s="9">
        <v>4.9444999999999997</v>
      </c>
      <c r="O576" s="9">
        <v>0.37409999999999999</v>
      </c>
      <c r="P576" s="9">
        <v>1.2927</v>
      </c>
      <c r="Q576" s="9">
        <v>19.688099999999999</v>
      </c>
      <c r="R576" s="9"/>
      <c r="S576" s="11"/>
    </row>
    <row r="577" spans="1:19" ht="15.75">
      <c r="A577" s="13">
        <v>58714</v>
      </c>
      <c r="B577" s="8">
        <f>CHOOSE( CONTROL!$C$36, 15.1423, 15.1407) * CHOOSE(CONTROL!$C$19, $D$11, 100%, $F$11)</f>
        <v>15.142300000000001</v>
      </c>
      <c r="C577" s="8">
        <f>CHOOSE( CONTROL!$C$36, 15.1503, 15.1487) * CHOOSE(CONTROL!$C$19, $D$11, 100%, $F$11)</f>
        <v>15.1503</v>
      </c>
      <c r="D577" s="8">
        <f>CHOOSE( CONTROL!$C$36, 15.1649, 15.1632) * CHOOSE( CONTROL!$C$19, $D$11, 100%, $F$11)</f>
        <v>15.164899999999999</v>
      </c>
      <c r="E577" s="12">
        <f>CHOOSE( CONTROL!$C$36, 15.1584, 15.1567) * CHOOSE( CONTROL!$C$19, $D$11, 100%, $F$11)</f>
        <v>15.1584</v>
      </c>
      <c r="F577" s="4">
        <f>CHOOSE( CONTROL!$C$36, 15.8754, 15.8737) * CHOOSE(CONTROL!$C$19, $D$11, 100%, $F$11)</f>
        <v>15.875400000000001</v>
      </c>
      <c r="G577" s="8">
        <f>CHOOSE( CONTROL!$C$36, 14.9836, 14.9819) * CHOOSE( CONTROL!$C$19, $D$11, 100%, $F$11)</f>
        <v>14.983599999999999</v>
      </c>
      <c r="H577" s="4">
        <f>CHOOSE( CONTROL!$C$36, 15.9277, 15.9261) * CHOOSE(CONTROL!$C$19, $D$11, 100%, $F$11)</f>
        <v>15.9277</v>
      </c>
      <c r="I577" s="8">
        <f>CHOOSE( CONTROL!$C$36, 14.8161, 14.8145) * CHOOSE(CONTROL!$C$19, $D$11, 100%, $F$11)</f>
        <v>14.8161</v>
      </c>
      <c r="J577" s="4">
        <f>CHOOSE( CONTROL!$C$36, 14.6769, 14.6753) * CHOOSE(CONTROL!$C$19, $D$11, 100%, $F$11)</f>
        <v>14.6769</v>
      </c>
      <c r="K577" s="4"/>
      <c r="L577" s="9">
        <v>29.7257</v>
      </c>
      <c r="M577" s="9">
        <v>11.6745</v>
      </c>
      <c r="N577" s="9">
        <v>4.7850000000000001</v>
      </c>
      <c r="O577" s="9">
        <v>0.36199999999999999</v>
      </c>
      <c r="P577" s="9">
        <v>1.2509999999999999</v>
      </c>
      <c r="Q577" s="9">
        <v>19.053000000000001</v>
      </c>
      <c r="R577" s="9"/>
      <c r="S577" s="11"/>
    </row>
    <row r="578" spans="1:19" ht="15.75">
      <c r="A578" s="13">
        <v>58745</v>
      </c>
      <c r="B578" s="8">
        <f>CHOOSE( CONTROL!$C$36, 15.8133, 15.8122) * CHOOSE(CONTROL!$C$19, $D$11, 100%, $F$11)</f>
        <v>15.8133</v>
      </c>
      <c r="C578" s="8">
        <f>CHOOSE( CONTROL!$C$36, 15.8186, 15.8176) * CHOOSE(CONTROL!$C$19, $D$11, 100%, $F$11)</f>
        <v>15.8186</v>
      </c>
      <c r="D578" s="8">
        <f>CHOOSE( CONTROL!$C$36, 15.8391, 15.838) * CHOOSE( CONTROL!$C$19, $D$11, 100%, $F$11)</f>
        <v>15.8391</v>
      </c>
      <c r="E578" s="12">
        <f>CHOOSE( CONTROL!$C$36, 15.8318, 15.8307) * CHOOSE( CONTROL!$C$19, $D$11, 100%, $F$11)</f>
        <v>15.831799999999999</v>
      </c>
      <c r="F578" s="4">
        <f>CHOOSE( CONTROL!$C$36, 16.548, 16.547) * CHOOSE(CONTROL!$C$19, $D$11, 100%, $F$11)</f>
        <v>16.547999999999998</v>
      </c>
      <c r="G578" s="8">
        <f>CHOOSE( CONTROL!$C$36, 15.6471, 15.646) * CHOOSE( CONTROL!$C$19, $D$11, 100%, $F$11)</f>
        <v>15.6471</v>
      </c>
      <c r="H578" s="4">
        <f>CHOOSE( CONTROL!$C$36, 16.591, 16.59) * CHOOSE(CONTROL!$C$19, $D$11, 100%, $F$11)</f>
        <v>16.591000000000001</v>
      </c>
      <c r="I578" s="8">
        <f>CHOOSE( CONTROL!$C$36, 15.4689, 15.4678) * CHOOSE(CONTROL!$C$19, $D$11, 100%, $F$11)</f>
        <v>15.4689</v>
      </c>
      <c r="J578" s="4">
        <f>CHOOSE( CONTROL!$C$36, 15.3283, 15.3272) * CHOOSE(CONTROL!$C$19, $D$11, 100%, $F$11)</f>
        <v>15.3283</v>
      </c>
      <c r="K578" s="4"/>
      <c r="L578" s="9">
        <v>31.095300000000002</v>
      </c>
      <c r="M578" s="9">
        <v>12.063700000000001</v>
      </c>
      <c r="N578" s="9">
        <v>4.9444999999999997</v>
      </c>
      <c r="O578" s="9">
        <v>0.37409999999999999</v>
      </c>
      <c r="P578" s="9">
        <v>1.2927</v>
      </c>
      <c r="Q578" s="9">
        <v>19.688099999999999</v>
      </c>
      <c r="R578" s="9"/>
      <c r="S578" s="11"/>
    </row>
    <row r="579" spans="1:19" ht="15.75">
      <c r="A579" s="13">
        <v>58775</v>
      </c>
      <c r="B579" s="8">
        <f>CHOOSE( CONTROL!$C$36, 17.0556, 17.0545) * CHOOSE(CONTROL!$C$19, $D$11, 100%, $F$11)</f>
        <v>17.055599999999998</v>
      </c>
      <c r="C579" s="8">
        <f>CHOOSE( CONTROL!$C$36, 17.0607, 17.0596) * CHOOSE(CONTROL!$C$19, $D$11, 100%, $F$11)</f>
        <v>17.060700000000001</v>
      </c>
      <c r="D579" s="8">
        <f>CHOOSE( CONTROL!$C$36, 17.0399, 17.0388) * CHOOSE( CONTROL!$C$19, $D$11, 100%, $F$11)</f>
        <v>17.039899999999999</v>
      </c>
      <c r="E579" s="12">
        <f>CHOOSE( CONTROL!$C$36, 17.047, 17.0459) * CHOOSE( CONTROL!$C$19, $D$11, 100%, $F$11)</f>
        <v>17.047000000000001</v>
      </c>
      <c r="F579" s="4">
        <f>CHOOSE( CONTROL!$C$36, 17.7149, 17.7138) * CHOOSE(CONTROL!$C$19, $D$11, 100%, $F$11)</f>
        <v>17.7149</v>
      </c>
      <c r="G579" s="8">
        <f>CHOOSE( CONTROL!$C$36, 16.8524, 16.8513) * CHOOSE( CONTROL!$C$19, $D$11, 100%, $F$11)</f>
        <v>16.852399999999999</v>
      </c>
      <c r="H579" s="4">
        <f>CHOOSE( CONTROL!$C$36, 17.7416, 17.7405) * CHOOSE(CONTROL!$C$19, $D$11, 100%, $F$11)</f>
        <v>17.741599999999998</v>
      </c>
      <c r="I579" s="8">
        <f>CHOOSE( CONTROL!$C$36, 16.7219, 16.7209) * CHOOSE(CONTROL!$C$19, $D$11, 100%, $F$11)</f>
        <v>16.721900000000002</v>
      </c>
      <c r="J579" s="4">
        <f>CHOOSE( CONTROL!$C$36, 16.5316, 16.5306) * CHOOSE(CONTROL!$C$19, $D$11, 100%, $F$11)</f>
        <v>16.531600000000001</v>
      </c>
      <c r="K579" s="4"/>
      <c r="L579" s="9">
        <v>28.360600000000002</v>
      </c>
      <c r="M579" s="9">
        <v>11.6745</v>
      </c>
      <c r="N579" s="9">
        <v>4.7850000000000001</v>
      </c>
      <c r="O579" s="9">
        <v>0.36199999999999999</v>
      </c>
      <c r="P579" s="9">
        <v>1.2509999999999999</v>
      </c>
      <c r="Q579" s="9">
        <v>19.053000000000001</v>
      </c>
      <c r="R579" s="9"/>
      <c r="S579" s="11"/>
    </row>
    <row r="580" spans="1:19" ht="15.75">
      <c r="A580" s="13">
        <v>58806</v>
      </c>
      <c r="B580" s="8">
        <f>CHOOSE( CONTROL!$C$36, 17.0246, 17.0235) * CHOOSE(CONTROL!$C$19, $D$11, 100%, $F$11)</f>
        <v>17.0246</v>
      </c>
      <c r="C580" s="8">
        <f>CHOOSE( CONTROL!$C$36, 17.0297, 17.0286) * CHOOSE(CONTROL!$C$19, $D$11, 100%, $F$11)</f>
        <v>17.029699999999998</v>
      </c>
      <c r="D580" s="8">
        <f>CHOOSE( CONTROL!$C$36, 17.0103, 17.0092) * CHOOSE( CONTROL!$C$19, $D$11, 100%, $F$11)</f>
        <v>17.010300000000001</v>
      </c>
      <c r="E580" s="12">
        <f>CHOOSE( CONTROL!$C$36, 17.0169, 17.0158) * CHOOSE( CONTROL!$C$19, $D$11, 100%, $F$11)</f>
        <v>17.0169</v>
      </c>
      <c r="F580" s="4">
        <f>CHOOSE( CONTROL!$C$36, 17.6838, 17.6827) * CHOOSE(CONTROL!$C$19, $D$11, 100%, $F$11)</f>
        <v>17.683800000000002</v>
      </c>
      <c r="G580" s="8">
        <f>CHOOSE( CONTROL!$C$36, 16.8228, 16.8217) * CHOOSE( CONTROL!$C$19, $D$11, 100%, $F$11)</f>
        <v>16.822800000000001</v>
      </c>
      <c r="H580" s="4">
        <f>CHOOSE( CONTROL!$C$36, 17.711, 17.7099) * CHOOSE(CONTROL!$C$19, $D$11, 100%, $F$11)</f>
        <v>17.710999999999999</v>
      </c>
      <c r="I580" s="8">
        <f>CHOOSE( CONTROL!$C$36, 16.6961, 16.6951) * CHOOSE(CONTROL!$C$19, $D$11, 100%, $F$11)</f>
        <v>16.696100000000001</v>
      </c>
      <c r="J580" s="4">
        <f>CHOOSE( CONTROL!$C$36, 16.5015, 16.5005) * CHOOSE(CONTROL!$C$19, $D$11, 100%, $F$11)</f>
        <v>16.5015</v>
      </c>
      <c r="K580" s="4"/>
      <c r="L580" s="9">
        <v>29.306000000000001</v>
      </c>
      <c r="M580" s="9">
        <v>12.063700000000001</v>
      </c>
      <c r="N580" s="9">
        <v>4.9444999999999997</v>
      </c>
      <c r="O580" s="9">
        <v>0.37409999999999999</v>
      </c>
      <c r="P580" s="9">
        <v>1.2927</v>
      </c>
      <c r="Q580" s="9">
        <v>19.688099999999999</v>
      </c>
      <c r="R580" s="9"/>
      <c r="S580" s="11"/>
    </row>
    <row r="581" spans="1:19" ht="15.75">
      <c r="A581" s="13">
        <v>58837</v>
      </c>
      <c r="B581" s="8">
        <f>CHOOSE( CONTROL!$C$36, 17.5272, 17.5261) * CHOOSE(CONTROL!$C$19, $D$11, 100%, $F$11)</f>
        <v>17.527200000000001</v>
      </c>
      <c r="C581" s="8">
        <f>CHOOSE( CONTROL!$C$36, 17.5323, 17.5312) * CHOOSE(CONTROL!$C$19, $D$11, 100%, $F$11)</f>
        <v>17.532299999999999</v>
      </c>
      <c r="D581" s="8">
        <f>CHOOSE( CONTROL!$C$36, 17.5336, 17.5325) * CHOOSE( CONTROL!$C$19, $D$11, 100%, $F$11)</f>
        <v>17.5336</v>
      </c>
      <c r="E581" s="12">
        <f>CHOOSE( CONTROL!$C$36, 17.5326, 17.5315) * CHOOSE( CONTROL!$C$19, $D$11, 100%, $F$11)</f>
        <v>17.532599999999999</v>
      </c>
      <c r="F581" s="4">
        <f>CHOOSE( CONTROL!$C$36, 18.1865, 18.1854) * CHOOSE(CONTROL!$C$19, $D$11, 100%, $F$11)</f>
        <v>18.186499999999999</v>
      </c>
      <c r="G581" s="8">
        <f>CHOOSE( CONTROL!$C$36, 17.3295, 17.3284) * CHOOSE( CONTROL!$C$19, $D$11, 100%, $F$11)</f>
        <v>17.329499999999999</v>
      </c>
      <c r="H581" s="4">
        <f>CHOOSE( CONTROL!$C$36, 18.2066, 18.2055) * CHOOSE(CONTROL!$C$19, $D$11, 100%, $F$11)</f>
        <v>18.206600000000002</v>
      </c>
      <c r="I581" s="8">
        <f>CHOOSE( CONTROL!$C$36, 17.1606, 17.1595) * CHOOSE(CONTROL!$C$19, $D$11, 100%, $F$11)</f>
        <v>17.160599999999999</v>
      </c>
      <c r="J581" s="4">
        <f>CHOOSE( CONTROL!$C$36, 16.9883, 16.9872) * CHOOSE(CONTROL!$C$19, $D$11, 100%, $F$11)</f>
        <v>16.988299999999999</v>
      </c>
      <c r="K581" s="4"/>
      <c r="L581" s="9">
        <v>29.306000000000001</v>
      </c>
      <c r="M581" s="9">
        <v>12.063700000000001</v>
      </c>
      <c r="N581" s="9">
        <v>4.9444999999999997</v>
      </c>
      <c r="O581" s="9">
        <v>0.37409999999999999</v>
      </c>
      <c r="P581" s="9">
        <v>1.2927</v>
      </c>
      <c r="Q581" s="9">
        <v>19.688099999999999</v>
      </c>
      <c r="R581" s="9"/>
      <c r="S581" s="11"/>
    </row>
    <row r="582" spans="1:19" ht="15.75">
      <c r="A582" s="13">
        <v>58865</v>
      </c>
      <c r="B582" s="8">
        <f>CHOOSE( CONTROL!$C$36, 16.3931, 16.392) * CHOOSE(CONTROL!$C$19, $D$11, 100%, $F$11)</f>
        <v>16.3931</v>
      </c>
      <c r="C582" s="8">
        <f>CHOOSE( CONTROL!$C$36, 16.3982, 16.3971) * CHOOSE(CONTROL!$C$19, $D$11, 100%, $F$11)</f>
        <v>16.398199999999999</v>
      </c>
      <c r="D582" s="8">
        <f>CHOOSE( CONTROL!$C$36, 16.3993, 16.3982) * CHOOSE( CONTROL!$C$19, $D$11, 100%, $F$11)</f>
        <v>16.3993</v>
      </c>
      <c r="E582" s="12">
        <f>CHOOSE( CONTROL!$C$36, 16.3984, 16.3973) * CHOOSE( CONTROL!$C$19, $D$11, 100%, $F$11)</f>
        <v>16.398399999999999</v>
      </c>
      <c r="F582" s="4">
        <f>CHOOSE( CONTROL!$C$36, 17.0523, 17.0512) * CHOOSE(CONTROL!$C$19, $D$11, 100%, $F$11)</f>
        <v>17.052299999999999</v>
      </c>
      <c r="G582" s="8">
        <f>CHOOSE( CONTROL!$C$36, 16.2111, 16.21) * CHOOSE( CONTROL!$C$19, $D$11, 100%, $F$11)</f>
        <v>16.211099999999998</v>
      </c>
      <c r="H582" s="4">
        <f>CHOOSE( CONTROL!$C$36, 17.0883, 17.0872) * CHOOSE(CONTROL!$C$19, $D$11, 100%, $F$11)</f>
        <v>17.0883</v>
      </c>
      <c r="I582" s="8">
        <f>CHOOSE( CONTROL!$C$36, 16.0614, 16.0604) * CHOOSE(CONTROL!$C$19, $D$11, 100%, $F$11)</f>
        <v>16.061399999999999</v>
      </c>
      <c r="J582" s="4">
        <f>CHOOSE( CONTROL!$C$36, 15.8901, 15.889) * CHOOSE(CONTROL!$C$19, $D$11, 100%, $F$11)</f>
        <v>15.8901</v>
      </c>
      <c r="K582" s="4"/>
      <c r="L582" s="9">
        <v>26.469899999999999</v>
      </c>
      <c r="M582" s="9">
        <v>10.8962</v>
      </c>
      <c r="N582" s="9">
        <v>4.4660000000000002</v>
      </c>
      <c r="O582" s="9">
        <v>0.33789999999999998</v>
      </c>
      <c r="P582" s="9">
        <v>1.1676</v>
      </c>
      <c r="Q582" s="9">
        <v>17.782800000000002</v>
      </c>
      <c r="R582" s="9"/>
      <c r="S582" s="11"/>
    </row>
    <row r="583" spans="1:19" ht="15.75">
      <c r="A583" s="13">
        <v>58893</v>
      </c>
      <c r="B583" s="8">
        <f>CHOOSE( CONTROL!$C$36, 16.0437, 16.0427) * CHOOSE(CONTROL!$C$19, $D$11, 100%, $F$11)</f>
        <v>16.043700000000001</v>
      </c>
      <c r="C583" s="8">
        <f>CHOOSE( CONTROL!$C$36, 16.0488, 16.0478) * CHOOSE(CONTROL!$C$19, $D$11, 100%, $F$11)</f>
        <v>16.0488</v>
      </c>
      <c r="D583" s="8">
        <f>CHOOSE( CONTROL!$C$36, 16.0494, 16.0483) * CHOOSE( CONTROL!$C$19, $D$11, 100%, $F$11)</f>
        <v>16.049399999999999</v>
      </c>
      <c r="E583" s="12">
        <f>CHOOSE( CONTROL!$C$36, 16.0486, 16.0476) * CHOOSE( CONTROL!$C$19, $D$11, 100%, $F$11)</f>
        <v>16.0486</v>
      </c>
      <c r="F583" s="4">
        <f>CHOOSE( CONTROL!$C$36, 16.703, 16.7019) * CHOOSE(CONTROL!$C$19, $D$11, 100%, $F$11)</f>
        <v>16.702999999999999</v>
      </c>
      <c r="G583" s="8">
        <f>CHOOSE( CONTROL!$C$36, 15.8662, 15.8651) * CHOOSE( CONTROL!$C$19, $D$11, 100%, $F$11)</f>
        <v>15.866199999999999</v>
      </c>
      <c r="H583" s="4">
        <f>CHOOSE( CONTROL!$C$36, 16.7438, 16.7427) * CHOOSE(CONTROL!$C$19, $D$11, 100%, $F$11)</f>
        <v>16.7438</v>
      </c>
      <c r="I583" s="8">
        <f>CHOOSE( CONTROL!$C$36, 15.721, 15.72) * CHOOSE(CONTROL!$C$19, $D$11, 100%, $F$11)</f>
        <v>15.721</v>
      </c>
      <c r="J583" s="4">
        <f>CHOOSE( CONTROL!$C$36, 15.5518, 15.5508) * CHOOSE(CONTROL!$C$19, $D$11, 100%, $F$11)</f>
        <v>15.5518</v>
      </c>
      <c r="K583" s="4"/>
      <c r="L583" s="9">
        <v>29.306000000000001</v>
      </c>
      <c r="M583" s="9">
        <v>12.063700000000001</v>
      </c>
      <c r="N583" s="9">
        <v>4.9444999999999997</v>
      </c>
      <c r="O583" s="9">
        <v>0.37409999999999999</v>
      </c>
      <c r="P583" s="9">
        <v>1.2927</v>
      </c>
      <c r="Q583" s="9">
        <v>19.688099999999999</v>
      </c>
      <c r="R583" s="9"/>
      <c r="S583" s="11"/>
    </row>
    <row r="584" spans="1:19" ht="15.75">
      <c r="A584" s="13">
        <v>58926</v>
      </c>
      <c r="B584" s="8">
        <f>CHOOSE( CONTROL!$C$36, 16.2886, 16.2875) * CHOOSE(CONTROL!$C$19, $D$11, 100%, $F$11)</f>
        <v>16.288599999999999</v>
      </c>
      <c r="C584" s="8">
        <f>CHOOSE( CONTROL!$C$36, 16.2931, 16.292) * CHOOSE(CONTROL!$C$19, $D$11, 100%, $F$11)</f>
        <v>16.293099999999999</v>
      </c>
      <c r="D584" s="8">
        <f>CHOOSE( CONTROL!$C$36, 16.3135, 16.3124) * CHOOSE( CONTROL!$C$19, $D$11, 100%, $F$11)</f>
        <v>16.313500000000001</v>
      </c>
      <c r="E584" s="12">
        <f>CHOOSE( CONTROL!$C$36, 16.3062, 16.3051) * CHOOSE( CONTROL!$C$19, $D$11, 100%, $F$11)</f>
        <v>16.3062</v>
      </c>
      <c r="F584" s="4">
        <f>CHOOSE( CONTROL!$C$36, 17.023, 17.0219) * CHOOSE(CONTROL!$C$19, $D$11, 100%, $F$11)</f>
        <v>17.023</v>
      </c>
      <c r="G584" s="8">
        <f>CHOOSE( CONTROL!$C$36, 16.1149, 16.1139) * CHOOSE( CONTROL!$C$19, $D$11, 100%, $F$11)</f>
        <v>16.114899999999999</v>
      </c>
      <c r="H584" s="4">
        <f>CHOOSE( CONTROL!$C$36, 17.0594, 17.0583) * CHOOSE(CONTROL!$C$19, $D$11, 100%, $F$11)</f>
        <v>17.0594</v>
      </c>
      <c r="I584" s="8">
        <f>CHOOSE( CONTROL!$C$36, 15.927, 15.9259) * CHOOSE(CONTROL!$C$19, $D$11, 100%, $F$11)</f>
        <v>15.927</v>
      </c>
      <c r="J584" s="4">
        <f>CHOOSE( CONTROL!$C$36, 15.7882, 15.7871) * CHOOSE(CONTROL!$C$19, $D$11, 100%, $F$11)</f>
        <v>15.7882</v>
      </c>
      <c r="K584" s="4"/>
      <c r="L584" s="9">
        <v>30.092199999999998</v>
      </c>
      <c r="M584" s="9">
        <v>11.6745</v>
      </c>
      <c r="N584" s="9">
        <v>4.7850000000000001</v>
      </c>
      <c r="O584" s="9">
        <v>0.36199999999999999</v>
      </c>
      <c r="P584" s="9">
        <v>1.2509999999999999</v>
      </c>
      <c r="Q584" s="9">
        <v>19.053000000000001</v>
      </c>
      <c r="R584" s="9"/>
      <c r="S584" s="11"/>
    </row>
    <row r="585" spans="1:19" ht="15.75">
      <c r="A585" s="13">
        <v>58957</v>
      </c>
      <c r="B585" s="8">
        <f>CHOOSE( CONTROL!$C$36, 16.725, 16.7233) * CHOOSE(CONTROL!$C$19, $D$11, 100%, $F$11)</f>
        <v>16.725000000000001</v>
      </c>
      <c r="C585" s="8">
        <f>CHOOSE( CONTROL!$C$36, 16.733, 16.7313) * CHOOSE(CONTROL!$C$19, $D$11, 100%, $F$11)</f>
        <v>16.733000000000001</v>
      </c>
      <c r="D585" s="8">
        <f>CHOOSE( CONTROL!$C$36, 16.7472, 16.7455) * CHOOSE( CONTROL!$C$19, $D$11, 100%, $F$11)</f>
        <v>16.747199999999999</v>
      </c>
      <c r="E585" s="12">
        <f>CHOOSE( CONTROL!$C$36, 16.7408, 16.7391) * CHOOSE( CONTROL!$C$19, $D$11, 100%, $F$11)</f>
        <v>16.7408</v>
      </c>
      <c r="F585" s="4">
        <f>CHOOSE( CONTROL!$C$36, 17.458, 17.4563) * CHOOSE(CONTROL!$C$19, $D$11, 100%, $F$11)</f>
        <v>17.457999999999998</v>
      </c>
      <c r="G585" s="8">
        <f>CHOOSE( CONTROL!$C$36, 16.5438, 16.5422) * CHOOSE( CONTROL!$C$19, $D$11, 100%, $F$11)</f>
        <v>16.543800000000001</v>
      </c>
      <c r="H585" s="4">
        <f>CHOOSE( CONTROL!$C$36, 17.4883, 17.4867) * CHOOSE(CONTROL!$C$19, $D$11, 100%, $F$11)</f>
        <v>17.488299999999999</v>
      </c>
      <c r="I585" s="8">
        <f>CHOOSE( CONTROL!$C$36, 16.348, 16.3464) * CHOOSE(CONTROL!$C$19, $D$11, 100%, $F$11)</f>
        <v>16.347999999999999</v>
      </c>
      <c r="J585" s="4">
        <f>CHOOSE( CONTROL!$C$36, 16.2094, 16.2078) * CHOOSE(CONTROL!$C$19, $D$11, 100%, $F$11)</f>
        <v>16.209399999999999</v>
      </c>
      <c r="K585" s="4"/>
      <c r="L585" s="9">
        <v>30.7165</v>
      </c>
      <c r="M585" s="9">
        <v>12.063700000000001</v>
      </c>
      <c r="N585" s="9">
        <v>4.9444999999999997</v>
      </c>
      <c r="O585" s="9">
        <v>0.37409999999999999</v>
      </c>
      <c r="P585" s="9">
        <v>1.2927</v>
      </c>
      <c r="Q585" s="9">
        <v>19.688099999999999</v>
      </c>
      <c r="R585" s="9"/>
      <c r="S585" s="11"/>
    </row>
    <row r="586" spans="1:19" ht="15.75">
      <c r="A586" s="13">
        <v>58987</v>
      </c>
      <c r="B586" s="8">
        <f>CHOOSE( CONTROL!$C$36, 16.4559, 16.4542) * CHOOSE(CONTROL!$C$19, $D$11, 100%, $F$11)</f>
        <v>16.4559</v>
      </c>
      <c r="C586" s="8">
        <f>CHOOSE( CONTROL!$C$36, 16.4639, 16.4622) * CHOOSE(CONTROL!$C$19, $D$11, 100%, $F$11)</f>
        <v>16.463899999999999</v>
      </c>
      <c r="D586" s="8">
        <f>CHOOSE( CONTROL!$C$36, 16.4782, 16.4766) * CHOOSE( CONTROL!$C$19, $D$11, 100%, $F$11)</f>
        <v>16.478200000000001</v>
      </c>
      <c r="E586" s="12">
        <f>CHOOSE( CONTROL!$C$36, 16.4718, 16.4702) * CHOOSE( CONTROL!$C$19, $D$11, 100%, $F$11)</f>
        <v>16.471800000000002</v>
      </c>
      <c r="F586" s="4">
        <f>CHOOSE( CONTROL!$C$36, 17.1889, 17.1872) * CHOOSE(CONTROL!$C$19, $D$11, 100%, $F$11)</f>
        <v>17.1889</v>
      </c>
      <c r="G586" s="8">
        <f>CHOOSE( CONTROL!$C$36, 16.2786, 16.277) * CHOOSE( CONTROL!$C$19, $D$11, 100%, $F$11)</f>
        <v>16.278600000000001</v>
      </c>
      <c r="H586" s="4">
        <f>CHOOSE( CONTROL!$C$36, 17.2229, 17.2213) * CHOOSE(CONTROL!$C$19, $D$11, 100%, $F$11)</f>
        <v>17.222899999999999</v>
      </c>
      <c r="I586" s="8">
        <f>CHOOSE( CONTROL!$C$36, 16.088, 16.0864) * CHOOSE(CONTROL!$C$19, $D$11, 100%, $F$11)</f>
        <v>16.088000000000001</v>
      </c>
      <c r="J586" s="4">
        <f>CHOOSE( CONTROL!$C$36, 15.9488, 15.9472) * CHOOSE(CONTROL!$C$19, $D$11, 100%, $F$11)</f>
        <v>15.9488</v>
      </c>
      <c r="K586" s="4"/>
      <c r="L586" s="9">
        <v>29.7257</v>
      </c>
      <c r="M586" s="9">
        <v>11.6745</v>
      </c>
      <c r="N586" s="9">
        <v>4.7850000000000001</v>
      </c>
      <c r="O586" s="9">
        <v>0.36199999999999999</v>
      </c>
      <c r="P586" s="9">
        <v>1.2509999999999999</v>
      </c>
      <c r="Q586" s="9">
        <v>19.053000000000001</v>
      </c>
      <c r="R586" s="9"/>
      <c r="S586" s="11"/>
    </row>
    <row r="587" spans="1:19" ht="15.75">
      <c r="A587" s="13">
        <v>59018</v>
      </c>
      <c r="B587" s="8">
        <f>CHOOSE( CONTROL!$C$36, 17.1645, 17.1629) * CHOOSE(CONTROL!$C$19, $D$11, 100%, $F$11)</f>
        <v>17.1645</v>
      </c>
      <c r="C587" s="8">
        <f>CHOOSE( CONTROL!$C$36, 17.1725, 17.1709) * CHOOSE(CONTROL!$C$19, $D$11, 100%, $F$11)</f>
        <v>17.172499999999999</v>
      </c>
      <c r="D587" s="8">
        <f>CHOOSE( CONTROL!$C$36, 17.1872, 17.1855) * CHOOSE( CONTROL!$C$19, $D$11, 100%, $F$11)</f>
        <v>17.187200000000001</v>
      </c>
      <c r="E587" s="12">
        <f>CHOOSE( CONTROL!$C$36, 17.1807, 17.179) * CHOOSE( CONTROL!$C$19, $D$11, 100%, $F$11)</f>
        <v>17.180700000000002</v>
      </c>
      <c r="F587" s="4">
        <f>CHOOSE( CONTROL!$C$36, 17.8976, 17.8959) * CHOOSE(CONTROL!$C$19, $D$11, 100%, $F$11)</f>
        <v>17.897600000000001</v>
      </c>
      <c r="G587" s="8">
        <f>CHOOSE( CONTROL!$C$36, 16.9776, 16.976) * CHOOSE( CONTROL!$C$19, $D$11, 100%, $F$11)</f>
        <v>16.977599999999999</v>
      </c>
      <c r="H587" s="4">
        <f>CHOOSE( CONTROL!$C$36, 17.9217, 17.9201) * CHOOSE(CONTROL!$C$19, $D$11, 100%, $F$11)</f>
        <v>17.921700000000001</v>
      </c>
      <c r="I587" s="8">
        <f>CHOOSE( CONTROL!$C$36, 16.7754, 16.7738) * CHOOSE(CONTROL!$C$19, $D$11, 100%, $F$11)</f>
        <v>16.775400000000001</v>
      </c>
      <c r="J587" s="4">
        <f>CHOOSE( CONTROL!$C$36, 16.635, 16.6334) * CHOOSE(CONTROL!$C$19, $D$11, 100%, $F$11)</f>
        <v>16.635000000000002</v>
      </c>
      <c r="K587" s="4"/>
      <c r="L587" s="9">
        <v>30.7165</v>
      </c>
      <c r="M587" s="9">
        <v>12.063700000000001</v>
      </c>
      <c r="N587" s="9">
        <v>4.9444999999999997</v>
      </c>
      <c r="O587" s="9">
        <v>0.37409999999999999</v>
      </c>
      <c r="P587" s="9">
        <v>1.2927</v>
      </c>
      <c r="Q587" s="9">
        <v>19.688099999999999</v>
      </c>
      <c r="R587" s="9"/>
      <c r="S587" s="11"/>
    </row>
    <row r="588" spans="1:19" ht="15.75">
      <c r="A588" s="13">
        <v>59049</v>
      </c>
      <c r="B588" s="8">
        <f>CHOOSE( CONTROL!$C$36, 15.8385, 15.8369) * CHOOSE(CONTROL!$C$19, $D$11, 100%, $F$11)</f>
        <v>15.8385</v>
      </c>
      <c r="C588" s="8">
        <f>CHOOSE( CONTROL!$C$36, 15.8465, 15.8449) * CHOOSE(CONTROL!$C$19, $D$11, 100%, $F$11)</f>
        <v>15.846500000000001</v>
      </c>
      <c r="D588" s="8">
        <f>CHOOSE( CONTROL!$C$36, 15.8612, 15.8596) * CHOOSE( CONTROL!$C$19, $D$11, 100%, $F$11)</f>
        <v>15.8612</v>
      </c>
      <c r="E588" s="12">
        <f>CHOOSE( CONTROL!$C$36, 15.8547, 15.8531) * CHOOSE( CONTROL!$C$19, $D$11, 100%, $F$11)</f>
        <v>15.854699999999999</v>
      </c>
      <c r="F588" s="4">
        <f>CHOOSE( CONTROL!$C$36, 16.5716, 16.5699) * CHOOSE(CONTROL!$C$19, $D$11, 100%, $F$11)</f>
        <v>16.5716</v>
      </c>
      <c r="G588" s="8">
        <f>CHOOSE( CONTROL!$C$36, 15.6701, 15.6685) * CHOOSE( CONTROL!$C$19, $D$11, 100%, $F$11)</f>
        <v>15.6701</v>
      </c>
      <c r="H588" s="4">
        <f>CHOOSE( CONTROL!$C$36, 16.6142, 16.6126) * CHOOSE(CONTROL!$C$19, $D$11, 100%, $F$11)</f>
        <v>16.6142</v>
      </c>
      <c r="I588" s="8">
        <f>CHOOSE( CONTROL!$C$36, 15.4909, 15.4893) * CHOOSE(CONTROL!$C$19, $D$11, 100%, $F$11)</f>
        <v>15.4909</v>
      </c>
      <c r="J588" s="4">
        <f>CHOOSE( CONTROL!$C$36, 15.351, 15.3494) * CHOOSE(CONTROL!$C$19, $D$11, 100%, $F$11)</f>
        <v>15.351000000000001</v>
      </c>
      <c r="K588" s="4"/>
      <c r="L588" s="9">
        <v>30.7165</v>
      </c>
      <c r="M588" s="9">
        <v>12.063700000000001</v>
      </c>
      <c r="N588" s="9">
        <v>4.9444999999999997</v>
      </c>
      <c r="O588" s="9">
        <v>0.37409999999999999</v>
      </c>
      <c r="P588" s="9">
        <v>1.2927</v>
      </c>
      <c r="Q588" s="9">
        <v>19.688099999999999</v>
      </c>
      <c r="R588" s="9"/>
      <c r="S588" s="11"/>
    </row>
    <row r="589" spans="1:19" ht="15.75">
      <c r="A589" s="13">
        <v>59079</v>
      </c>
      <c r="B589" s="8">
        <f>CHOOSE( CONTROL!$C$36, 15.5065, 15.5048) * CHOOSE(CONTROL!$C$19, $D$11, 100%, $F$11)</f>
        <v>15.506500000000001</v>
      </c>
      <c r="C589" s="8">
        <f>CHOOSE( CONTROL!$C$36, 15.5145, 15.5128) * CHOOSE(CONTROL!$C$19, $D$11, 100%, $F$11)</f>
        <v>15.5145</v>
      </c>
      <c r="D589" s="8">
        <f>CHOOSE( CONTROL!$C$36, 15.5291, 15.5274) * CHOOSE( CONTROL!$C$19, $D$11, 100%, $F$11)</f>
        <v>15.5291</v>
      </c>
      <c r="E589" s="12">
        <f>CHOOSE( CONTROL!$C$36, 15.5226, 15.5209) * CHOOSE( CONTROL!$C$19, $D$11, 100%, $F$11)</f>
        <v>15.522600000000001</v>
      </c>
      <c r="F589" s="4">
        <f>CHOOSE( CONTROL!$C$36, 16.2395, 16.2378) * CHOOSE(CONTROL!$C$19, $D$11, 100%, $F$11)</f>
        <v>16.2395</v>
      </c>
      <c r="G589" s="8">
        <f>CHOOSE( CONTROL!$C$36, 15.3426, 15.341) * CHOOSE( CONTROL!$C$19, $D$11, 100%, $F$11)</f>
        <v>15.342599999999999</v>
      </c>
      <c r="H589" s="4">
        <f>CHOOSE( CONTROL!$C$36, 16.2868, 16.2852) * CHOOSE(CONTROL!$C$19, $D$11, 100%, $F$11)</f>
        <v>16.286799999999999</v>
      </c>
      <c r="I589" s="8">
        <f>CHOOSE( CONTROL!$C$36, 15.1689, 15.1673) * CHOOSE(CONTROL!$C$19, $D$11, 100%, $F$11)</f>
        <v>15.168900000000001</v>
      </c>
      <c r="J589" s="4">
        <f>CHOOSE( CONTROL!$C$36, 15.0295, 15.0279) * CHOOSE(CONTROL!$C$19, $D$11, 100%, $F$11)</f>
        <v>15.029500000000001</v>
      </c>
      <c r="K589" s="4"/>
      <c r="L589" s="9">
        <v>29.7257</v>
      </c>
      <c r="M589" s="9">
        <v>11.6745</v>
      </c>
      <c r="N589" s="9">
        <v>4.7850000000000001</v>
      </c>
      <c r="O589" s="9">
        <v>0.36199999999999999</v>
      </c>
      <c r="P589" s="9">
        <v>1.2509999999999999</v>
      </c>
      <c r="Q589" s="9">
        <v>19.053000000000001</v>
      </c>
      <c r="R589" s="9"/>
      <c r="S589" s="11"/>
    </row>
    <row r="590" spans="1:19" ht="15.75">
      <c r="A590" s="13">
        <v>59110</v>
      </c>
      <c r="B590" s="8">
        <f>CHOOSE( CONTROL!$C$36, 16.1936, 16.1925) * CHOOSE(CONTROL!$C$19, $D$11, 100%, $F$11)</f>
        <v>16.1936</v>
      </c>
      <c r="C590" s="8">
        <f>CHOOSE( CONTROL!$C$36, 16.199, 16.1979) * CHOOSE(CONTROL!$C$19, $D$11, 100%, $F$11)</f>
        <v>16.199000000000002</v>
      </c>
      <c r="D590" s="8">
        <f>CHOOSE( CONTROL!$C$36, 16.2195, 16.2184) * CHOOSE( CONTROL!$C$19, $D$11, 100%, $F$11)</f>
        <v>16.2195</v>
      </c>
      <c r="E590" s="12">
        <f>CHOOSE( CONTROL!$C$36, 16.2122, 16.2111) * CHOOSE( CONTROL!$C$19, $D$11, 100%, $F$11)</f>
        <v>16.212199999999999</v>
      </c>
      <c r="F590" s="4">
        <f>CHOOSE( CONTROL!$C$36, 16.9284, 16.9273) * CHOOSE(CONTROL!$C$19, $D$11, 100%, $F$11)</f>
        <v>16.9284</v>
      </c>
      <c r="G590" s="8">
        <f>CHOOSE( CONTROL!$C$36, 16.0221, 16.021) * CHOOSE( CONTROL!$C$19, $D$11, 100%, $F$11)</f>
        <v>16.022099999999998</v>
      </c>
      <c r="H590" s="4">
        <f>CHOOSE( CONTROL!$C$36, 16.9661, 16.965) * CHOOSE(CONTROL!$C$19, $D$11, 100%, $F$11)</f>
        <v>16.966100000000001</v>
      </c>
      <c r="I590" s="8">
        <f>CHOOSE( CONTROL!$C$36, 15.8373, 15.8363) * CHOOSE(CONTROL!$C$19, $D$11, 100%, $F$11)</f>
        <v>15.837300000000001</v>
      </c>
      <c r="J590" s="4">
        <f>CHOOSE( CONTROL!$C$36, 15.6966, 15.6955) * CHOOSE(CONTROL!$C$19, $D$11, 100%, $F$11)</f>
        <v>15.6966</v>
      </c>
      <c r="K590" s="4"/>
      <c r="L590" s="9">
        <v>31.095300000000002</v>
      </c>
      <c r="M590" s="9">
        <v>12.063700000000001</v>
      </c>
      <c r="N590" s="9">
        <v>4.9444999999999997</v>
      </c>
      <c r="O590" s="9">
        <v>0.37409999999999999</v>
      </c>
      <c r="P590" s="9">
        <v>1.2927</v>
      </c>
      <c r="Q590" s="9">
        <v>19.688099999999999</v>
      </c>
      <c r="R590" s="9"/>
      <c r="S590" s="11"/>
    </row>
    <row r="591" spans="1:19" ht="15.75">
      <c r="A591" s="13">
        <v>59140</v>
      </c>
      <c r="B591" s="8">
        <f>CHOOSE( CONTROL!$C$36, 17.4658, 17.4647) * CHOOSE(CONTROL!$C$19, $D$11, 100%, $F$11)</f>
        <v>17.465800000000002</v>
      </c>
      <c r="C591" s="8">
        <f>CHOOSE( CONTROL!$C$36, 17.4709, 17.4698) * CHOOSE(CONTROL!$C$19, $D$11, 100%, $F$11)</f>
        <v>17.4709</v>
      </c>
      <c r="D591" s="8">
        <f>CHOOSE( CONTROL!$C$36, 17.4501, 17.449) * CHOOSE( CONTROL!$C$19, $D$11, 100%, $F$11)</f>
        <v>17.450099999999999</v>
      </c>
      <c r="E591" s="12">
        <f>CHOOSE( CONTROL!$C$36, 17.4572, 17.4561) * CHOOSE( CONTROL!$C$19, $D$11, 100%, $F$11)</f>
        <v>17.4572</v>
      </c>
      <c r="F591" s="4">
        <f>CHOOSE( CONTROL!$C$36, 18.1251, 18.124) * CHOOSE(CONTROL!$C$19, $D$11, 100%, $F$11)</f>
        <v>18.1251</v>
      </c>
      <c r="G591" s="8">
        <f>CHOOSE( CONTROL!$C$36, 17.2569, 17.2558) * CHOOSE( CONTROL!$C$19, $D$11, 100%, $F$11)</f>
        <v>17.256900000000002</v>
      </c>
      <c r="H591" s="4">
        <f>CHOOSE( CONTROL!$C$36, 18.146, 18.145) * CHOOSE(CONTROL!$C$19, $D$11, 100%, $F$11)</f>
        <v>18.146000000000001</v>
      </c>
      <c r="I591" s="8">
        <f>CHOOSE( CONTROL!$C$36, 17.1193, 17.1182) * CHOOSE(CONTROL!$C$19, $D$11, 100%, $F$11)</f>
        <v>17.119299999999999</v>
      </c>
      <c r="J591" s="4">
        <f>CHOOSE( CONTROL!$C$36, 16.9288, 16.9277) * CHOOSE(CONTROL!$C$19, $D$11, 100%, $F$11)</f>
        <v>16.928799999999999</v>
      </c>
      <c r="K591" s="4"/>
      <c r="L591" s="9">
        <v>28.360600000000002</v>
      </c>
      <c r="M591" s="9">
        <v>11.6745</v>
      </c>
      <c r="N591" s="9">
        <v>4.7850000000000001</v>
      </c>
      <c r="O591" s="9">
        <v>0.36199999999999999</v>
      </c>
      <c r="P591" s="9">
        <v>1.2509999999999999</v>
      </c>
      <c r="Q591" s="9">
        <v>19.053000000000001</v>
      </c>
      <c r="R591" s="9"/>
      <c r="S591" s="11"/>
    </row>
    <row r="592" spans="1:19" ht="15.75">
      <c r="A592" s="13">
        <v>59171</v>
      </c>
      <c r="B592" s="8">
        <f>CHOOSE( CONTROL!$C$36, 17.434, 17.4329) * CHOOSE(CONTROL!$C$19, $D$11, 100%, $F$11)</f>
        <v>17.434000000000001</v>
      </c>
      <c r="C592" s="8">
        <f>CHOOSE( CONTROL!$C$36, 17.4391, 17.438) * CHOOSE(CONTROL!$C$19, $D$11, 100%, $F$11)</f>
        <v>17.4391</v>
      </c>
      <c r="D592" s="8">
        <f>CHOOSE( CONTROL!$C$36, 17.4197, 17.4186) * CHOOSE( CONTROL!$C$19, $D$11, 100%, $F$11)</f>
        <v>17.419699999999999</v>
      </c>
      <c r="E592" s="12">
        <f>CHOOSE( CONTROL!$C$36, 17.4263, 17.4252) * CHOOSE( CONTROL!$C$19, $D$11, 100%, $F$11)</f>
        <v>17.426300000000001</v>
      </c>
      <c r="F592" s="4">
        <f>CHOOSE( CONTROL!$C$36, 18.0933, 18.0922) * CHOOSE(CONTROL!$C$19, $D$11, 100%, $F$11)</f>
        <v>18.093299999999999</v>
      </c>
      <c r="G592" s="8">
        <f>CHOOSE( CONTROL!$C$36, 17.2265, 17.2254) * CHOOSE( CONTROL!$C$19, $D$11, 100%, $F$11)</f>
        <v>17.226500000000001</v>
      </c>
      <c r="H592" s="4">
        <f>CHOOSE( CONTROL!$C$36, 18.1147, 18.1136) * CHOOSE(CONTROL!$C$19, $D$11, 100%, $F$11)</f>
        <v>18.114699999999999</v>
      </c>
      <c r="I592" s="8">
        <f>CHOOSE( CONTROL!$C$36, 17.0928, 17.0917) * CHOOSE(CONTROL!$C$19, $D$11, 100%, $F$11)</f>
        <v>17.0928</v>
      </c>
      <c r="J592" s="4">
        <f>CHOOSE( CONTROL!$C$36, 16.898, 16.897) * CHOOSE(CONTROL!$C$19, $D$11, 100%, $F$11)</f>
        <v>16.898</v>
      </c>
      <c r="K592" s="4"/>
      <c r="L592" s="9">
        <v>29.306000000000001</v>
      </c>
      <c r="M592" s="9">
        <v>12.063700000000001</v>
      </c>
      <c r="N592" s="9">
        <v>4.9444999999999997</v>
      </c>
      <c r="O592" s="9">
        <v>0.37409999999999999</v>
      </c>
      <c r="P592" s="9">
        <v>1.2927</v>
      </c>
      <c r="Q592" s="9">
        <v>19.688099999999999</v>
      </c>
      <c r="R592" s="9"/>
      <c r="S592" s="11"/>
    </row>
    <row r="593" spans="1:19" ht="15.75">
      <c r="A593" s="13">
        <v>59202</v>
      </c>
      <c r="B593" s="8">
        <f>CHOOSE( CONTROL!$C$36, 17.9487, 17.9476) * CHOOSE(CONTROL!$C$19, $D$11, 100%, $F$11)</f>
        <v>17.948699999999999</v>
      </c>
      <c r="C593" s="8">
        <f>CHOOSE( CONTROL!$C$36, 17.9538, 17.9527) * CHOOSE(CONTROL!$C$19, $D$11, 100%, $F$11)</f>
        <v>17.953800000000001</v>
      </c>
      <c r="D593" s="8">
        <f>CHOOSE( CONTROL!$C$36, 17.9551, 17.954) * CHOOSE( CONTROL!$C$19, $D$11, 100%, $F$11)</f>
        <v>17.955100000000002</v>
      </c>
      <c r="E593" s="12">
        <f>CHOOSE( CONTROL!$C$36, 17.9541, 17.953) * CHOOSE( CONTROL!$C$19, $D$11, 100%, $F$11)</f>
        <v>17.9541</v>
      </c>
      <c r="F593" s="4">
        <f>CHOOSE( CONTROL!$C$36, 18.608, 18.6069) * CHOOSE(CONTROL!$C$19, $D$11, 100%, $F$11)</f>
        <v>18.608000000000001</v>
      </c>
      <c r="G593" s="8">
        <f>CHOOSE( CONTROL!$C$36, 17.7451, 17.744) * CHOOSE( CONTROL!$C$19, $D$11, 100%, $F$11)</f>
        <v>17.745100000000001</v>
      </c>
      <c r="H593" s="4">
        <f>CHOOSE( CONTROL!$C$36, 18.6222, 18.6212) * CHOOSE(CONTROL!$C$19, $D$11, 100%, $F$11)</f>
        <v>18.622199999999999</v>
      </c>
      <c r="I593" s="8">
        <f>CHOOSE( CONTROL!$C$36, 17.5689, 17.5679) * CHOOSE(CONTROL!$C$19, $D$11, 100%, $F$11)</f>
        <v>17.568899999999999</v>
      </c>
      <c r="J593" s="4">
        <f>CHOOSE( CONTROL!$C$36, 17.3964, 17.3954) * CHOOSE(CONTROL!$C$19, $D$11, 100%, $F$11)</f>
        <v>17.3964</v>
      </c>
      <c r="K593" s="4"/>
      <c r="L593" s="9">
        <v>29.306000000000001</v>
      </c>
      <c r="M593" s="9">
        <v>12.063700000000001</v>
      </c>
      <c r="N593" s="9">
        <v>4.9444999999999997</v>
      </c>
      <c r="O593" s="9">
        <v>0.37409999999999999</v>
      </c>
      <c r="P593" s="9">
        <v>1.2927</v>
      </c>
      <c r="Q593" s="9">
        <v>19.688099999999999</v>
      </c>
      <c r="R593" s="9"/>
      <c r="S593" s="11"/>
    </row>
    <row r="594" spans="1:19" ht="15.75">
      <c r="A594" s="13">
        <v>59230</v>
      </c>
      <c r="B594" s="8">
        <f>CHOOSE( CONTROL!$C$36, 16.7873, 16.7862) * CHOOSE(CONTROL!$C$19, $D$11, 100%, $F$11)</f>
        <v>16.787299999999998</v>
      </c>
      <c r="C594" s="8">
        <f>CHOOSE( CONTROL!$C$36, 16.7924, 16.7913) * CHOOSE(CONTROL!$C$19, $D$11, 100%, $F$11)</f>
        <v>16.792400000000001</v>
      </c>
      <c r="D594" s="8">
        <f>CHOOSE( CONTROL!$C$36, 16.7936, 16.7925) * CHOOSE( CONTROL!$C$19, $D$11, 100%, $F$11)</f>
        <v>16.793600000000001</v>
      </c>
      <c r="E594" s="12">
        <f>CHOOSE( CONTROL!$C$36, 16.7926, 16.7915) * CHOOSE( CONTROL!$C$19, $D$11, 100%, $F$11)</f>
        <v>16.7926</v>
      </c>
      <c r="F594" s="4">
        <f>CHOOSE( CONTROL!$C$36, 17.4466, 17.4455) * CHOOSE(CONTROL!$C$19, $D$11, 100%, $F$11)</f>
        <v>17.4466</v>
      </c>
      <c r="G594" s="8">
        <f>CHOOSE( CONTROL!$C$36, 16.5998, 16.5988) * CHOOSE( CONTROL!$C$19, $D$11, 100%, $F$11)</f>
        <v>16.599799999999998</v>
      </c>
      <c r="H594" s="4">
        <f>CHOOSE( CONTROL!$C$36, 17.477, 17.476) * CHOOSE(CONTROL!$C$19, $D$11, 100%, $F$11)</f>
        <v>17.477</v>
      </c>
      <c r="I594" s="8">
        <f>CHOOSE( CONTROL!$C$36, 16.4434, 16.4423) * CHOOSE(CONTROL!$C$19, $D$11, 100%, $F$11)</f>
        <v>16.4434</v>
      </c>
      <c r="J594" s="4">
        <f>CHOOSE( CONTROL!$C$36, 16.2718, 16.2708) * CHOOSE(CONTROL!$C$19, $D$11, 100%, $F$11)</f>
        <v>16.271799999999999</v>
      </c>
      <c r="K594" s="4"/>
      <c r="L594" s="9">
        <v>26.469899999999999</v>
      </c>
      <c r="M594" s="9">
        <v>10.8962</v>
      </c>
      <c r="N594" s="9">
        <v>4.4660000000000002</v>
      </c>
      <c r="O594" s="9">
        <v>0.33789999999999998</v>
      </c>
      <c r="P594" s="9">
        <v>1.1676</v>
      </c>
      <c r="Q594" s="9">
        <v>17.782800000000002</v>
      </c>
      <c r="R594" s="9"/>
      <c r="S594" s="11"/>
    </row>
    <row r="595" spans="1:19" ht="15.75">
      <c r="A595" s="13">
        <v>59261</v>
      </c>
      <c r="B595" s="8">
        <f>CHOOSE( CONTROL!$C$36, 16.4296, 16.4285) * CHOOSE(CONTROL!$C$19, $D$11, 100%, $F$11)</f>
        <v>16.429600000000001</v>
      </c>
      <c r="C595" s="8">
        <f>CHOOSE( CONTROL!$C$36, 16.4347, 16.4336) * CHOOSE(CONTROL!$C$19, $D$11, 100%, $F$11)</f>
        <v>16.434699999999999</v>
      </c>
      <c r="D595" s="8">
        <f>CHOOSE( CONTROL!$C$36, 16.4352, 16.4342) * CHOOSE( CONTROL!$C$19, $D$11, 100%, $F$11)</f>
        <v>16.435199999999998</v>
      </c>
      <c r="E595" s="12">
        <f>CHOOSE( CONTROL!$C$36, 16.4345, 16.4334) * CHOOSE( CONTROL!$C$19, $D$11, 100%, $F$11)</f>
        <v>16.4345</v>
      </c>
      <c r="F595" s="4">
        <f>CHOOSE( CONTROL!$C$36, 17.0889, 17.0878) * CHOOSE(CONTROL!$C$19, $D$11, 100%, $F$11)</f>
        <v>17.088899999999999</v>
      </c>
      <c r="G595" s="8">
        <f>CHOOSE( CONTROL!$C$36, 16.2466, 16.2456) * CHOOSE( CONTROL!$C$19, $D$11, 100%, $F$11)</f>
        <v>16.246600000000001</v>
      </c>
      <c r="H595" s="4">
        <f>CHOOSE( CONTROL!$C$36, 17.1243, 17.1232) * CHOOSE(CONTROL!$C$19, $D$11, 100%, $F$11)</f>
        <v>17.124300000000002</v>
      </c>
      <c r="I595" s="8">
        <f>CHOOSE( CONTROL!$C$36, 16.0949, 16.0938) * CHOOSE(CONTROL!$C$19, $D$11, 100%, $F$11)</f>
        <v>16.094899999999999</v>
      </c>
      <c r="J595" s="4">
        <f>CHOOSE( CONTROL!$C$36, 15.9255, 15.9244) * CHOOSE(CONTROL!$C$19, $D$11, 100%, $F$11)</f>
        <v>15.9255</v>
      </c>
      <c r="K595" s="4"/>
      <c r="L595" s="9">
        <v>29.306000000000001</v>
      </c>
      <c r="M595" s="9">
        <v>12.063700000000001</v>
      </c>
      <c r="N595" s="9">
        <v>4.9444999999999997</v>
      </c>
      <c r="O595" s="9">
        <v>0.37409999999999999</v>
      </c>
      <c r="P595" s="9">
        <v>1.2927</v>
      </c>
      <c r="Q595" s="9">
        <v>19.688099999999999</v>
      </c>
      <c r="R595" s="9"/>
      <c r="S595" s="11"/>
    </row>
    <row r="596" spans="1:19" ht="15.75">
      <c r="A596" s="13">
        <v>59291</v>
      </c>
      <c r="B596" s="8">
        <f>CHOOSE( CONTROL!$C$36, 16.6803, 16.6793) * CHOOSE(CONTROL!$C$19, $D$11, 100%, $F$11)</f>
        <v>16.680299999999999</v>
      </c>
      <c r="C596" s="8">
        <f>CHOOSE( CONTROL!$C$36, 16.6849, 16.6838) * CHOOSE(CONTROL!$C$19, $D$11, 100%, $F$11)</f>
        <v>16.684899999999999</v>
      </c>
      <c r="D596" s="8">
        <f>CHOOSE( CONTROL!$C$36, 16.7053, 16.7042) * CHOOSE( CONTROL!$C$19, $D$11, 100%, $F$11)</f>
        <v>16.705300000000001</v>
      </c>
      <c r="E596" s="12">
        <f>CHOOSE( CONTROL!$C$36, 16.698, 16.6969) * CHOOSE( CONTROL!$C$19, $D$11, 100%, $F$11)</f>
        <v>16.698</v>
      </c>
      <c r="F596" s="4">
        <f>CHOOSE( CONTROL!$C$36, 17.4147, 17.4137) * CHOOSE(CONTROL!$C$19, $D$11, 100%, $F$11)</f>
        <v>17.4147</v>
      </c>
      <c r="G596" s="8">
        <f>CHOOSE( CONTROL!$C$36, 16.5012, 16.5002) * CHOOSE( CONTROL!$C$19, $D$11, 100%, $F$11)</f>
        <v>16.501200000000001</v>
      </c>
      <c r="H596" s="4">
        <f>CHOOSE( CONTROL!$C$36, 17.4456, 17.4446) * CHOOSE(CONTROL!$C$19, $D$11, 100%, $F$11)</f>
        <v>17.445599999999999</v>
      </c>
      <c r="I596" s="8">
        <f>CHOOSE( CONTROL!$C$36, 16.3065, 16.3055) * CHOOSE(CONTROL!$C$19, $D$11, 100%, $F$11)</f>
        <v>16.3065</v>
      </c>
      <c r="J596" s="4">
        <f>CHOOSE( CONTROL!$C$36, 16.1675, 16.1664) * CHOOSE(CONTROL!$C$19, $D$11, 100%, $F$11)</f>
        <v>16.1675</v>
      </c>
      <c r="K596" s="4"/>
      <c r="L596" s="9">
        <v>30.092199999999998</v>
      </c>
      <c r="M596" s="9">
        <v>11.6745</v>
      </c>
      <c r="N596" s="9">
        <v>4.7850000000000001</v>
      </c>
      <c r="O596" s="9">
        <v>0.36199999999999999</v>
      </c>
      <c r="P596" s="9">
        <v>1.2509999999999999</v>
      </c>
      <c r="Q596" s="9">
        <v>19.053000000000001</v>
      </c>
      <c r="R596" s="9"/>
      <c r="S596" s="11"/>
    </row>
    <row r="597" spans="1:19" ht="15.75">
      <c r="A597" s="13">
        <v>59322</v>
      </c>
      <c r="B597" s="8">
        <f>CHOOSE( CONTROL!$C$36, 17.1272, 17.1255) * CHOOSE(CONTROL!$C$19, $D$11, 100%, $F$11)</f>
        <v>17.127199999999998</v>
      </c>
      <c r="C597" s="8">
        <f>CHOOSE( CONTROL!$C$36, 17.1352, 17.1335) * CHOOSE(CONTROL!$C$19, $D$11, 100%, $F$11)</f>
        <v>17.135200000000001</v>
      </c>
      <c r="D597" s="8">
        <f>CHOOSE( CONTROL!$C$36, 17.1493, 17.1477) * CHOOSE( CONTROL!$C$19, $D$11, 100%, $F$11)</f>
        <v>17.1493</v>
      </c>
      <c r="E597" s="12">
        <f>CHOOSE( CONTROL!$C$36, 17.143, 17.1413) * CHOOSE( CONTROL!$C$19, $D$11, 100%, $F$11)</f>
        <v>17.143000000000001</v>
      </c>
      <c r="F597" s="4">
        <f>CHOOSE( CONTROL!$C$36, 17.8602, 17.8585) * CHOOSE(CONTROL!$C$19, $D$11, 100%, $F$11)</f>
        <v>17.860199999999999</v>
      </c>
      <c r="G597" s="8">
        <f>CHOOSE( CONTROL!$C$36, 16.9404, 16.9388) * CHOOSE( CONTROL!$C$19, $D$11, 100%, $F$11)</f>
        <v>16.9404</v>
      </c>
      <c r="H597" s="4">
        <f>CHOOSE( CONTROL!$C$36, 17.8849, 17.8832) * CHOOSE(CONTROL!$C$19, $D$11, 100%, $F$11)</f>
        <v>17.884899999999998</v>
      </c>
      <c r="I597" s="8">
        <f>CHOOSE( CONTROL!$C$36, 16.7376, 16.736) * CHOOSE(CONTROL!$C$19, $D$11, 100%, $F$11)</f>
        <v>16.7376</v>
      </c>
      <c r="J597" s="4">
        <f>CHOOSE( CONTROL!$C$36, 16.5988, 16.5972) * CHOOSE(CONTROL!$C$19, $D$11, 100%, $F$11)</f>
        <v>16.598800000000001</v>
      </c>
      <c r="K597" s="4"/>
      <c r="L597" s="9">
        <v>30.7165</v>
      </c>
      <c r="M597" s="9">
        <v>12.063700000000001</v>
      </c>
      <c r="N597" s="9">
        <v>4.9444999999999997</v>
      </c>
      <c r="O597" s="9">
        <v>0.37409999999999999</v>
      </c>
      <c r="P597" s="9">
        <v>1.2927</v>
      </c>
      <c r="Q597" s="9">
        <v>19.688099999999999</v>
      </c>
      <c r="R597" s="9"/>
      <c r="S597" s="11"/>
    </row>
    <row r="598" spans="1:19" ht="15.75">
      <c r="A598" s="13">
        <v>59352</v>
      </c>
      <c r="B598" s="8">
        <f>CHOOSE( CONTROL!$C$36, 16.8516, 16.8499) * CHOOSE(CONTROL!$C$19, $D$11, 100%, $F$11)</f>
        <v>16.851600000000001</v>
      </c>
      <c r="C598" s="8">
        <f>CHOOSE( CONTROL!$C$36, 16.8596, 16.8579) * CHOOSE(CONTROL!$C$19, $D$11, 100%, $F$11)</f>
        <v>16.8596</v>
      </c>
      <c r="D598" s="8">
        <f>CHOOSE( CONTROL!$C$36, 16.874, 16.8723) * CHOOSE( CONTROL!$C$19, $D$11, 100%, $F$11)</f>
        <v>16.873999999999999</v>
      </c>
      <c r="E598" s="12">
        <f>CHOOSE( CONTROL!$C$36, 16.8676, 16.8659) * CHOOSE( CONTROL!$C$19, $D$11, 100%, $F$11)</f>
        <v>16.867599999999999</v>
      </c>
      <c r="F598" s="4">
        <f>CHOOSE( CONTROL!$C$36, 17.5846, 17.5829) * CHOOSE(CONTROL!$C$19, $D$11, 100%, $F$11)</f>
        <v>17.584599999999998</v>
      </c>
      <c r="G598" s="8">
        <f>CHOOSE( CONTROL!$C$36, 16.6688, 16.6672) * CHOOSE( CONTROL!$C$19, $D$11, 100%, $F$11)</f>
        <v>16.668800000000001</v>
      </c>
      <c r="H598" s="4">
        <f>CHOOSE( CONTROL!$C$36, 17.6131, 17.6115) * CHOOSE(CONTROL!$C$19, $D$11, 100%, $F$11)</f>
        <v>17.613099999999999</v>
      </c>
      <c r="I598" s="8">
        <f>CHOOSE( CONTROL!$C$36, 16.4713, 16.4697) * CHOOSE(CONTROL!$C$19, $D$11, 100%, $F$11)</f>
        <v>16.471299999999999</v>
      </c>
      <c r="J598" s="4">
        <f>CHOOSE( CONTROL!$C$36, 16.332, 16.3304) * CHOOSE(CONTROL!$C$19, $D$11, 100%, $F$11)</f>
        <v>16.332000000000001</v>
      </c>
      <c r="K598" s="4"/>
      <c r="L598" s="9">
        <v>29.7257</v>
      </c>
      <c r="M598" s="9">
        <v>11.6745</v>
      </c>
      <c r="N598" s="9">
        <v>4.7850000000000001</v>
      </c>
      <c r="O598" s="9">
        <v>0.36199999999999999</v>
      </c>
      <c r="P598" s="9">
        <v>1.2509999999999999</v>
      </c>
      <c r="Q598" s="9">
        <v>19.053000000000001</v>
      </c>
      <c r="R598" s="9"/>
      <c r="S598" s="11"/>
    </row>
    <row r="599" spans="1:19" ht="15.75">
      <c r="A599" s="13">
        <v>59383</v>
      </c>
      <c r="B599" s="8">
        <f>CHOOSE( CONTROL!$C$36, 17.5773, 17.5756) * CHOOSE(CONTROL!$C$19, $D$11, 100%, $F$11)</f>
        <v>17.577300000000001</v>
      </c>
      <c r="C599" s="8">
        <f>CHOOSE( CONTROL!$C$36, 17.5853, 17.5836) * CHOOSE(CONTROL!$C$19, $D$11, 100%, $F$11)</f>
        <v>17.5853</v>
      </c>
      <c r="D599" s="8">
        <f>CHOOSE( CONTROL!$C$36, 17.5999, 17.5982) * CHOOSE( CONTROL!$C$19, $D$11, 100%, $F$11)</f>
        <v>17.599900000000002</v>
      </c>
      <c r="E599" s="12">
        <f>CHOOSE( CONTROL!$C$36, 17.5934, 17.5917) * CHOOSE( CONTROL!$C$19, $D$11, 100%, $F$11)</f>
        <v>17.593399999999999</v>
      </c>
      <c r="F599" s="4">
        <f>CHOOSE( CONTROL!$C$36, 18.3103, 18.3086) * CHOOSE(CONTROL!$C$19, $D$11, 100%, $F$11)</f>
        <v>18.310300000000002</v>
      </c>
      <c r="G599" s="8">
        <f>CHOOSE( CONTROL!$C$36, 17.3846, 17.3829) * CHOOSE( CONTROL!$C$19, $D$11, 100%, $F$11)</f>
        <v>17.384599999999999</v>
      </c>
      <c r="H599" s="4">
        <f>CHOOSE( CONTROL!$C$36, 18.3287, 18.3271) * CHOOSE(CONTROL!$C$19, $D$11, 100%, $F$11)</f>
        <v>18.328700000000001</v>
      </c>
      <c r="I599" s="8">
        <f>CHOOSE( CONTROL!$C$36, 17.1752, 17.1736) * CHOOSE(CONTROL!$C$19, $D$11, 100%, $F$11)</f>
        <v>17.1752</v>
      </c>
      <c r="J599" s="4">
        <f>CHOOSE( CONTROL!$C$36, 17.0347, 17.0331) * CHOOSE(CONTROL!$C$19, $D$11, 100%, $F$11)</f>
        <v>17.034700000000001</v>
      </c>
      <c r="K599" s="4"/>
      <c r="L599" s="9">
        <v>30.7165</v>
      </c>
      <c r="M599" s="9">
        <v>12.063700000000001</v>
      </c>
      <c r="N599" s="9">
        <v>4.9444999999999997</v>
      </c>
      <c r="O599" s="9">
        <v>0.37409999999999999</v>
      </c>
      <c r="P599" s="9">
        <v>1.2927</v>
      </c>
      <c r="Q599" s="9">
        <v>19.688099999999999</v>
      </c>
      <c r="R599" s="9"/>
      <c r="S599" s="11"/>
    </row>
    <row r="600" spans="1:19" ht="15.75">
      <c r="A600" s="13">
        <v>59414</v>
      </c>
      <c r="B600" s="8">
        <f>CHOOSE( CONTROL!$C$36, 16.2194, 16.2177) * CHOOSE(CONTROL!$C$19, $D$11, 100%, $F$11)</f>
        <v>16.2194</v>
      </c>
      <c r="C600" s="8">
        <f>CHOOSE( CONTROL!$C$36, 16.2274, 16.2257) * CHOOSE(CONTROL!$C$19, $D$11, 100%, $F$11)</f>
        <v>16.227399999999999</v>
      </c>
      <c r="D600" s="8">
        <f>CHOOSE( CONTROL!$C$36, 16.2421, 16.2404) * CHOOSE( CONTROL!$C$19, $D$11, 100%, $F$11)</f>
        <v>16.242100000000001</v>
      </c>
      <c r="E600" s="12">
        <f>CHOOSE( CONTROL!$C$36, 16.2356, 16.2339) * CHOOSE( CONTROL!$C$19, $D$11, 100%, $F$11)</f>
        <v>16.235600000000002</v>
      </c>
      <c r="F600" s="4">
        <f>CHOOSE( CONTROL!$C$36, 16.9524, 16.9508) * CHOOSE(CONTROL!$C$19, $D$11, 100%, $F$11)</f>
        <v>16.952400000000001</v>
      </c>
      <c r="G600" s="8">
        <f>CHOOSE( CONTROL!$C$36, 16.0457, 16.0441) * CHOOSE( CONTROL!$C$19, $D$11, 100%, $F$11)</f>
        <v>16.0457</v>
      </c>
      <c r="H600" s="4">
        <f>CHOOSE( CONTROL!$C$36, 16.9898, 16.9881) * CHOOSE(CONTROL!$C$19, $D$11, 100%, $F$11)</f>
        <v>16.989799999999999</v>
      </c>
      <c r="I600" s="8">
        <f>CHOOSE( CONTROL!$C$36, 15.8599, 15.8583) * CHOOSE(CONTROL!$C$19, $D$11, 100%, $F$11)</f>
        <v>15.8599</v>
      </c>
      <c r="J600" s="4">
        <f>CHOOSE( CONTROL!$C$36, 15.7198, 15.7182) * CHOOSE(CONTROL!$C$19, $D$11, 100%, $F$11)</f>
        <v>15.719799999999999</v>
      </c>
      <c r="K600" s="4"/>
      <c r="L600" s="9">
        <v>30.7165</v>
      </c>
      <c r="M600" s="9">
        <v>12.063700000000001</v>
      </c>
      <c r="N600" s="9">
        <v>4.9444999999999997</v>
      </c>
      <c r="O600" s="9">
        <v>0.37409999999999999</v>
      </c>
      <c r="P600" s="9">
        <v>1.2927</v>
      </c>
      <c r="Q600" s="9">
        <v>19.688099999999999</v>
      </c>
      <c r="R600" s="9"/>
      <c r="S600" s="11"/>
    </row>
    <row r="601" spans="1:19" ht="15.75">
      <c r="A601" s="13">
        <v>59444</v>
      </c>
      <c r="B601" s="8">
        <f>CHOOSE( CONTROL!$C$36, 15.8794, 15.8777) * CHOOSE(CONTROL!$C$19, $D$11, 100%, $F$11)</f>
        <v>15.8794</v>
      </c>
      <c r="C601" s="8">
        <f>CHOOSE( CONTROL!$C$36, 15.8874, 15.8857) * CHOOSE(CONTROL!$C$19, $D$11, 100%, $F$11)</f>
        <v>15.8874</v>
      </c>
      <c r="D601" s="8">
        <f>CHOOSE( CONTROL!$C$36, 15.902, 15.9003) * CHOOSE( CONTROL!$C$19, $D$11, 100%, $F$11)</f>
        <v>15.901999999999999</v>
      </c>
      <c r="E601" s="12">
        <f>CHOOSE( CONTROL!$C$36, 15.8955, 15.8938) * CHOOSE( CONTROL!$C$19, $D$11, 100%, $F$11)</f>
        <v>15.8955</v>
      </c>
      <c r="F601" s="4">
        <f>CHOOSE( CONTROL!$C$36, 16.6124, 16.6107) * CHOOSE(CONTROL!$C$19, $D$11, 100%, $F$11)</f>
        <v>16.612400000000001</v>
      </c>
      <c r="G601" s="8">
        <f>CHOOSE( CONTROL!$C$36, 15.7103, 15.7087) * CHOOSE( CONTROL!$C$19, $D$11, 100%, $F$11)</f>
        <v>15.7103</v>
      </c>
      <c r="H601" s="4">
        <f>CHOOSE( CONTROL!$C$36, 16.6545, 16.6529) * CHOOSE(CONTROL!$C$19, $D$11, 100%, $F$11)</f>
        <v>16.654499999999999</v>
      </c>
      <c r="I601" s="8">
        <f>CHOOSE( CONTROL!$C$36, 15.5302, 15.5286) * CHOOSE(CONTROL!$C$19, $D$11, 100%, $F$11)</f>
        <v>15.530200000000001</v>
      </c>
      <c r="J601" s="4">
        <f>CHOOSE( CONTROL!$C$36, 15.3906, 15.389) * CHOOSE(CONTROL!$C$19, $D$11, 100%, $F$11)</f>
        <v>15.390599999999999</v>
      </c>
      <c r="K601" s="4"/>
      <c r="L601" s="9">
        <v>29.7257</v>
      </c>
      <c r="M601" s="9">
        <v>11.6745</v>
      </c>
      <c r="N601" s="9">
        <v>4.7850000000000001</v>
      </c>
      <c r="O601" s="9">
        <v>0.36199999999999999</v>
      </c>
      <c r="P601" s="9">
        <v>1.2509999999999999</v>
      </c>
      <c r="Q601" s="9">
        <v>19.053000000000001</v>
      </c>
      <c r="R601" s="9"/>
      <c r="S601" s="11"/>
    </row>
    <row r="602" spans="1:19" ht="15.75">
      <c r="A602" s="13">
        <v>59475</v>
      </c>
      <c r="B602" s="8">
        <f>CHOOSE( CONTROL!$C$36, 16.5831, 16.582) * CHOOSE(CONTROL!$C$19, $D$11, 100%, $F$11)</f>
        <v>16.583100000000002</v>
      </c>
      <c r="C602" s="8">
        <f>CHOOSE( CONTROL!$C$36, 16.5884, 16.5874) * CHOOSE(CONTROL!$C$19, $D$11, 100%, $F$11)</f>
        <v>16.5884</v>
      </c>
      <c r="D602" s="8">
        <f>CHOOSE( CONTROL!$C$36, 16.6089, 16.6078) * CHOOSE( CONTROL!$C$19, $D$11, 100%, $F$11)</f>
        <v>16.608899999999998</v>
      </c>
      <c r="E602" s="12">
        <f>CHOOSE( CONTROL!$C$36, 16.6016, 16.6005) * CHOOSE( CONTROL!$C$19, $D$11, 100%, $F$11)</f>
        <v>16.601600000000001</v>
      </c>
      <c r="F602" s="4">
        <f>CHOOSE( CONTROL!$C$36, 17.3178, 17.3168) * CHOOSE(CONTROL!$C$19, $D$11, 100%, $F$11)</f>
        <v>17.317799999999998</v>
      </c>
      <c r="G602" s="8">
        <f>CHOOSE( CONTROL!$C$36, 16.4061, 16.4051) * CHOOSE( CONTROL!$C$19, $D$11, 100%, $F$11)</f>
        <v>16.406099999999999</v>
      </c>
      <c r="H602" s="4">
        <f>CHOOSE( CONTROL!$C$36, 17.3501, 17.349) * CHOOSE(CONTROL!$C$19, $D$11, 100%, $F$11)</f>
        <v>17.350100000000001</v>
      </c>
      <c r="I602" s="8">
        <f>CHOOSE( CONTROL!$C$36, 16.2146, 16.2136) * CHOOSE(CONTROL!$C$19, $D$11, 100%, $F$11)</f>
        <v>16.214600000000001</v>
      </c>
      <c r="J602" s="4">
        <f>CHOOSE( CONTROL!$C$36, 16.0737, 16.0726) * CHOOSE(CONTROL!$C$19, $D$11, 100%, $F$11)</f>
        <v>16.073699999999999</v>
      </c>
      <c r="K602" s="4"/>
      <c r="L602" s="9">
        <v>31.095300000000002</v>
      </c>
      <c r="M602" s="9">
        <v>12.063700000000001</v>
      </c>
      <c r="N602" s="9">
        <v>4.9444999999999997</v>
      </c>
      <c r="O602" s="9">
        <v>0.37409999999999999</v>
      </c>
      <c r="P602" s="9">
        <v>1.2927</v>
      </c>
      <c r="Q602" s="9">
        <v>19.688099999999999</v>
      </c>
      <c r="R602" s="9"/>
      <c r="S602" s="11"/>
    </row>
    <row r="603" spans="1:19" ht="15.75">
      <c r="A603" s="13">
        <v>59505</v>
      </c>
      <c r="B603" s="8">
        <f>CHOOSE( CONTROL!$C$36, 17.8858, 17.8848) * CHOOSE(CONTROL!$C$19, $D$11, 100%, $F$11)</f>
        <v>17.8858</v>
      </c>
      <c r="C603" s="8">
        <f>CHOOSE( CONTROL!$C$36, 17.8909, 17.8899) * CHOOSE(CONTROL!$C$19, $D$11, 100%, $F$11)</f>
        <v>17.890899999999998</v>
      </c>
      <c r="D603" s="8">
        <f>CHOOSE( CONTROL!$C$36, 17.8702, 17.8691) * CHOOSE( CONTROL!$C$19, $D$11, 100%, $F$11)</f>
        <v>17.870200000000001</v>
      </c>
      <c r="E603" s="12">
        <f>CHOOSE( CONTROL!$C$36, 17.8772, 17.8762) * CHOOSE( CONTROL!$C$19, $D$11, 100%, $F$11)</f>
        <v>17.877199999999998</v>
      </c>
      <c r="F603" s="4">
        <f>CHOOSE( CONTROL!$C$36, 18.5451, 18.544) * CHOOSE(CONTROL!$C$19, $D$11, 100%, $F$11)</f>
        <v>18.545100000000001</v>
      </c>
      <c r="G603" s="8">
        <f>CHOOSE( CONTROL!$C$36, 17.6711, 17.67) * CHOOSE( CONTROL!$C$19, $D$11, 100%, $F$11)</f>
        <v>17.671099999999999</v>
      </c>
      <c r="H603" s="4">
        <f>CHOOSE( CONTROL!$C$36, 18.5602, 18.5591) * CHOOSE(CONTROL!$C$19, $D$11, 100%, $F$11)</f>
        <v>18.560199999999998</v>
      </c>
      <c r="I603" s="8">
        <f>CHOOSE( CONTROL!$C$36, 17.5262, 17.5252) * CHOOSE(CONTROL!$C$19, $D$11, 100%, $F$11)</f>
        <v>17.526199999999999</v>
      </c>
      <c r="J603" s="4">
        <f>CHOOSE( CONTROL!$C$36, 17.3355, 17.3345) * CHOOSE(CONTROL!$C$19, $D$11, 100%, $F$11)</f>
        <v>17.3355</v>
      </c>
      <c r="K603" s="4"/>
      <c r="L603" s="9">
        <v>28.360600000000002</v>
      </c>
      <c r="M603" s="9">
        <v>11.6745</v>
      </c>
      <c r="N603" s="9">
        <v>4.7850000000000001</v>
      </c>
      <c r="O603" s="9">
        <v>0.36199999999999999</v>
      </c>
      <c r="P603" s="9">
        <v>1.2509999999999999</v>
      </c>
      <c r="Q603" s="9">
        <v>19.053000000000001</v>
      </c>
      <c r="R603" s="9"/>
      <c r="S603" s="11"/>
    </row>
    <row r="604" spans="1:19" ht="15.75">
      <c r="A604" s="13">
        <v>59536</v>
      </c>
      <c r="B604" s="8">
        <f>CHOOSE( CONTROL!$C$36, 17.8533, 17.8522) * CHOOSE(CONTROL!$C$19, $D$11, 100%, $F$11)</f>
        <v>17.853300000000001</v>
      </c>
      <c r="C604" s="8">
        <f>CHOOSE( CONTROL!$C$36, 17.8584, 17.8573) * CHOOSE(CONTROL!$C$19, $D$11, 100%, $F$11)</f>
        <v>17.8584</v>
      </c>
      <c r="D604" s="8">
        <f>CHOOSE( CONTROL!$C$36, 17.839, 17.8379) * CHOOSE( CONTROL!$C$19, $D$11, 100%, $F$11)</f>
        <v>17.838999999999999</v>
      </c>
      <c r="E604" s="12">
        <f>CHOOSE( CONTROL!$C$36, 17.8456, 17.8445) * CHOOSE( CONTROL!$C$19, $D$11, 100%, $F$11)</f>
        <v>17.845600000000001</v>
      </c>
      <c r="F604" s="4">
        <f>CHOOSE( CONTROL!$C$36, 18.5125, 18.5115) * CHOOSE(CONTROL!$C$19, $D$11, 100%, $F$11)</f>
        <v>18.512499999999999</v>
      </c>
      <c r="G604" s="8">
        <f>CHOOSE( CONTROL!$C$36, 17.64, 17.6389) * CHOOSE( CONTROL!$C$19, $D$11, 100%, $F$11)</f>
        <v>17.64</v>
      </c>
      <c r="H604" s="4">
        <f>CHOOSE( CONTROL!$C$36, 18.5281, 18.527) * CHOOSE(CONTROL!$C$19, $D$11, 100%, $F$11)</f>
        <v>18.528099999999998</v>
      </c>
      <c r="I604" s="8">
        <f>CHOOSE( CONTROL!$C$36, 17.499, 17.4979) * CHOOSE(CONTROL!$C$19, $D$11, 100%, $F$11)</f>
        <v>17.498999999999999</v>
      </c>
      <c r="J604" s="4">
        <f>CHOOSE( CONTROL!$C$36, 17.304, 17.3029) * CHOOSE(CONTROL!$C$19, $D$11, 100%, $F$11)</f>
        <v>17.303999999999998</v>
      </c>
      <c r="K604" s="4"/>
      <c r="L604" s="9">
        <v>29.306000000000001</v>
      </c>
      <c r="M604" s="9">
        <v>12.063700000000001</v>
      </c>
      <c r="N604" s="9">
        <v>4.9444999999999997</v>
      </c>
      <c r="O604" s="9">
        <v>0.37409999999999999</v>
      </c>
      <c r="P604" s="9">
        <v>1.2927</v>
      </c>
      <c r="Q604" s="9">
        <v>19.688099999999999</v>
      </c>
      <c r="R604" s="9"/>
      <c r="S604" s="11"/>
    </row>
    <row r="605" spans="1:19" ht="15.75">
      <c r="A605" s="13">
        <v>59567</v>
      </c>
      <c r="B605" s="8">
        <f>CHOOSE( CONTROL!$C$36, 18.3804, 18.3793) * CHOOSE(CONTROL!$C$19, $D$11, 100%, $F$11)</f>
        <v>18.380400000000002</v>
      </c>
      <c r="C605" s="8">
        <f>CHOOSE( CONTROL!$C$36, 18.3855, 18.3844) * CHOOSE(CONTROL!$C$19, $D$11, 100%, $F$11)</f>
        <v>18.3855</v>
      </c>
      <c r="D605" s="8">
        <f>CHOOSE( CONTROL!$C$36, 18.3868, 18.3857) * CHOOSE( CONTROL!$C$19, $D$11, 100%, $F$11)</f>
        <v>18.386800000000001</v>
      </c>
      <c r="E605" s="12">
        <f>CHOOSE( CONTROL!$C$36, 18.3858, 18.3847) * CHOOSE( CONTROL!$C$19, $D$11, 100%, $F$11)</f>
        <v>18.3858</v>
      </c>
      <c r="F605" s="4">
        <f>CHOOSE( CONTROL!$C$36, 19.0396, 19.0385) * CHOOSE(CONTROL!$C$19, $D$11, 100%, $F$11)</f>
        <v>19.0396</v>
      </c>
      <c r="G605" s="8">
        <f>CHOOSE( CONTROL!$C$36, 18.1707, 18.1697) * CHOOSE( CONTROL!$C$19, $D$11, 100%, $F$11)</f>
        <v>18.1707</v>
      </c>
      <c r="H605" s="4">
        <f>CHOOSE( CONTROL!$C$36, 19.0479, 19.0468) * CHOOSE(CONTROL!$C$19, $D$11, 100%, $F$11)</f>
        <v>19.047899999999998</v>
      </c>
      <c r="I605" s="8">
        <f>CHOOSE( CONTROL!$C$36, 17.9871, 17.9861) * CHOOSE(CONTROL!$C$19, $D$11, 100%, $F$11)</f>
        <v>17.987100000000002</v>
      </c>
      <c r="J605" s="4">
        <f>CHOOSE( CONTROL!$C$36, 17.8144, 17.8133) * CHOOSE(CONTROL!$C$19, $D$11, 100%, $F$11)</f>
        <v>17.814399999999999</v>
      </c>
      <c r="K605" s="4"/>
      <c r="L605" s="9">
        <v>29.306000000000001</v>
      </c>
      <c r="M605" s="9">
        <v>12.063700000000001</v>
      </c>
      <c r="N605" s="9">
        <v>4.9444999999999997</v>
      </c>
      <c r="O605" s="9">
        <v>0.37409999999999999</v>
      </c>
      <c r="P605" s="9">
        <v>1.2927</v>
      </c>
      <c r="Q605" s="9">
        <v>19.688099999999999</v>
      </c>
      <c r="R605" s="9"/>
      <c r="S605" s="11"/>
    </row>
    <row r="606" spans="1:19" ht="15.75">
      <c r="A606" s="13">
        <v>59595</v>
      </c>
      <c r="B606" s="8">
        <f>CHOOSE( CONTROL!$C$36, 17.1911, 17.19) * CHOOSE(CONTROL!$C$19, $D$11, 100%, $F$11)</f>
        <v>17.191099999999999</v>
      </c>
      <c r="C606" s="8">
        <f>CHOOSE( CONTROL!$C$36, 17.1962, 17.1951) * CHOOSE(CONTROL!$C$19, $D$11, 100%, $F$11)</f>
        <v>17.196200000000001</v>
      </c>
      <c r="D606" s="8">
        <f>CHOOSE( CONTROL!$C$36, 17.1973, 17.1962) * CHOOSE( CONTROL!$C$19, $D$11, 100%, $F$11)</f>
        <v>17.197299999999998</v>
      </c>
      <c r="E606" s="12">
        <f>CHOOSE( CONTROL!$C$36, 17.1964, 17.1953) * CHOOSE( CONTROL!$C$19, $D$11, 100%, $F$11)</f>
        <v>17.196400000000001</v>
      </c>
      <c r="F606" s="4">
        <f>CHOOSE( CONTROL!$C$36, 17.8503, 17.8492) * CHOOSE(CONTROL!$C$19, $D$11, 100%, $F$11)</f>
        <v>17.850300000000001</v>
      </c>
      <c r="G606" s="8">
        <f>CHOOSE( CONTROL!$C$36, 16.9979, 16.9969) * CHOOSE( CONTROL!$C$19, $D$11, 100%, $F$11)</f>
        <v>16.997900000000001</v>
      </c>
      <c r="H606" s="4">
        <f>CHOOSE( CONTROL!$C$36, 17.8751, 17.8741) * CHOOSE(CONTROL!$C$19, $D$11, 100%, $F$11)</f>
        <v>17.8751</v>
      </c>
      <c r="I606" s="8">
        <f>CHOOSE( CONTROL!$C$36, 16.8345, 16.8335) * CHOOSE(CONTROL!$C$19, $D$11, 100%, $F$11)</f>
        <v>16.834499999999998</v>
      </c>
      <c r="J606" s="4">
        <f>CHOOSE( CONTROL!$C$36, 16.6628, 16.6617) * CHOOSE(CONTROL!$C$19, $D$11, 100%, $F$11)</f>
        <v>16.662800000000001</v>
      </c>
      <c r="K606" s="4"/>
      <c r="L606" s="9">
        <v>26.469899999999999</v>
      </c>
      <c r="M606" s="9">
        <v>10.8962</v>
      </c>
      <c r="N606" s="9">
        <v>4.4660000000000002</v>
      </c>
      <c r="O606" s="9">
        <v>0.33789999999999998</v>
      </c>
      <c r="P606" s="9">
        <v>1.1676</v>
      </c>
      <c r="Q606" s="9">
        <v>17.782800000000002</v>
      </c>
      <c r="R606" s="9"/>
      <c r="S606" s="11"/>
    </row>
    <row r="607" spans="1:19" ht="15.75">
      <c r="A607" s="13">
        <v>59626</v>
      </c>
      <c r="B607" s="8">
        <f>CHOOSE( CONTROL!$C$36, 16.8248, 16.8237) * CHOOSE(CONTROL!$C$19, $D$11, 100%, $F$11)</f>
        <v>16.8248</v>
      </c>
      <c r="C607" s="8">
        <f>CHOOSE( CONTROL!$C$36, 16.8299, 16.8288) * CHOOSE(CONTROL!$C$19, $D$11, 100%, $F$11)</f>
        <v>16.829899999999999</v>
      </c>
      <c r="D607" s="8">
        <f>CHOOSE( CONTROL!$C$36, 16.8304, 16.8293) * CHOOSE( CONTROL!$C$19, $D$11, 100%, $F$11)</f>
        <v>16.830400000000001</v>
      </c>
      <c r="E607" s="12">
        <f>CHOOSE( CONTROL!$C$36, 16.8297, 16.8286) * CHOOSE( CONTROL!$C$19, $D$11, 100%, $F$11)</f>
        <v>16.829699999999999</v>
      </c>
      <c r="F607" s="4">
        <f>CHOOSE( CONTROL!$C$36, 17.484, 17.4829) * CHOOSE(CONTROL!$C$19, $D$11, 100%, $F$11)</f>
        <v>17.484000000000002</v>
      </c>
      <c r="G607" s="8">
        <f>CHOOSE( CONTROL!$C$36, 16.6363, 16.6352) * CHOOSE( CONTROL!$C$19, $D$11, 100%, $F$11)</f>
        <v>16.636299999999999</v>
      </c>
      <c r="H607" s="4">
        <f>CHOOSE( CONTROL!$C$36, 17.514, 17.5129) * CHOOSE(CONTROL!$C$19, $D$11, 100%, $F$11)</f>
        <v>17.513999999999999</v>
      </c>
      <c r="I607" s="8">
        <f>CHOOSE( CONTROL!$C$36, 16.4777, 16.4766) * CHOOSE(CONTROL!$C$19, $D$11, 100%, $F$11)</f>
        <v>16.477699999999999</v>
      </c>
      <c r="J607" s="4">
        <f>CHOOSE( CONTROL!$C$36, 16.3081, 16.307) * CHOOSE(CONTROL!$C$19, $D$11, 100%, $F$11)</f>
        <v>16.3081</v>
      </c>
      <c r="K607" s="4"/>
      <c r="L607" s="9">
        <v>29.306000000000001</v>
      </c>
      <c r="M607" s="9">
        <v>12.063700000000001</v>
      </c>
      <c r="N607" s="9">
        <v>4.9444999999999997</v>
      </c>
      <c r="O607" s="9">
        <v>0.37409999999999999</v>
      </c>
      <c r="P607" s="9">
        <v>1.2927</v>
      </c>
      <c r="Q607" s="9">
        <v>19.688099999999999</v>
      </c>
      <c r="R607" s="9"/>
      <c r="S607" s="11"/>
    </row>
    <row r="608" spans="1:19" ht="15.75">
      <c r="A608" s="13">
        <v>59656</v>
      </c>
      <c r="B608" s="8">
        <f>CHOOSE( CONTROL!$C$36, 17.0815, 17.0804) * CHOOSE(CONTROL!$C$19, $D$11, 100%, $F$11)</f>
        <v>17.081499999999998</v>
      </c>
      <c r="C608" s="8">
        <f>CHOOSE( CONTROL!$C$36, 17.086, 17.0849) * CHOOSE(CONTROL!$C$19, $D$11, 100%, $F$11)</f>
        <v>17.085999999999999</v>
      </c>
      <c r="D608" s="8">
        <f>CHOOSE( CONTROL!$C$36, 17.1064, 17.1053) * CHOOSE( CONTROL!$C$19, $D$11, 100%, $F$11)</f>
        <v>17.106400000000001</v>
      </c>
      <c r="E608" s="12">
        <f>CHOOSE( CONTROL!$C$36, 17.0991, 17.098) * CHOOSE( CONTROL!$C$19, $D$11, 100%, $F$11)</f>
        <v>17.0991</v>
      </c>
      <c r="F608" s="4">
        <f>CHOOSE( CONTROL!$C$36, 17.8159, 17.8148) * CHOOSE(CONTROL!$C$19, $D$11, 100%, $F$11)</f>
        <v>17.815899999999999</v>
      </c>
      <c r="G608" s="8">
        <f>CHOOSE( CONTROL!$C$36, 16.8968, 16.8957) * CHOOSE( CONTROL!$C$19, $D$11, 100%, $F$11)</f>
        <v>16.896799999999999</v>
      </c>
      <c r="H608" s="4">
        <f>CHOOSE( CONTROL!$C$36, 17.8412, 17.8401) * CHOOSE(CONTROL!$C$19, $D$11, 100%, $F$11)</f>
        <v>17.841200000000001</v>
      </c>
      <c r="I608" s="8">
        <f>CHOOSE( CONTROL!$C$36, 16.6951, 16.6941) * CHOOSE(CONTROL!$C$19, $D$11, 100%, $F$11)</f>
        <v>16.6951</v>
      </c>
      <c r="J608" s="4">
        <f>CHOOSE( CONTROL!$C$36, 16.5559, 16.5549) * CHOOSE(CONTROL!$C$19, $D$11, 100%, $F$11)</f>
        <v>16.555900000000001</v>
      </c>
      <c r="K608" s="4"/>
      <c r="L608" s="9">
        <v>30.092199999999998</v>
      </c>
      <c r="M608" s="9">
        <v>11.6745</v>
      </c>
      <c r="N608" s="9">
        <v>4.7850000000000001</v>
      </c>
      <c r="O608" s="9">
        <v>0.36199999999999999</v>
      </c>
      <c r="P608" s="9">
        <v>1.2509999999999999</v>
      </c>
      <c r="Q608" s="9">
        <v>19.053000000000001</v>
      </c>
      <c r="R608" s="9"/>
      <c r="S608" s="11"/>
    </row>
    <row r="609" spans="1:19" ht="15.75">
      <c r="A609" s="13">
        <v>59687</v>
      </c>
      <c r="B609" s="8">
        <f>CHOOSE( CONTROL!$C$36, 17.539, 17.5373) * CHOOSE(CONTROL!$C$19, $D$11, 100%, $F$11)</f>
        <v>17.539000000000001</v>
      </c>
      <c r="C609" s="8">
        <f>CHOOSE( CONTROL!$C$36, 17.547, 17.5453) * CHOOSE(CONTROL!$C$19, $D$11, 100%, $F$11)</f>
        <v>17.547000000000001</v>
      </c>
      <c r="D609" s="8">
        <f>CHOOSE( CONTROL!$C$36, 17.5612, 17.5595) * CHOOSE( CONTROL!$C$19, $D$11, 100%, $F$11)</f>
        <v>17.561199999999999</v>
      </c>
      <c r="E609" s="12">
        <f>CHOOSE( CONTROL!$C$36, 17.5548, 17.5531) * CHOOSE( CONTROL!$C$19, $D$11, 100%, $F$11)</f>
        <v>17.5548</v>
      </c>
      <c r="F609" s="4">
        <f>CHOOSE( CONTROL!$C$36, 18.272, 18.2704) * CHOOSE(CONTROL!$C$19, $D$11, 100%, $F$11)</f>
        <v>18.271999999999998</v>
      </c>
      <c r="G609" s="8">
        <f>CHOOSE( CONTROL!$C$36, 17.3465, 17.3449) * CHOOSE( CONTROL!$C$19, $D$11, 100%, $F$11)</f>
        <v>17.346499999999999</v>
      </c>
      <c r="H609" s="4">
        <f>CHOOSE( CONTROL!$C$36, 18.291, 18.2893) * CHOOSE(CONTROL!$C$19, $D$11, 100%, $F$11)</f>
        <v>18.291</v>
      </c>
      <c r="I609" s="8">
        <f>CHOOSE( CONTROL!$C$36, 17.1366, 17.135) * CHOOSE(CONTROL!$C$19, $D$11, 100%, $F$11)</f>
        <v>17.136600000000001</v>
      </c>
      <c r="J609" s="4">
        <f>CHOOSE( CONTROL!$C$36, 16.9976, 16.996) * CHOOSE(CONTROL!$C$19, $D$11, 100%, $F$11)</f>
        <v>16.997599999999998</v>
      </c>
      <c r="K609" s="4"/>
      <c r="L609" s="9">
        <v>30.7165</v>
      </c>
      <c r="M609" s="9">
        <v>12.063700000000001</v>
      </c>
      <c r="N609" s="9">
        <v>4.9444999999999997</v>
      </c>
      <c r="O609" s="9">
        <v>0.37409999999999999</v>
      </c>
      <c r="P609" s="9">
        <v>1.2927</v>
      </c>
      <c r="Q609" s="9">
        <v>19.688099999999999</v>
      </c>
      <c r="R609" s="9"/>
      <c r="S609" s="11"/>
    </row>
    <row r="610" spans="1:19" ht="15.75">
      <c r="A610" s="13">
        <v>59717</v>
      </c>
      <c r="B610" s="8">
        <f>CHOOSE( CONTROL!$C$36, 17.2568, 17.2551) * CHOOSE(CONTROL!$C$19, $D$11, 100%, $F$11)</f>
        <v>17.256799999999998</v>
      </c>
      <c r="C610" s="8">
        <f>CHOOSE( CONTROL!$C$36, 17.2648, 17.2631) * CHOOSE(CONTROL!$C$19, $D$11, 100%, $F$11)</f>
        <v>17.264800000000001</v>
      </c>
      <c r="D610" s="8">
        <f>CHOOSE( CONTROL!$C$36, 17.2792, 17.2775) * CHOOSE( CONTROL!$C$19, $D$11, 100%, $F$11)</f>
        <v>17.279199999999999</v>
      </c>
      <c r="E610" s="12">
        <f>CHOOSE( CONTROL!$C$36, 17.2728, 17.2711) * CHOOSE( CONTROL!$C$19, $D$11, 100%, $F$11)</f>
        <v>17.2728</v>
      </c>
      <c r="F610" s="4">
        <f>CHOOSE( CONTROL!$C$36, 17.9898, 17.9882) * CHOOSE(CONTROL!$C$19, $D$11, 100%, $F$11)</f>
        <v>17.989799999999999</v>
      </c>
      <c r="G610" s="8">
        <f>CHOOSE( CONTROL!$C$36, 17.0684, 17.0667) * CHOOSE( CONTROL!$C$19, $D$11, 100%, $F$11)</f>
        <v>17.0684</v>
      </c>
      <c r="H610" s="4">
        <f>CHOOSE( CONTROL!$C$36, 18.0127, 18.0111) * CHOOSE(CONTROL!$C$19, $D$11, 100%, $F$11)</f>
        <v>18.012699999999999</v>
      </c>
      <c r="I610" s="8">
        <f>CHOOSE( CONTROL!$C$36, 16.8639, 16.8623) * CHOOSE(CONTROL!$C$19, $D$11, 100%, $F$11)</f>
        <v>16.863900000000001</v>
      </c>
      <c r="J610" s="4">
        <f>CHOOSE( CONTROL!$C$36, 16.7244, 16.7227) * CHOOSE(CONTROL!$C$19, $D$11, 100%, $F$11)</f>
        <v>16.724399999999999</v>
      </c>
      <c r="K610" s="4"/>
      <c r="L610" s="9">
        <v>29.7257</v>
      </c>
      <c r="M610" s="9">
        <v>11.6745</v>
      </c>
      <c r="N610" s="9">
        <v>4.7850000000000001</v>
      </c>
      <c r="O610" s="9">
        <v>0.36199999999999999</v>
      </c>
      <c r="P610" s="9">
        <v>1.2509999999999999</v>
      </c>
      <c r="Q610" s="9">
        <v>19.053000000000001</v>
      </c>
      <c r="R610" s="9"/>
      <c r="S610" s="11"/>
    </row>
    <row r="611" spans="1:19" ht="15.75">
      <c r="A611" s="13">
        <v>59748</v>
      </c>
      <c r="B611" s="8">
        <f>CHOOSE( CONTROL!$C$36, 17.9999, 17.9983) * CHOOSE(CONTROL!$C$19, $D$11, 100%, $F$11)</f>
        <v>17.9999</v>
      </c>
      <c r="C611" s="8">
        <f>CHOOSE( CONTROL!$C$36, 18.0079, 18.0063) * CHOOSE(CONTROL!$C$19, $D$11, 100%, $F$11)</f>
        <v>18.007899999999999</v>
      </c>
      <c r="D611" s="8">
        <f>CHOOSE( CONTROL!$C$36, 18.0226, 18.0209) * CHOOSE( CONTROL!$C$19, $D$11, 100%, $F$11)</f>
        <v>18.022600000000001</v>
      </c>
      <c r="E611" s="12">
        <f>CHOOSE( CONTROL!$C$36, 18.0161, 18.0144) * CHOOSE( CONTROL!$C$19, $D$11, 100%, $F$11)</f>
        <v>18.016100000000002</v>
      </c>
      <c r="F611" s="4">
        <f>CHOOSE( CONTROL!$C$36, 18.733, 18.7313) * CHOOSE(CONTROL!$C$19, $D$11, 100%, $F$11)</f>
        <v>18.733000000000001</v>
      </c>
      <c r="G611" s="8">
        <f>CHOOSE( CONTROL!$C$36, 17.8013, 17.7997) * CHOOSE( CONTROL!$C$19, $D$11, 100%, $F$11)</f>
        <v>17.801300000000001</v>
      </c>
      <c r="H611" s="4">
        <f>CHOOSE( CONTROL!$C$36, 18.7455, 18.7438) * CHOOSE(CONTROL!$C$19, $D$11, 100%, $F$11)</f>
        <v>18.7455</v>
      </c>
      <c r="I611" s="8">
        <f>CHOOSE( CONTROL!$C$36, 17.5847, 17.5831) * CHOOSE(CONTROL!$C$19, $D$11, 100%, $F$11)</f>
        <v>17.584700000000002</v>
      </c>
      <c r="J611" s="4">
        <f>CHOOSE( CONTROL!$C$36, 17.4439, 17.4423) * CHOOSE(CONTROL!$C$19, $D$11, 100%, $F$11)</f>
        <v>17.443899999999999</v>
      </c>
      <c r="K611" s="4"/>
      <c r="L611" s="9">
        <v>30.7165</v>
      </c>
      <c r="M611" s="9">
        <v>12.063700000000001</v>
      </c>
      <c r="N611" s="9">
        <v>4.9444999999999997</v>
      </c>
      <c r="O611" s="9">
        <v>0.37409999999999999</v>
      </c>
      <c r="P611" s="9">
        <v>1.2927</v>
      </c>
      <c r="Q611" s="9">
        <v>19.688099999999999</v>
      </c>
      <c r="R611" s="9"/>
      <c r="S611" s="11"/>
    </row>
    <row r="612" spans="1:19" ht="15.75">
      <c r="A612" s="13">
        <v>59779</v>
      </c>
      <c r="B612" s="8">
        <f>CHOOSE( CONTROL!$C$36, 16.6094, 16.6078) * CHOOSE(CONTROL!$C$19, $D$11, 100%, $F$11)</f>
        <v>16.609400000000001</v>
      </c>
      <c r="C612" s="8">
        <f>CHOOSE( CONTROL!$C$36, 16.6174, 16.6158) * CHOOSE(CONTROL!$C$19, $D$11, 100%, $F$11)</f>
        <v>16.6174</v>
      </c>
      <c r="D612" s="8">
        <f>CHOOSE( CONTROL!$C$36, 16.6321, 16.6305) * CHOOSE( CONTROL!$C$19, $D$11, 100%, $F$11)</f>
        <v>16.632100000000001</v>
      </c>
      <c r="E612" s="12">
        <f>CHOOSE( CONTROL!$C$36, 16.6256, 16.624) * CHOOSE( CONTROL!$C$19, $D$11, 100%, $F$11)</f>
        <v>16.625599999999999</v>
      </c>
      <c r="F612" s="4">
        <f>CHOOSE( CONTROL!$C$36, 17.3425, 17.3408) * CHOOSE(CONTROL!$C$19, $D$11, 100%, $F$11)</f>
        <v>17.342500000000001</v>
      </c>
      <c r="G612" s="8">
        <f>CHOOSE( CONTROL!$C$36, 16.4303, 16.4287) * CHOOSE( CONTROL!$C$19, $D$11, 100%, $F$11)</f>
        <v>16.430299999999999</v>
      </c>
      <c r="H612" s="4">
        <f>CHOOSE( CONTROL!$C$36, 17.3744, 17.3727) * CHOOSE(CONTROL!$C$19, $D$11, 100%, $F$11)</f>
        <v>17.374400000000001</v>
      </c>
      <c r="I612" s="8">
        <f>CHOOSE( CONTROL!$C$36, 16.2378, 16.2362) * CHOOSE(CONTROL!$C$19, $D$11, 100%, $F$11)</f>
        <v>16.2378</v>
      </c>
      <c r="J612" s="4">
        <f>CHOOSE( CONTROL!$C$36, 16.0975, 16.0959) * CHOOSE(CONTROL!$C$19, $D$11, 100%, $F$11)</f>
        <v>16.0975</v>
      </c>
      <c r="K612" s="4"/>
      <c r="L612" s="9">
        <v>30.7165</v>
      </c>
      <c r="M612" s="9">
        <v>12.063700000000001</v>
      </c>
      <c r="N612" s="9">
        <v>4.9444999999999997</v>
      </c>
      <c r="O612" s="9">
        <v>0.37409999999999999</v>
      </c>
      <c r="P612" s="9">
        <v>1.2927</v>
      </c>
      <c r="Q612" s="9">
        <v>19.688099999999999</v>
      </c>
      <c r="R612" s="9"/>
      <c r="S612" s="11"/>
    </row>
    <row r="613" spans="1:19" ht="15.75">
      <c r="A613" s="13">
        <v>59809</v>
      </c>
      <c r="B613" s="8">
        <f>CHOOSE( CONTROL!$C$36, 16.2612, 16.2596) * CHOOSE(CONTROL!$C$19, $D$11, 100%, $F$11)</f>
        <v>16.261199999999999</v>
      </c>
      <c r="C613" s="8">
        <f>CHOOSE( CONTROL!$C$36, 16.2692, 16.2676) * CHOOSE(CONTROL!$C$19, $D$11, 100%, $F$11)</f>
        <v>16.269200000000001</v>
      </c>
      <c r="D613" s="8">
        <f>CHOOSE( CONTROL!$C$36, 16.2838, 16.2822) * CHOOSE( CONTROL!$C$19, $D$11, 100%, $F$11)</f>
        <v>16.283799999999999</v>
      </c>
      <c r="E613" s="12">
        <f>CHOOSE( CONTROL!$C$36, 16.2773, 16.2757) * CHOOSE( CONTROL!$C$19, $D$11, 100%, $F$11)</f>
        <v>16.2773</v>
      </c>
      <c r="F613" s="4">
        <f>CHOOSE( CONTROL!$C$36, 16.9943, 16.9926) * CHOOSE(CONTROL!$C$19, $D$11, 100%, $F$11)</f>
        <v>16.994299999999999</v>
      </c>
      <c r="G613" s="8">
        <f>CHOOSE( CONTROL!$C$36, 16.0869, 16.0852) * CHOOSE( CONTROL!$C$19, $D$11, 100%, $F$11)</f>
        <v>16.0869</v>
      </c>
      <c r="H613" s="4">
        <f>CHOOSE( CONTROL!$C$36, 17.031, 17.0294) * CHOOSE(CONTROL!$C$19, $D$11, 100%, $F$11)</f>
        <v>17.030999999999999</v>
      </c>
      <c r="I613" s="8">
        <f>CHOOSE( CONTROL!$C$36, 15.9001, 15.8985) * CHOOSE(CONTROL!$C$19, $D$11, 100%, $F$11)</f>
        <v>15.9001</v>
      </c>
      <c r="J613" s="4">
        <f>CHOOSE( CONTROL!$C$36, 15.7604, 15.7588) * CHOOSE(CONTROL!$C$19, $D$11, 100%, $F$11)</f>
        <v>15.760400000000001</v>
      </c>
      <c r="K613" s="4"/>
      <c r="L613" s="9">
        <v>29.7257</v>
      </c>
      <c r="M613" s="9">
        <v>11.6745</v>
      </c>
      <c r="N613" s="9">
        <v>4.7850000000000001</v>
      </c>
      <c r="O613" s="9">
        <v>0.36199999999999999</v>
      </c>
      <c r="P613" s="9">
        <v>1.2509999999999999</v>
      </c>
      <c r="Q613" s="9">
        <v>19.053000000000001</v>
      </c>
      <c r="R613" s="9"/>
      <c r="S613" s="11"/>
    </row>
    <row r="614" spans="1:19" ht="15.75">
      <c r="A614" s="13">
        <v>59840</v>
      </c>
      <c r="B614" s="8">
        <f>CHOOSE( CONTROL!$C$36, 16.9819, 16.9808) * CHOOSE(CONTROL!$C$19, $D$11, 100%, $F$11)</f>
        <v>16.9819</v>
      </c>
      <c r="C614" s="8">
        <f>CHOOSE( CONTROL!$C$36, 16.9873, 16.9862) * CHOOSE(CONTROL!$C$19, $D$11, 100%, $F$11)</f>
        <v>16.987300000000001</v>
      </c>
      <c r="D614" s="8">
        <f>CHOOSE( CONTROL!$C$36, 17.0078, 17.0067) * CHOOSE( CONTROL!$C$19, $D$11, 100%, $F$11)</f>
        <v>17.0078</v>
      </c>
      <c r="E614" s="12">
        <f>CHOOSE( CONTROL!$C$36, 17.0005, 16.9994) * CHOOSE( CONTROL!$C$19, $D$11, 100%, $F$11)</f>
        <v>17.000499999999999</v>
      </c>
      <c r="F614" s="4">
        <f>CHOOSE( CONTROL!$C$36, 17.7167, 17.7156) * CHOOSE(CONTROL!$C$19, $D$11, 100%, $F$11)</f>
        <v>17.716699999999999</v>
      </c>
      <c r="G614" s="8">
        <f>CHOOSE( CONTROL!$C$36, 16.7994, 16.7983) * CHOOSE( CONTROL!$C$19, $D$11, 100%, $F$11)</f>
        <v>16.799399999999999</v>
      </c>
      <c r="H614" s="4">
        <f>CHOOSE( CONTROL!$C$36, 17.7434, 17.7423) * CHOOSE(CONTROL!$C$19, $D$11, 100%, $F$11)</f>
        <v>17.743400000000001</v>
      </c>
      <c r="I614" s="8">
        <f>CHOOSE( CONTROL!$C$36, 16.601, 16.6) * CHOOSE(CONTROL!$C$19, $D$11, 100%, $F$11)</f>
        <v>16.600999999999999</v>
      </c>
      <c r="J614" s="4">
        <f>CHOOSE( CONTROL!$C$36, 16.4599, 16.4588) * CHOOSE(CONTROL!$C$19, $D$11, 100%, $F$11)</f>
        <v>16.459900000000001</v>
      </c>
      <c r="K614" s="4"/>
      <c r="L614" s="9">
        <v>31.095300000000002</v>
      </c>
      <c r="M614" s="9">
        <v>12.063700000000001</v>
      </c>
      <c r="N614" s="9">
        <v>4.9444999999999997</v>
      </c>
      <c r="O614" s="9">
        <v>0.37409999999999999</v>
      </c>
      <c r="P614" s="9">
        <v>1.2927</v>
      </c>
      <c r="Q614" s="9">
        <v>19.688099999999999</v>
      </c>
      <c r="R614" s="9"/>
      <c r="S614" s="11"/>
    </row>
    <row r="615" spans="1:19" ht="15.75">
      <c r="A615" s="13">
        <v>59870</v>
      </c>
      <c r="B615" s="8">
        <f>CHOOSE( CONTROL!$C$36, 18.316, 18.3149) * CHOOSE(CONTROL!$C$19, $D$11, 100%, $F$11)</f>
        <v>18.315999999999999</v>
      </c>
      <c r="C615" s="8">
        <f>CHOOSE( CONTROL!$C$36, 18.3211, 18.32) * CHOOSE(CONTROL!$C$19, $D$11, 100%, $F$11)</f>
        <v>18.321100000000001</v>
      </c>
      <c r="D615" s="8">
        <f>CHOOSE( CONTROL!$C$36, 18.3003, 18.2992) * CHOOSE( CONTROL!$C$19, $D$11, 100%, $F$11)</f>
        <v>18.3003</v>
      </c>
      <c r="E615" s="12">
        <f>CHOOSE( CONTROL!$C$36, 18.3074, 18.3063) * CHOOSE( CONTROL!$C$19, $D$11, 100%, $F$11)</f>
        <v>18.307400000000001</v>
      </c>
      <c r="F615" s="4">
        <f>CHOOSE( CONTROL!$C$36, 18.9752, 18.9742) * CHOOSE(CONTROL!$C$19, $D$11, 100%, $F$11)</f>
        <v>18.975200000000001</v>
      </c>
      <c r="G615" s="8">
        <f>CHOOSE( CONTROL!$C$36, 18.0952, 18.0941) * CHOOSE( CONTROL!$C$19, $D$11, 100%, $F$11)</f>
        <v>18.095199999999998</v>
      </c>
      <c r="H615" s="4">
        <f>CHOOSE( CONTROL!$C$36, 18.9844, 18.9833) * CHOOSE(CONTROL!$C$19, $D$11, 100%, $F$11)</f>
        <v>18.984400000000001</v>
      </c>
      <c r="I615" s="8">
        <f>CHOOSE( CONTROL!$C$36, 17.9429, 17.9419) * CHOOSE(CONTROL!$C$19, $D$11, 100%, $F$11)</f>
        <v>17.942900000000002</v>
      </c>
      <c r="J615" s="4">
        <f>CHOOSE( CONTROL!$C$36, 17.752, 17.751) * CHOOSE(CONTROL!$C$19, $D$11, 100%, $F$11)</f>
        <v>17.751999999999999</v>
      </c>
      <c r="K615" s="4"/>
      <c r="L615" s="9">
        <v>28.360600000000002</v>
      </c>
      <c r="M615" s="9">
        <v>11.6745</v>
      </c>
      <c r="N615" s="9">
        <v>4.7850000000000001</v>
      </c>
      <c r="O615" s="9">
        <v>0.36199999999999999</v>
      </c>
      <c r="P615" s="9">
        <v>1.2509999999999999</v>
      </c>
      <c r="Q615" s="9">
        <v>19.053000000000001</v>
      </c>
      <c r="R615" s="9"/>
      <c r="S615" s="11"/>
    </row>
    <row r="616" spans="1:19" ht="15.75">
      <c r="A616" s="13">
        <v>59901</v>
      </c>
      <c r="B616" s="8">
        <f>CHOOSE( CONTROL!$C$36, 18.2826, 18.2816) * CHOOSE(CONTROL!$C$19, $D$11, 100%, $F$11)</f>
        <v>18.282599999999999</v>
      </c>
      <c r="C616" s="8">
        <f>CHOOSE( CONTROL!$C$36, 18.2877, 18.2867) * CHOOSE(CONTROL!$C$19, $D$11, 100%, $F$11)</f>
        <v>18.287700000000001</v>
      </c>
      <c r="D616" s="8">
        <f>CHOOSE( CONTROL!$C$36, 18.2683, 18.2673) * CHOOSE( CONTROL!$C$19, $D$11, 100%, $F$11)</f>
        <v>18.2683</v>
      </c>
      <c r="E616" s="12">
        <f>CHOOSE( CONTROL!$C$36, 18.2749, 18.2739) * CHOOSE( CONTROL!$C$19, $D$11, 100%, $F$11)</f>
        <v>18.274899999999999</v>
      </c>
      <c r="F616" s="4">
        <f>CHOOSE( CONTROL!$C$36, 18.9419, 18.9408) * CHOOSE(CONTROL!$C$19, $D$11, 100%, $F$11)</f>
        <v>18.9419</v>
      </c>
      <c r="G616" s="8">
        <f>CHOOSE( CONTROL!$C$36, 18.0633, 18.0622) * CHOOSE( CONTROL!$C$19, $D$11, 100%, $F$11)</f>
        <v>18.063300000000002</v>
      </c>
      <c r="H616" s="4">
        <f>CHOOSE( CONTROL!$C$36, 18.9515, 18.9504) * CHOOSE(CONTROL!$C$19, $D$11, 100%, $F$11)</f>
        <v>18.951499999999999</v>
      </c>
      <c r="I616" s="8">
        <f>CHOOSE( CONTROL!$C$36, 17.9149, 17.9139) * CHOOSE(CONTROL!$C$19, $D$11, 100%, $F$11)</f>
        <v>17.914899999999999</v>
      </c>
      <c r="J616" s="4">
        <f>CHOOSE( CONTROL!$C$36, 17.7197, 17.7187) * CHOOSE(CONTROL!$C$19, $D$11, 100%, $F$11)</f>
        <v>17.7197</v>
      </c>
      <c r="K616" s="4"/>
      <c r="L616" s="9">
        <v>29.306000000000001</v>
      </c>
      <c r="M616" s="9">
        <v>12.063700000000001</v>
      </c>
      <c r="N616" s="9">
        <v>4.9444999999999997</v>
      </c>
      <c r="O616" s="9">
        <v>0.37409999999999999</v>
      </c>
      <c r="P616" s="9">
        <v>1.2927</v>
      </c>
      <c r="Q616" s="9">
        <v>19.688099999999999</v>
      </c>
      <c r="R616" s="9"/>
      <c r="S616" s="11"/>
    </row>
    <row r="617" spans="1:19" ht="15.75">
      <c r="A617" s="13">
        <v>59932</v>
      </c>
      <c r="B617" s="8">
        <f>CHOOSE( CONTROL!$C$36, 18.8224, 18.8213) * CHOOSE(CONTROL!$C$19, $D$11, 100%, $F$11)</f>
        <v>18.822399999999998</v>
      </c>
      <c r="C617" s="8">
        <f>CHOOSE( CONTROL!$C$36, 18.8275, 18.8264) * CHOOSE(CONTROL!$C$19, $D$11, 100%, $F$11)</f>
        <v>18.827500000000001</v>
      </c>
      <c r="D617" s="8">
        <f>CHOOSE( CONTROL!$C$36, 18.8288, 18.8277) * CHOOSE( CONTROL!$C$19, $D$11, 100%, $F$11)</f>
        <v>18.828800000000001</v>
      </c>
      <c r="E617" s="12">
        <f>CHOOSE( CONTROL!$C$36, 18.8278, 18.8267) * CHOOSE( CONTROL!$C$19, $D$11, 100%, $F$11)</f>
        <v>18.8278</v>
      </c>
      <c r="F617" s="4">
        <f>CHOOSE( CONTROL!$C$36, 19.4817, 19.4806) * CHOOSE(CONTROL!$C$19, $D$11, 100%, $F$11)</f>
        <v>19.4817</v>
      </c>
      <c r="G617" s="8">
        <f>CHOOSE( CONTROL!$C$36, 18.6066, 18.6055) * CHOOSE( CONTROL!$C$19, $D$11, 100%, $F$11)</f>
        <v>18.6066</v>
      </c>
      <c r="H617" s="4">
        <f>CHOOSE( CONTROL!$C$36, 19.4837, 19.4826) * CHOOSE(CONTROL!$C$19, $D$11, 100%, $F$11)</f>
        <v>19.483699999999999</v>
      </c>
      <c r="I617" s="8">
        <f>CHOOSE( CONTROL!$C$36, 18.4153, 18.4143) * CHOOSE(CONTROL!$C$19, $D$11, 100%, $F$11)</f>
        <v>18.415299999999998</v>
      </c>
      <c r="J617" s="4">
        <f>CHOOSE( CONTROL!$C$36, 18.2424, 18.2413) * CHOOSE(CONTROL!$C$19, $D$11, 100%, $F$11)</f>
        <v>18.2424</v>
      </c>
      <c r="K617" s="4"/>
      <c r="L617" s="9">
        <v>29.306000000000001</v>
      </c>
      <c r="M617" s="9">
        <v>12.063700000000001</v>
      </c>
      <c r="N617" s="9">
        <v>4.9444999999999997</v>
      </c>
      <c r="O617" s="9">
        <v>0.37409999999999999</v>
      </c>
      <c r="P617" s="9">
        <v>1.2927</v>
      </c>
      <c r="Q617" s="9">
        <v>19.688099999999999</v>
      </c>
      <c r="R617" s="9"/>
      <c r="S617" s="11"/>
    </row>
    <row r="618" spans="1:19" ht="15.75">
      <c r="A618" s="13">
        <v>59961</v>
      </c>
      <c r="B618" s="8">
        <f>CHOOSE( CONTROL!$C$36, 17.6045, 17.6034) * CHOOSE(CONTROL!$C$19, $D$11, 100%, $F$11)</f>
        <v>17.604500000000002</v>
      </c>
      <c r="C618" s="8">
        <f>CHOOSE( CONTROL!$C$36, 17.6096, 17.6085) * CHOOSE(CONTROL!$C$19, $D$11, 100%, $F$11)</f>
        <v>17.6096</v>
      </c>
      <c r="D618" s="8">
        <f>CHOOSE( CONTROL!$C$36, 17.6108, 17.6097) * CHOOSE( CONTROL!$C$19, $D$11, 100%, $F$11)</f>
        <v>17.610800000000001</v>
      </c>
      <c r="E618" s="12">
        <f>CHOOSE( CONTROL!$C$36, 17.6098, 17.6087) * CHOOSE( CONTROL!$C$19, $D$11, 100%, $F$11)</f>
        <v>17.6098</v>
      </c>
      <c r="F618" s="4">
        <f>CHOOSE( CONTROL!$C$36, 18.2638, 18.2627) * CHOOSE(CONTROL!$C$19, $D$11, 100%, $F$11)</f>
        <v>18.2638</v>
      </c>
      <c r="G618" s="8">
        <f>CHOOSE( CONTROL!$C$36, 17.4056, 17.4045) * CHOOSE( CONTROL!$C$19, $D$11, 100%, $F$11)</f>
        <v>17.4056</v>
      </c>
      <c r="H618" s="4">
        <f>CHOOSE( CONTROL!$C$36, 18.2828, 18.2817) * CHOOSE(CONTROL!$C$19, $D$11, 100%, $F$11)</f>
        <v>18.282800000000002</v>
      </c>
      <c r="I618" s="8">
        <f>CHOOSE( CONTROL!$C$36, 17.2351, 17.234) * CHOOSE(CONTROL!$C$19, $D$11, 100%, $F$11)</f>
        <v>17.235099999999999</v>
      </c>
      <c r="J618" s="4">
        <f>CHOOSE( CONTROL!$C$36, 17.0631, 17.0621) * CHOOSE(CONTROL!$C$19, $D$11, 100%, $F$11)</f>
        <v>17.063099999999999</v>
      </c>
      <c r="K618" s="4"/>
      <c r="L618" s="9">
        <v>27.415299999999998</v>
      </c>
      <c r="M618" s="9">
        <v>11.285299999999999</v>
      </c>
      <c r="N618" s="9">
        <v>4.6254999999999997</v>
      </c>
      <c r="O618" s="9">
        <v>0.34989999999999999</v>
      </c>
      <c r="P618" s="9">
        <v>1.2093</v>
      </c>
      <c r="Q618" s="9">
        <v>18.417899999999999</v>
      </c>
      <c r="R618" s="9"/>
      <c r="S618" s="11"/>
    </row>
    <row r="619" spans="1:19" ht="15.75">
      <c r="A619" s="13">
        <v>59992</v>
      </c>
      <c r="B619" s="8">
        <f>CHOOSE( CONTROL!$C$36, 17.2294, 17.2283) * CHOOSE(CONTROL!$C$19, $D$11, 100%, $F$11)</f>
        <v>17.229399999999998</v>
      </c>
      <c r="C619" s="8">
        <f>CHOOSE( CONTROL!$C$36, 17.2345, 17.2334) * CHOOSE(CONTROL!$C$19, $D$11, 100%, $F$11)</f>
        <v>17.234500000000001</v>
      </c>
      <c r="D619" s="8">
        <f>CHOOSE( CONTROL!$C$36, 17.235, 17.234) * CHOOSE( CONTROL!$C$19, $D$11, 100%, $F$11)</f>
        <v>17.234999999999999</v>
      </c>
      <c r="E619" s="12">
        <f>CHOOSE( CONTROL!$C$36, 17.2343, 17.2332) * CHOOSE( CONTROL!$C$19, $D$11, 100%, $F$11)</f>
        <v>17.234300000000001</v>
      </c>
      <c r="F619" s="4">
        <f>CHOOSE( CONTROL!$C$36, 17.8887, 17.8876) * CHOOSE(CONTROL!$C$19, $D$11, 100%, $F$11)</f>
        <v>17.8887</v>
      </c>
      <c r="G619" s="8">
        <f>CHOOSE( CONTROL!$C$36, 17.0353, 17.0342) * CHOOSE( CONTROL!$C$19, $D$11, 100%, $F$11)</f>
        <v>17.035299999999999</v>
      </c>
      <c r="H619" s="4">
        <f>CHOOSE( CONTROL!$C$36, 17.9129, 17.9119) * CHOOSE(CONTROL!$C$19, $D$11, 100%, $F$11)</f>
        <v>17.9129</v>
      </c>
      <c r="I619" s="8">
        <f>CHOOSE( CONTROL!$C$36, 16.8697, 16.8686) * CHOOSE(CONTROL!$C$19, $D$11, 100%, $F$11)</f>
        <v>16.869700000000002</v>
      </c>
      <c r="J619" s="4">
        <f>CHOOSE( CONTROL!$C$36, 16.6999, 16.6989) * CHOOSE(CONTROL!$C$19, $D$11, 100%, $F$11)</f>
        <v>16.6999</v>
      </c>
      <c r="K619" s="4"/>
      <c r="L619" s="9">
        <v>29.306000000000001</v>
      </c>
      <c r="M619" s="9">
        <v>12.063700000000001</v>
      </c>
      <c r="N619" s="9">
        <v>4.9444999999999997</v>
      </c>
      <c r="O619" s="9">
        <v>0.37409999999999999</v>
      </c>
      <c r="P619" s="9">
        <v>1.2927</v>
      </c>
      <c r="Q619" s="9">
        <v>19.688099999999999</v>
      </c>
      <c r="R619" s="9"/>
      <c r="S619" s="11"/>
    </row>
    <row r="620" spans="1:19" ht="15.75">
      <c r="A620" s="13">
        <v>60022</v>
      </c>
      <c r="B620" s="8">
        <f>CHOOSE( CONTROL!$C$36, 17.4923, 17.4912) * CHOOSE(CONTROL!$C$19, $D$11, 100%, $F$11)</f>
        <v>17.4923</v>
      </c>
      <c r="C620" s="8">
        <f>CHOOSE( CONTROL!$C$36, 17.4968, 17.4957) * CHOOSE(CONTROL!$C$19, $D$11, 100%, $F$11)</f>
        <v>17.4968</v>
      </c>
      <c r="D620" s="8">
        <f>CHOOSE( CONTROL!$C$36, 17.5172, 17.5161) * CHOOSE( CONTROL!$C$19, $D$11, 100%, $F$11)</f>
        <v>17.517199999999999</v>
      </c>
      <c r="E620" s="12">
        <f>CHOOSE( CONTROL!$C$36, 17.5099, 17.5088) * CHOOSE( CONTROL!$C$19, $D$11, 100%, $F$11)</f>
        <v>17.509899999999998</v>
      </c>
      <c r="F620" s="4">
        <f>CHOOSE( CONTROL!$C$36, 18.2267, 18.2256) * CHOOSE(CONTROL!$C$19, $D$11, 100%, $F$11)</f>
        <v>18.226700000000001</v>
      </c>
      <c r="G620" s="8">
        <f>CHOOSE( CONTROL!$C$36, 17.3018, 17.3008) * CHOOSE( CONTROL!$C$19, $D$11, 100%, $F$11)</f>
        <v>17.3018</v>
      </c>
      <c r="H620" s="4">
        <f>CHOOSE( CONTROL!$C$36, 18.2463, 18.2452) * CHOOSE(CONTROL!$C$19, $D$11, 100%, $F$11)</f>
        <v>18.246300000000002</v>
      </c>
      <c r="I620" s="8">
        <f>CHOOSE( CONTROL!$C$36, 17.0931, 17.0921) * CHOOSE(CONTROL!$C$19, $D$11, 100%, $F$11)</f>
        <v>17.0931</v>
      </c>
      <c r="J620" s="4">
        <f>CHOOSE( CONTROL!$C$36, 16.9537, 16.9527) * CHOOSE(CONTROL!$C$19, $D$11, 100%, $F$11)</f>
        <v>16.953700000000001</v>
      </c>
      <c r="K620" s="4"/>
      <c r="L620" s="9">
        <v>30.092199999999998</v>
      </c>
      <c r="M620" s="9">
        <v>11.6745</v>
      </c>
      <c r="N620" s="9">
        <v>4.7850000000000001</v>
      </c>
      <c r="O620" s="9">
        <v>0.36199999999999999</v>
      </c>
      <c r="P620" s="9">
        <v>1.2509999999999999</v>
      </c>
      <c r="Q620" s="9">
        <v>19.053000000000001</v>
      </c>
      <c r="R620" s="9"/>
      <c r="S620" s="11"/>
    </row>
    <row r="621" spans="1:19" ht="15.75">
      <c r="A621" s="13">
        <v>60053</v>
      </c>
      <c r="B621" s="8">
        <f>CHOOSE( CONTROL!$C$36, 17.9607, 17.9591) * CHOOSE(CONTROL!$C$19, $D$11, 100%, $F$11)</f>
        <v>17.960699999999999</v>
      </c>
      <c r="C621" s="8">
        <f>CHOOSE( CONTROL!$C$36, 17.9687, 17.9671) * CHOOSE(CONTROL!$C$19, $D$11, 100%, $F$11)</f>
        <v>17.968699999999998</v>
      </c>
      <c r="D621" s="8">
        <f>CHOOSE( CONTROL!$C$36, 17.9829, 17.9813) * CHOOSE( CONTROL!$C$19, $D$11, 100%, $F$11)</f>
        <v>17.982900000000001</v>
      </c>
      <c r="E621" s="12">
        <f>CHOOSE( CONTROL!$C$36, 17.9765, 17.9749) * CHOOSE( CONTROL!$C$19, $D$11, 100%, $F$11)</f>
        <v>17.976500000000001</v>
      </c>
      <c r="F621" s="4">
        <f>CHOOSE( CONTROL!$C$36, 18.6938, 18.6921) * CHOOSE(CONTROL!$C$19, $D$11, 100%, $F$11)</f>
        <v>18.6938</v>
      </c>
      <c r="G621" s="8">
        <f>CHOOSE( CONTROL!$C$36, 17.7623, 17.7607) * CHOOSE( CONTROL!$C$19, $D$11, 100%, $F$11)</f>
        <v>17.7623</v>
      </c>
      <c r="H621" s="4">
        <f>CHOOSE( CONTROL!$C$36, 18.7068, 18.7052) * CHOOSE(CONTROL!$C$19, $D$11, 100%, $F$11)</f>
        <v>18.706800000000001</v>
      </c>
      <c r="I621" s="8">
        <f>CHOOSE( CONTROL!$C$36, 17.5452, 17.5436) * CHOOSE(CONTROL!$C$19, $D$11, 100%, $F$11)</f>
        <v>17.545200000000001</v>
      </c>
      <c r="J621" s="4">
        <f>CHOOSE( CONTROL!$C$36, 17.406, 17.4044) * CHOOSE(CONTROL!$C$19, $D$11, 100%, $F$11)</f>
        <v>17.405999999999999</v>
      </c>
      <c r="K621" s="4"/>
      <c r="L621" s="9">
        <v>30.7165</v>
      </c>
      <c r="M621" s="9">
        <v>12.063700000000001</v>
      </c>
      <c r="N621" s="9">
        <v>4.9444999999999997</v>
      </c>
      <c r="O621" s="9">
        <v>0.37409999999999999</v>
      </c>
      <c r="P621" s="9">
        <v>1.2927</v>
      </c>
      <c r="Q621" s="9">
        <v>19.688099999999999</v>
      </c>
      <c r="R621" s="9"/>
      <c r="S621" s="11"/>
    </row>
    <row r="622" spans="1:19" ht="15.75">
      <c r="A622" s="13">
        <v>60083</v>
      </c>
      <c r="B622" s="8">
        <f>CHOOSE( CONTROL!$C$36, 17.6718, 17.6701) * CHOOSE(CONTROL!$C$19, $D$11, 100%, $F$11)</f>
        <v>17.671800000000001</v>
      </c>
      <c r="C622" s="8">
        <f>CHOOSE( CONTROL!$C$36, 17.6798, 17.6781) * CHOOSE(CONTROL!$C$19, $D$11, 100%, $F$11)</f>
        <v>17.6798</v>
      </c>
      <c r="D622" s="8">
        <f>CHOOSE( CONTROL!$C$36, 17.6941, 17.6925) * CHOOSE( CONTROL!$C$19, $D$11, 100%, $F$11)</f>
        <v>17.694099999999999</v>
      </c>
      <c r="E622" s="12">
        <f>CHOOSE( CONTROL!$C$36, 17.6877, 17.6861) * CHOOSE( CONTROL!$C$19, $D$11, 100%, $F$11)</f>
        <v>17.6877</v>
      </c>
      <c r="F622" s="4">
        <f>CHOOSE( CONTROL!$C$36, 18.4048, 18.4031) * CHOOSE(CONTROL!$C$19, $D$11, 100%, $F$11)</f>
        <v>18.404800000000002</v>
      </c>
      <c r="G622" s="8">
        <f>CHOOSE( CONTROL!$C$36, 17.4775, 17.4759) * CHOOSE( CONTROL!$C$19, $D$11, 100%, $F$11)</f>
        <v>17.477499999999999</v>
      </c>
      <c r="H622" s="4">
        <f>CHOOSE( CONTROL!$C$36, 18.4219, 18.4202) * CHOOSE(CONTROL!$C$19, $D$11, 100%, $F$11)</f>
        <v>18.421900000000001</v>
      </c>
      <c r="I622" s="8">
        <f>CHOOSE( CONTROL!$C$36, 17.2659, 17.2643) * CHOOSE(CONTROL!$C$19, $D$11, 100%, $F$11)</f>
        <v>17.265899999999998</v>
      </c>
      <c r="J622" s="4">
        <f>CHOOSE( CONTROL!$C$36, 17.1262, 17.1246) * CHOOSE(CONTROL!$C$19, $D$11, 100%, $F$11)</f>
        <v>17.126200000000001</v>
      </c>
      <c r="K622" s="4"/>
      <c r="L622" s="9">
        <v>29.7257</v>
      </c>
      <c r="M622" s="9">
        <v>11.6745</v>
      </c>
      <c r="N622" s="9">
        <v>4.7850000000000001</v>
      </c>
      <c r="O622" s="9">
        <v>0.36199999999999999</v>
      </c>
      <c r="P622" s="9">
        <v>1.2509999999999999</v>
      </c>
      <c r="Q622" s="9">
        <v>19.053000000000001</v>
      </c>
      <c r="R622" s="9"/>
      <c r="S622" s="11"/>
    </row>
    <row r="623" spans="1:19" ht="15.75">
      <c r="A623" s="13">
        <v>60114</v>
      </c>
      <c r="B623" s="8">
        <f>CHOOSE( CONTROL!$C$36, 18.4328, 18.4311) * CHOOSE(CONTROL!$C$19, $D$11, 100%, $F$11)</f>
        <v>18.4328</v>
      </c>
      <c r="C623" s="8">
        <f>CHOOSE( CONTROL!$C$36, 18.4408, 18.4391) * CHOOSE(CONTROL!$C$19, $D$11, 100%, $F$11)</f>
        <v>18.440799999999999</v>
      </c>
      <c r="D623" s="8">
        <f>CHOOSE( CONTROL!$C$36, 18.4554, 18.4537) * CHOOSE( CONTROL!$C$19, $D$11, 100%, $F$11)</f>
        <v>18.455400000000001</v>
      </c>
      <c r="E623" s="12">
        <f>CHOOSE( CONTROL!$C$36, 18.4489, 18.4472) * CHOOSE( CONTROL!$C$19, $D$11, 100%, $F$11)</f>
        <v>18.448899999999998</v>
      </c>
      <c r="F623" s="4">
        <f>CHOOSE( CONTROL!$C$36, 19.1658, 19.1641) * CHOOSE(CONTROL!$C$19, $D$11, 100%, $F$11)</f>
        <v>19.165800000000001</v>
      </c>
      <c r="G623" s="8">
        <f>CHOOSE( CONTROL!$C$36, 18.2281, 18.2265) * CHOOSE( CONTROL!$C$19, $D$11, 100%, $F$11)</f>
        <v>18.228100000000001</v>
      </c>
      <c r="H623" s="4">
        <f>CHOOSE( CONTROL!$C$36, 19.1722, 19.1706) * CHOOSE(CONTROL!$C$19, $D$11, 100%, $F$11)</f>
        <v>19.1722</v>
      </c>
      <c r="I623" s="8">
        <f>CHOOSE( CONTROL!$C$36, 18.004, 18.0024) * CHOOSE(CONTROL!$C$19, $D$11, 100%, $F$11)</f>
        <v>18.004000000000001</v>
      </c>
      <c r="J623" s="4">
        <f>CHOOSE( CONTROL!$C$36, 17.863, 17.8614) * CHOOSE(CONTROL!$C$19, $D$11, 100%, $F$11)</f>
        <v>17.863</v>
      </c>
      <c r="K623" s="4"/>
      <c r="L623" s="9">
        <v>30.7165</v>
      </c>
      <c r="M623" s="9">
        <v>12.063700000000001</v>
      </c>
      <c r="N623" s="9">
        <v>4.9444999999999997</v>
      </c>
      <c r="O623" s="9">
        <v>0.37409999999999999</v>
      </c>
      <c r="P623" s="9">
        <v>1.2927</v>
      </c>
      <c r="Q623" s="9">
        <v>19.688099999999999</v>
      </c>
      <c r="R623" s="9"/>
      <c r="S623" s="11"/>
    </row>
    <row r="624" spans="1:19" ht="15.75">
      <c r="A624" s="13">
        <v>60145</v>
      </c>
      <c r="B624" s="8">
        <f>CHOOSE( CONTROL!$C$36, 17.0088, 17.0072) * CHOOSE(CONTROL!$C$19, $D$11, 100%, $F$11)</f>
        <v>17.008800000000001</v>
      </c>
      <c r="C624" s="8">
        <f>CHOOSE( CONTROL!$C$36, 17.0168, 17.0152) * CHOOSE(CONTROL!$C$19, $D$11, 100%, $F$11)</f>
        <v>17.0168</v>
      </c>
      <c r="D624" s="8">
        <f>CHOOSE( CONTROL!$C$36, 17.0315, 17.0299) * CHOOSE( CONTROL!$C$19, $D$11, 100%, $F$11)</f>
        <v>17.031500000000001</v>
      </c>
      <c r="E624" s="12">
        <f>CHOOSE( CONTROL!$C$36, 17.025, 17.0234) * CHOOSE( CONTROL!$C$19, $D$11, 100%, $F$11)</f>
        <v>17.024999999999999</v>
      </c>
      <c r="F624" s="4">
        <f>CHOOSE( CONTROL!$C$36, 17.7419, 17.7402) * CHOOSE(CONTROL!$C$19, $D$11, 100%, $F$11)</f>
        <v>17.741900000000001</v>
      </c>
      <c r="G624" s="8">
        <f>CHOOSE( CONTROL!$C$36, 16.8241, 16.8225) * CHOOSE( CONTROL!$C$19, $D$11, 100%, $F$11)</f>
        <v>16.824100000000001</v>
      </c>
      <c r="H624" s="4">
        <f>CHOOSE( CONTROL!$C$36, 17.7682, 17.7666) * CHOOSE(CONTROL!$C$19, $D$11, 100%, $F$11)</f>
        <v>17.7682</v>
      </c>
      <c r="I624" s="8">
        <f>CHOOSE( CONTROL!$C$36, 16.6247, 16.6231) * CHOOSE(CONTROL!$C$19, $D$11, 100%, $F$11)</f>
        <v>16.624700000000001</v>
      </c>
      <c r="J624" s="4">
        <f>CHOOSE( CONTROL!$C$36, 16.4843, 16.4827) * CHOOSE(CONTROL!$C$19, $D$11, 100%, $F$11)</f>
        <v>16.484300000000001</v>
      </c>
      <c r="K624" s="4"/>
      <c r="L624" s="9">
        <v>30.7165</v>
      </c>
      <c r="M624" s="9">
        <v>12.063700000000001</v>
      </c>
      <c r="N624" s="9">
        <v>4.9444999999999997</v>
      </c>
      <c r="O624" s="9">
        <v>0.37409999999999999</v>
      </c>
      <c r="P624" s="9">
        <v>1.2927</v>
      </c>
      <c r="Q624" s="9">
        <v>19.688099999999999</v>
      </c>
      <c r="R624" s="9"/>
      <c r="S624" s="11"/>
    </row>
    <row r="625" spans="1:19" ht="15.75">
      <c r="A625" s="13">
        <v>60175</v>
      </c>
      <c r="B625" s="8">
        <f>CHOOSE( CONTROL!$C$36, 16.6523, 16.6506) * CHOOSE(CONTROL!$C$19, $D$11, 100%, $F$11)</f>
        <v>16.6523</v>
      </c>
      <c r="C625" s="8">
        <f>CHOOSE( CONTROL!$C$36, 16.6603, 16.6586) * CHOOSE(CONTROL!$C$19, $D$11, 100%, $F$11)</f>
        <v>16.660299999999999</v>
      </c>
      <c r="D625" s="8">
        <f>CHOOSE( CONTROL!$C$36, 16.6749, 16.6732) * CHOOSE( CONTROL!$C$19, $D$11, 100%, $F$11)</f>
        <v>16.674900000000001</v>
      </c>
      <c r="E625" s="12">
        <f>CHOOSE( CONTROL!$C$36, 16.6684, 16.6667) * CHOOSE( CONTROL!$C$19, $D$11, 100%, $F$11)</f>
        <v>16.668399999999998</v>
      </c>
      <c r="F625" s="4">
        <f>CHOOSE( CONTROL!$C$36, 17.3853, 17.3837) * CHOOSE(CONTROL!$C$19, $D$11, 100%, $F$11)</f>
        <v>17.385300000000001</v>
      </c>
      <c r="G625" s="8">
        <f>CHOOSE( CONTROL!$C$36, 16.4725, 16.4708) * CHOOSE( CONTROL!$C$19, $D$11, 100%, $F$11)</f>
        <v>16.4725</v>
      </c>
      <c r="H625" s="4">
        <f>CHOOSE( CONTROL!$C$36, 17.4166, 17.415) * CHOOSE(CONTROL!$C$19, $D$11, 100%, $F$11)</f>
        <v>17.416599999999999</v>
      </c>
      <c r="I625" s="8">
        <f>CHOOSE( CONTROL!$C$36, 16.279, 16.2773) * CHOOSE(CONTROL!$C$19, $D$11, 100%, $F$11)</f>
        <v>16.279</v>
      </c>
      <c r="J625" s="4">
        <f>CHOOSE( CONTROL!$C$36, 16.139, 16.1374) * CHOOSE(CONTROL!$C$19, $D$11, 100%, $F$11)</f>
        <v>16.138999999999999</v>
      </c>
      <c r="K625" s="4"/>
      <c r="L625" s="9">
        <v>29.7257</v>
      </c>
      <c r="M625" s="9">
        <v>11.6745</v>
      </c>
      <c r="N625" s="9">
        <v>4.7850000000000001</v>
      </c>
      <c r="O625" s="9">
        <v>0.36199999999999999</v>
      </c>
      <c r="P625" s="9">
        <v>1.2509999999999999</v>
      </c>
      <c r="Q625" s="9">
        <v>19.053000000000001</v>
      </c>
      <c r="R625" s="9"/>
      <c r="S625" s="11"/>
    </row>
    <row r="626" spans="1:19" ht="15.75">
      <c r="A626" s="13">
        <v>60206</v>
      </c>
      <c r="B626" s="8">
        <f>CHOOSE( CONTROL!$C$36, 17.3903, 17.3892) * CHOOSE(CONTROL!$C$19, $D$11, 100%, $F$11)</f>
        <v>17.3903</v>
      </c>
      <c r="C626" s="8">
        <f>CHOOSE( CONTROL!$C$36, 17.3957, 17.3946) * CHOOSE(CONTROL!$C$19, $D$11, 100%, $F$11)</f>
        <v>17.395700000000001</v>
      </c>
      <c r="D626" s="8">
        <f>CHOOSE( CONTROL!$C$36, 17.4162, 17.4151) * CHOOSE( CONTROL!$C$19, $D$11, 100%, $F$11)</f>
        <v>17.4162</v>
      </c>
      <c r="E626" s="12">
        <f>CHOOSE( CONTROL!$C$36, 17.4089, 17.4078) * CHOOSE( CONTROL!$C$19, $D$11, 100%, $F$11)</f>
        <v>17.408899999999999</v>
      </c>
      <c r="F626" s="4">
        <f>CHOOSE( CONTROL!$C$36, 18.1251, 18.124) * CHOOSE(CONTROL!$C$19, $D$11, 100%, $F$11)</f>
        <v>18.1251</v>
      </c>
      <c r="G626" s="8">
        <f>CHOOSE( CONTROL!$C$36, 17.2021, 17.201) * CHOOSE( CONTROL!$C$19, $D$11, 100%, $F$11)</f>
        <v>17.202100000000002</v>
      </c>
      <c r="H626" s="4">
        <f>CHOOSE( CONTROL!$C$36, 18.1461, 18.145) * CHOOSE(CONTROL!$C$19, $D$11, 100%, $F$11)</f>
        <v>18.146100000000001</v>
      </c>
      <c r="I626" s="8">
        <f>CHOOSE( CONTROL!$C$36, 16.9967, 16.9956) * CHOOSE(CONTROL!$C$19, $D$11, 100%, $F$11)</f>
        <v>16.996700000000001</v>
      </c>
      <c r="J626" s="4">
        <f>CHOOSE( CONTROL!$C$36, 16.8553, 16.8543) * CHOOSE(CONTROL!$C$19, $D$11, 100%, $F$11)</f>
        <v>16.8553</v>
      </c>
      <c r="K626" s="4"/>
      <c r="L626" s="9">
        <v>31.095300000000002</v>
      </c>
      <c r="M626" s="9">
        <v>12.063700000000001</v>
      </c>
      <c r="N626" s="9">
        <v>4.9444999999999997</v>
      </c>
      <c r="O626" s="9">
        <v>0.37409999999999999</v>
      </c>
      <c r="P626" s="9">
        <v>1.2927</v>
      </c>
      <c r="Q626" s="9">
        <v>19.688099999999999</v>
      </c>
      <c r="R626" s="9"/>
      <c r="S626" s="11"/>
    </row>
    <row r="627" spans="1:19" ht="15.75">
      <c r="A627" s="13">
        <v>60236</v>
      </c>
      <c r="B627" s="8">
        <f>CHOOSE( CONTROL!$C$36, 18.7565, 18.7554) * CHOOSE(CONTROL!$C$19, $D$11, 100%, $F$11)</f>
        <v>18.756499999999999</v>
      </c>
      <c r="C627" s="8">
        <f>CHOOSE( CONTROL!$C$36, 18.7616, 18.7605) * CHOOSE(CONTROL!$C$19, $D$11, 100%, $F$11)</f>
        <v>18.761600000000001</v>
      </c>
      <c r="D627" s="8">
        <f>CHOOSE( CONTROL!$C$36, 18.7408, 18.7397) * CHOOSE( CONTROL!$C$19, $D$11, 100%, $F$11)</f>
        <v>18.7408</v>
      </c>
      <c r="E627" s="12">
        <f>CHOOSE( CONTROL!$C$36, 18.7479, 18.7468) * CHOOSE( CONTROL!$C$19, $D$11, 100%, $F$11)</f>
        <v>18.747900000000001</v>
      </c>
      <c r="F627" s="4">
        <f>CHOOSE( CONTROL!$C$36, 19.4157, 19.4146) * CHOOSE(CONTROL!$C$19, $D$11, 100%, $F$11)</f>
        <v>19.415700000000001</v>
      </c>
      <c r="G627" s="8">
        <f>CHOOSE( CONTROL!$C$36, 18.5295, 18.5285) * CHOOSE( CONTROL!$C$19, $D$11, 100%, $F$11)</f>
        <v>18.529499999999999</v>
      </c>
      <c r="H627" s="4">
        <f>CHOOSE( CONTROL!$C$36, 19.4187, 19.4176) * CHOOSE(CONTROL!$C$19, $D$11, 100%, $F$11)</f>
        <v>19.418700000000001</v>
      </c>
      <c r="I627" s="8">
        <f>CHOOSE( CONTROL!$C$36, 18.3697, 18.3686) * CHOOSE(CONTROL!$C$19, $D$11, 100%, $F$11)</f>
        <v>18.369700000000002</v>
      </c>
      <c r="J627" s="4">
        <f>CHOOSE( CONTROL!$C$36, 18.1785, 18.1775) * CHOOSE(CONTROL!$C$19, $D$11, 100%, $F$11)</f>
        <v>18.1785</v>
      </c>
      <c r="K627" s="4"/>
      <c r="L627" s="9">
        <v>28.360600000000002</v>
      </c>
      <c r="M627" s="9">
        <v>11.6745</v>
      </c>
      <c r="N627" s="9">
        <v>4.7850000000000001</v>
      </c>
      <c r="O627" s="9">
        <v>0.36199999999999999</v>
      </c>
      <c r="P627" s="9">
        <v>1.2509999999999999</v>
      </c>
      <c r="Q627" s="9">
        <v>19.053000000000001</v>
      </c>
      <c r="R627" s="9"/>
      <c r="S627" s="11"/>
    </row>
    <row r="628" spans="1:19" ht="15.75">
      <c r="A628" s="13">
        <v>60267</v>
      </c>
      <c r="B628" s="8">
        <f>CHOOSE( CONTROL!$C$36, 18.7223, 18.7212) * CHOOSE(CONTROL!$C$19, $D$11, 100%, $F$11)</f>
        <v>18.722300000000001</v>
      </c>
      <c r="C628" s="8">
        <f>CHOOSE( CONTROL!$C$36, 18.7274, 18.7263) * CHOOSE(CONTROL!$C$19, $D$11, 100%, $F$11)</f>
        <v>18.727399999999999</v>
      </c>
      <c r="D628" s="8">
        <f>CHOOSE( CONTROL!$C$36, 18.708, 18.7069) * CHOOSE( CONTROL!$C$19, $D$11, 100%, $F$11)</f>
        <v>18.707999999999998</v>
      </c>
      <c r="E628" s="12">
        <f>CHOOSE( CONTROL!$C$36, 18.7146, 18.7135) * CHOOSE( CONTROL!$C$19, $D$11, 100%, $F$11)</f>
        <v>18.714600000000001</v>
      </c>
      <c r="F628" s="4">
        <f>CHOOSE( CONTROL!$C$36, 19.3816, 19.3805) * CHOOSE(CONTROL!$C$19, $D$11, 100%, $F$11)</f>
        <v>19.381599999999999</v>
      </c>
      <c r="G628" s="8">
        <f>CHOOSE( CONTROL!$C$36, 18.4969, 18.4958) * CHOOSE( CONTROL!$C$19, $D$11, 100%, $F$11)</f>
        <v>18.4969</v>
      </c>
      <c r="H628" s="4">
        <f>CHOOSE( CONTROL!$C$36, 19.385, 19.3839) * CHOOSE(CONTROL!$C$19, $D$11, 100%, $F$11)</f>
        <v>19.385000000000002</v>
      </c>
      <c r="I628" s="8">
        <f>CHOOSE( CONTROL!$C$36, 18.3409, 18.3398) * CHOOSE(CONTROL!$C$19, $D$11, 100%, $F$11)</f>
        <v>18.340900000000001</v>
      </c>
      <c r="J628" s="4">
        <f>CHOOSE( CONTROL!$C$36, 18.1455, 18.1444) * CHOOSE(CONTROL!$C$19, $D$11, 100%, $F$11)</f>
        <v>18.145499999999998</v>
      </c>
      <c r="K628" s="4"/>
      <c r="L628" s="9">
        <v>29.306000000000001</v>
      </c>
      <c r="M628" s="9">
        <v>12.063700000000001</v>
      </c>
      <c r="N628" s="9">
        <v>4.9444999999999997</v>
      </c>
      <c r="O628" s="9">
        <v>0.37409999999999999</v>
      </c>
      <c r="P628" s="9">
        <v>1.2927</v>
      </c>
      <c r="Q628" s="9">
        <v>19.688099999999999</v>
      </c>
      <c r="R628" s="9"/>
      <c r="S628" s="11"/>
    </row>
    <row r="629" spans="1:19" ht="15.75">
      <c r="A629" s="13">
        <v>60298</v>
      </c>
      <c r="B629" s="8">
        <f>CHOOSE( CONTROL!$C$36, 19.275, 19.274) * CHOOSE(CONTROL!$C$19, $D$11, 100%, $F$11)</f>
        <v>19.274999999999999</v>
      </c>
      <c r="C629" s="8">
        <f>CHOOSE( CONTROL!$C$36, 19.2801, 19.2791) * CHOOSE(CONTROL!$C$19, $D$11, 100%, $F$11)</f>
        <v>19.280100000000001</v>
      </c>
      <c r="D629" s="8">
        <f>CHOOSE( CONTROL!$C$36, 19.2814, 19.2803) * CHOOSE( CONTROL!$C$19, $D$11, 100%, $F$11)</f>
        <v>19.281400000000001</v>
      </c>
      <c r="E629" s="12">
        <f>CHOOSE( CONTROL!$C$36, 19.2804, 19.2793) * CHOOSE( CONTROL!$C$19, $D$11, 100%, $F$11)</f>
        <v>19.2804</v>
      </c>
      <c r="F629" s="4">
        <f>CHOOSE( CONTROL!$C$36, 19.9343, 19.9332) * CHOOSE(CONTROL!$C$19, $D$11, 100%, $F$11)</f>
        <v>19.9343</v>
      </c>
      <c r="G629" s="8">
        <f>CHOOSE( CONTROL!$C$36, 19.0529, 19.0518) * CHOOSE( CONTROL!$C$19, $D$11, 100%, $F$11)</f>
        <v>19.052900000000001</v>
      </c>
      <c r="H629" s="4">
        <f>CHOOSE( CONTROL!$C$36, 19.93, 19.929) * CHOOSE(CONTROL!$C$19, $D$11, 100%, $F$11)</f>
        <v>19.93</v>
      </c>
      <c r="I629" s="8">
        <f>CHOOSE( CONTROL!$C$36, 18.8538, 18.8528) * CHOOSE(CONTROL!$C$19, $D$11, 100%, $F$11)</f>
        <v>18.8538</v>
      </c>
      <c r="J629" s="4">
        <f>CHOOSE( CONTROL!$C$36, 18.6807, 18.6796) * CHOOSE(CONTROL!$C$19, $D$11, 100%, $F$11)</f>
        <v>18.680700000000002</v>
      </c>
      <c r="K629" s="4"/>
      <c r="L629" s="9">
        <v>29.306000000000001</v>
      </c>
      <c r="M629" s="9">
        <v>12.063700000000001</v>
      </c>
      <c r="N629" s="9">
        <v>4.9444999999999997</v>
      </c>
      <c r="O629" s="9">
        <v>0.37409999999999999</v>
      </c>
      <c r="P629" s="9">
        <v>1.2927</v>
      </c>
      <c r="Q629" s="9">
        <v>19.688099999999999</v>
      </c>
      <c r="R629" s="9"/>
      <c r="S629" s="11"/>
    </row>
    <row r="630" spans="1:19" ht="15.75">
      <c r="A630" s="13">
        <v>60326</v>
      </c>
      <c r="B630" s="8">
        <f>CHOOSE( CONTROL!$C$36, 18.0279, 18.0268) * CHOOSE(CONTROL!$C$19, $D$11, 100%, $F$11)</f>
        <v>18.027899999999999</v>
      </c>
      <c r="C630" s="8">
        <f>CHOOSE( CONTROL!$C$36, 18.033, 18.0319) * CHOOSE(CONTROL!$C$19, $D$11, 100%, $F$11)</f>
        <v>18.033000000000001</v>
      </c>
      <c r="D630" s="8">
        <f>CHOOSE( CONTROL!$C$36, 18.0342, 18.0331) * CHOOSE( CONTROL!$C$19, $D$11, 100%, $F$11)</f>
        <v>18.034199999999998</v>
      </c>
      <c r="E630" s="12">
        <f>CHOOSE( CONTROL!$C$36, 18.0332, 18.0321) * CHOOSE( CONTROL!$C$19, $D$11, 100%, $F$11)</f>
        <v>18.033200000000001</v>
      </c>
      <c r="F630" s="4">
        <f>CHOOSE( CONTROL!$C$36, 18.6872, 18.6861) * CHOOSE(CONTROL!$C$19, $D$11, 100%, $F$11)</f>
        <v>18.687200000000001</v>
      </c>
      <c r="G630" s="8">
        <f>CHOOSE( CONTROL!$C$36, 17.8231, 17.822) * CHOOSE( CONTROL!$C$19, $D$11, 100%, $F$11)</f>
        <v>17.8231</v>
      </c>
      <c r="H630" s="4">
        <f>CHOOSE( CONTROL!$C$36, 18.7003, 18.6992) * CHOOSE(CONTROL!$C$19, $D$11, 100%, $F$11)</f>
        <v>18.700299999999999</v>
      </c>
      <c r="I630" s="8">
        <f>CHOOSE( CONTROL!$C$36, 17.6452, 17.6442) * CHOOSE(CONTROL!$C$19, $D$11, 100%, $F$11)</f>
        <v>17.645199999999999</v>
      </c>
      <c r="J630" s="4">
        <f>CHOOSE( CONTROL!$C$36, 17.4731, 17.472) * CHOOSE(CONTROL!$C$19, $D$11, 100%, $F$11)</f>
        <v>17.473099999999999</v>
      </c>
      <c r="K630" s="4"/>
      <c r="L630" s="9">
        <v>26.469899999999999</v>
      </c>
      <c r="M630" s="9">
        <v>10.8962</v>
      </c>
      <c r="N630" s="9">
        <v>4.4660000000000002</v>
      </c>
      <c r="O630" s="9">
        <v>0.33789999999999998</v>
      </c>
      <c r="P630" s="9">
        <v>1.1676</v>
      </c>
      <c r="Q630" s="9">
        <v>17.782800000000002</v>
      </c>
      <c r="R630" s="9"/>
      <c r="S630" s="11"/>
    </row>
    <row r="631" spans="1:19" ht="15.75">
      <c r="A631" s="13">
        <v>60357</v>
      </c>
      <c r="B631" s="8">
        <f>CHOOSE( CONTROL!$C$36, 17.6438, 17.6427) * CHOOSE(CONTROL!$C$19, $D$11, 100%, $F$11)</f>
        <v>17.643799999999999</v>
      </c>
      <c r="C631" s="8">
        <f>CHOOSE( CONTROL!$C$36, 17.6489, 17.6478) * CHOOSE(CONTROL!$C$19, $D$11, 100%, $F$11)</f>
        <v>17.648900000000001</v>
      </c>
      <c r="D631" s="8">
        <f>CHOOSE( CONTROL!$C$36, 17.6494, 17.6483) * CHOOSE( CONTROL!$C$19, $D$11, 100%, $F$11)</f>
        <v>17.6494</v>
      </c>
      <c r="E631" s="12">
        <f>CHOOSE( CONTROL!$C$36, 17.6487, 17.6476) * CHOOSE( CONTROL!$C$19, $D$11, 100%, $F$11)</f>
        <v>17.648700000000002</v>
      </c>
      <c r="F631" s="4">
        <f>CHOOSE( CONTROL!$C$36, 18.303, 18.302) * CHOOSE(CONTROL!$C$19, $D$11, 100%, $F$11)</f>
        <v>18.303000000000001</v>
      </c>
      <c r="G631" s="8">
        <f>CHOOSE( CONTROL!$C$36, 17.4439, 17.4428) * CHOOSE( CONTROL!$C$19, $D$11, 100%, $F$11)</f>
        <v>17.443899999999999</v>
      </c>
      <c r="H631" s="4">
        <f>CHOOSE( CONTROL!$C$36, 18.3215, 18.3205) * CHOOSE(CONTROL!$C$19, $D$11, 100%, $F$11)</f>
        <v>18.3215</v>
      </c>
      <c r="I631" s="8">
        <f>CHOOSE( CONTROL!$C$36, 17.2711, 17.2701) * CHOOSE(CONTROL!$C$19, $D$11, 100%, $F$11)</f>
        <v>17.271100000000001</v>
      </c>
      <c r="J631" s="4">
        <f>CHOOSE( CONTROL!$C$36, 17.1011, 17.1001) * CHOOSE(CONTROL!$C$19, $D$11, 100%, $F$11)</f>
        <v>17.101099999999999</v>
      </c>
      <c r="K631" s="4"/>
      <c r="L631" s="9">
        <v>29.306000000000001</v>
      </c>
      <c r="M631" s="9">
        <v>12.063700000000001</v>
      </c>
      <c r="N631" s="9">
        <v>4.9444999999999997</v>
      </c>
      <c r="O631" s="9">
        <v>0.37409999999999999</v>
      </c>
      <c r="P631" s="9">
        <v>1.2927</v>
      </c>
      <c r="Q631" s="9">
        <v>19.688099999999999</v>
      </c>
      <c r="R631" s="9"/>
      <c r="S631" s="11"/>
    </row>
    <row r="632" spans="1:19" ht="15.75">
      <c r="A632" s="13">
        <v>60387</v>
      </c>
      <c r="B632" s="8">
        <f>CHOOSE( CONTROL!$C$36, 17.913, 17.9119) * CHOOSE(CONTROL!$C$19, $D$11, 100%, $F$11)</f>
        <v>17.913</v>
      </c>
      <c r="C632" s="8">
        <f>CHOOSE( CONTROL!$C$36, 17.9175, 17.9164) * CHOOSE(CONTROL!$C$19, $D$11, 100%, $F$11)</f>
        <v>17.9175</v>
      </c>
      <c r="D632" s="8">
        <f>CHOOSE( CONTROL!$C$36, 17.9379, 17.9368) * CHOOSE( CONTROL!$C$19, $D$11, 100%, $F$11)</f>
        <v>17.937899999999999</v>
      </c>
      <c r="E632" s="12">
        <f>CHOOSE( CONTROL!$C$36, 17.9306, 17.9295) * CHOOSE( CONTROL!$C$19, $D$11, 100%, $F$11)</f>
        <v>17.930599999999998</v>
      </c>
      <c r="F632" s="4">
        <f>CHOOSE( CONTROL!$C$36, 18.6474, 18.6463) * CHOOSE(CONTROL!$C$19, $D$11, 100%, $F$11)</f>
        <v>18.647400000000001</v>
      </c>
      <c r="G632" s="8">
        <f>CHOOSE( CONTROL!$C$36, 17.7166, 17.7156) * CHOOSE( CONTROL!$C$19, $D$11, 100%, $F$11)</f>
        <v>17.7166</v>
      </c>
      <c r="H632" s="4">
        <f>CHOOSE( CONTROL!$C$36, 18.661, 18.66) * CHOOSE(CONTROL!$C$19, $D$11, 100%, $F$11)</f>
        <v>18.661000000000001</v>
      </c>
      <c r="I632" s="8">
        <f>CHOOSE( CONTROL!$C$36, 17.5006, 17.4996) * CHOOSE(CONTROL!$C$19, $D$11, 100%, $F$11)</f>
        <v>17.500599999999999</v>
      </c>
      <c r="J632" s="4">
        <f>CHOOSE( CONTROL!$C$36, 17.361, 17.36) * CHOOSE(CONTROL!$C$19, $D$11, 100%, $F$11)</f>
        <v>17.361000000000001</v>
      </c>
      <c r="K632" s="4"/>
      <c r="L632" s="9">
        <v>30.092199999999998</v>
      </c>
      <c r="M632" s="9">
        <v>11.6745</v>
      </c>
      <c r="N632" s="9">
        <v>4.7850000000000001</v>
      </c>
      <c r="O632" s="9">
        <v>0.36199999999999999</v>
      </c>
      <c r="P632" s="9">
        <v>1.2509999999999999</v>
      </c>
      <c r="Q632" s="9">
        <v>19.053000000000001</v>
      </c>
      <c r="R632" s="9"/>
      <c r="S632" s="11"/>
    </row>
    <row r="633" spans="1:19" ht="15.75">
      <c r="A633" s="13">
        <v>60418</v>
      </c>
      <c r="B633" s="8">
        <f>CHOOSE( CONTROL!$C$36, 18.3926, 18.391) * CHOOSE(CONTROL!$C$19, $D$11, 100%, $F$11)</f>
        <v>18.392600000000002</v>
      </c>
      <c r="C633" s="8">
        <f>CHOOSE( CONTROL!$C$36, 18.4006, 18.3989) * CHOOSE(CONTROL!$C$19, $D$11, 100%, $F$11)</f>
        <v>18.400600000000001</v>
      </c>
      <c r="D633" s="8">
        <f>CHOOSE( CONTROL!$C$36, 18.4148, 18.4131) * CHOOSE( CONTROL!$C$19, $D$11, 100%, $F$11)</f>
        <v>18.4148</v>
      </c>
      <c r="E633" s="12">
        <f>CHOOSE( CONTROL!$C$36, 18.4084, 18.4067) * CHOOSE( CONTROL!$C$19, $D$11, 100%, $F$11)</f>
        <v>18.4084</v>
      </c>
      <c r="F633" s="4">
        <f>CHOOSE( CONTROL!$C$36, 19.1256, 19.124) * CHOOSE(CONTROL!$C$19, $D$11, 100%, $F$11)</f>
        <v>19.125599999999999</v>
      </c>
      <c r="G633" s="8">
        <f>CHOOSE( CONTROL!$C$36, 18.1882, 18.1866) * CHOOSE( CONTROL!$C$19, $D$11, 100%, $F$11)</f>
        <v>18.188199999999998</v>
      </c>
      <c r="H633" s="4">
        <f>CHOOSE( CONTROL!$C$36, 19.1327, 19.131) * CHOOSE(CONTROL!$C$19, $D$11, 100%, $F$11)</f>
        <v>19.1327</v>
      </c>
      <c r="I633" s="8">
        <f>CHOOSE( CONTROL!$C$36, 17.9636, 17.962) * CHOOSE(CONTROL!$C$19, $D$11, 100%, $F$11)</f>
        <v>17.9636</v>
      </c>
      <c r="J633" s="4">
        <f>CHOOSE( CONTROL!$C$36, 17.8242, 17.8226) * CHOOSE(CONTROL!$C$19, $D$11, 100%, $F$11)</f>
        <v>17.824200000000001</v>
      </c>
      <c r="K633" s="4"/>
      <c r="L633" s="9">
        <v>30.7165</v>
      </c>
      <c r="M633" s="9">
        <v>12.063700000000001</v>
      </c>
      <c r="N633" s="9">
        <v>4.9444999999999997</v>
      </c>
      <c r="O633" s="9">
        <v>0.37409999999999999</v>
      </c>
      <c r="P633" s="9">
        <v>1.2927</v>
      </c>
      <c r="Q633" s="9">
        <v>19.688099999999999</v>
      </c>
      <c r="R633" s="9"/>
      <c r="S633" s="11"/>
    </row>
    <row r="634" spans="1:19" ht="15.75">
      <c r="A634" s="13">
        <v>60448</v>
      </c>
      <c r="B634" s="8">
        <f>CHOOSE( CONTROL!$C$36, 18.0967, 18.095) * CHOOSE(CONTROL!$C$19, $D$11, 100%, $F$11)</f>
        <v>18.096699999999998</v>
      </c>
      <c r="C634" s="8">
        <f>CHOOSE( CONTROL!$C$36, 18.1047, 18.103) * CHOOSE(CONTROL!$C$19, $D$11, 100%, $F$11)</f>
        <v>18.104700000000001</v>
      </c>
      <c r="D634" s="8">
        <f>CHOOSE( CONTROL!$C$36, 18.1191, 18.1174) * CHOOSE( CONTROL!$C$19, $D$11, 100%, $F$11)</f>
        <v>18.1191</v>
      </c>
      <c r="E634" s="12">
        <f>CHOOSE( CONTROL!$C$36, 18.1127, 18.111) * CHOOSE( CONTROL!$C$19, $D$11, 100%, $F$11)</f>
        <v>18.1127</v>
      </c>
      <c r="F634" s="4">
        <f>CHOOSE( CONTROL!$C$36, 18.8297, 18.8281) * CHOOSE(CONTROL!$C$19, $D$11, 100%, $F$11)</f>
        <v>18.829699999999999</v>
      </c>
      <c r="G634" s="8">
        <f>CHOOSE( CONTROL!$C$36, 17.8966, 17.8949) * CHOOSE( CONTROL!$C$19, $D$11, 100%, $F$11)</f>
        <v>17.896599999999999</v>
      </c>
      <c r="H634" s="4">
        <f>CHOOSE( CONTROL!$C$36, 18.8409, 18.8392) * CHOOSE(CONTROL!$C$19, $D$11, 100%, $F$11)</f>
        <v>18.840900000000001</v>
      </c>
      <c r="I634" s="8">
        <f>CHOOSE( CONTROL!$C$36, 17.6776, 17.676) * CHOOSE(CONTROL!$C$19, $D$11, 100%, $F$11)</f>
        <v>17.677600000000002</v>
      </c>
      <c r="J634" s="4">
        <f>CHOOSE( CONTROL!$C$36, 17.5376, 17.536) * CHOOSE(CONTROL!$C$19, $D$11, 100%, $F$11)</f>
        <v>17.537600000000001</v>
      </c>
      <c r="K634" s="4"/>
      <c r="L634" s="9">
        <v>29.7257</v>
      </c>
      <c r="M634" s="9">
        <v>11.6745</v>
      </c>
      <c r="N634" s="9">
        <v>4.7850000000000001</v>
      </c>
      <c r="O634" s="9">
        <v>0.36199999999999999</v>
      </c>
      <c r="P634" s="9">
        <v>1.2509999999999999</v>
      </c>
      <c r="Q634" s="9">
        <v>19.053000000000001</v>
      </c>
      <c r="R634" s="9"/>
      <c r="S634" s="11"/>
    </row>
    <row r="635" spans="1:19" ht="15.75">
      <c r="A635" s="13">
        <v>60479</v>
      </c>
      <c r="B635" s="8">
        <f>CHOOSE( CONTROL!$C$36, 18.876, 18.8743) * CHOOSE(CONTROL!$C$19, $D$11, 100%, $F$11)</f>
        <v>18.876000000000001</v>
      </c>
      <c r="C635" s="8">
        <f>CHOOSE( CONTROL!$C$36, 18.884, 18.8823) * CHOOSE(CONTROL!$C$19, $D$11, 100%, $F$11)</f>
        <v>18.884</v>
      </c>
      <c r="D635" s="8">
        <f>CHOOSE( CONTROL!$C$36, 18.8986, 18.8969) * CHOOSE( CONTROL!$C$19, $D$11, 100%, $F$11)</f>
        <v>18.898599999999998</v>
      </c>
      <c r="E635" s="12">
        <f>CHOOSE( CONTROL!$C$36, 18.8921, 18.8904) * CHOOSE( CONTROL!$C$19, $D$11, 100%, $F$11)</f>
        <v>18.892099999999999</v>
      </c>
      <c r="F635" s="4">
        <f>CHOOSE( CONTROL!$C$36, 19.609, 19.6073) * CHOOSE(CONTROL!$C$19, $D$11, 100%, $F$11)</f>
        <v>19.609000000000002</v>
      </c>
      <c r="G635" s="8">
        <f>CHOOSE( CONTROL!$C$36, 18.6652, 18.6635) * CHOOSE( CONTROL!$C$19, $D$11, 100%, $F$11)</f>
        <v>18.665199999999999</v>
      </c>
      <c r="H635" s="4">
        <f>CHOOSE( CONTROL!$C$36, 19.6093, 19.6076) * CHOOSE(CONTROL!$C$19, $D$11, 100%, $F$11)</f>
        <v>19.609300000000001</v>
      </c>
      <c r="I635" s="8">
        <f>CHOOSE( CONTROL!$C$36, 18.4334, 18.4318) * CHOOSE(CONTROL!$C$19, $D$11, 100%, $F$11)</f>
        <v>18.433399999999999</v>
      </c>
      <c r="J635" s="4">
        <f>CHOOSE( CONTROL!$C$36, 18.2922, 18.2906) * CHOOSE(CONTROL!$C$19, $D$11, 100%, $F$11)</f>
        <v>18.292200000000001</v>
      </c>
      <c r="K635" s="4"/>
      <c r="L635" s="9">
        <v>30.7165</v>
      </c>
      <c r="M635" s="9">
        <v>12.063700000000001</v>
      </c>
      <c r="N635" s="9">
        <v>4.9444999999999997</v>
      </c>
      <c r="O635" s="9">
        <v>0.37409999999999999</v>
      </c>
      <c r="P635" s="9">
        <v>1.2927</v>
      </c>
      <c r="Q635" s="9">
        <v>19.688099999999999</v>
      </c>
      <c r="R635" s="9"/>
      <c r="S635" s="11"/>
    </row>
    <row r="636" spans="1:19" ht="15.75">
      <c r="A636" s="13">
        <v>60510</v>
      </c>
      <c r="B636" s="8">
        <f>CHOOSE( CONTROL!$C$36, 17.4178, 17.4162) * CHOOSE(CONTROL!$C$19, $D$11, 100%, $F$11)</f>
        <v>17.4178</v>
      </c>
      <c r="C636" s="8">
        <f>CHOOSE( CONTROL!$C$36, 17.4258, 17.4242) * CHOOSE(CONTROL!$C$19, $D$11, 100%, $F$11)</f>
        <v>17.425799999999999</v>
      </c>
      <c r="D636" s="8">
        <f>CHOOSE( CONTROL!$C$36, 17.4405, 17.4389) * CHOOSE( CONTROL!$C$19, $D$11, 100%, $F$11)</f>
        <v>17.4405</v>
      </c>
      <c r="E636" s="12">
        <f>CHOOSE( CONTROL!$C$36, 17.434, 17.4324) * CHOOSE( CONTROL!$C$19, $D$11, 100%, $F$11)</f>
        <v>17.434000000000001</v>
      </c>
      <c r="F636" s="4">
        <f>CHOOSE( CONTROL!$C$36, 18.1509, 18.1492) * CHOOSE(CONTROL!$C$19, $D$11, 100%, $F$11)</f>
        <v>18.1509</v>
      </c>
      <c r="G636" s="8">
        <f>CHOOSE( CONTROL!$C$36, 17.2274, 17.2258) * CHOOSE( CONTROL!$C$19, $D$11, 100%, $F$11)</f>
        <v>17.227399999999999</v>
      </c>
      <c r="H636" s="4">
        <f>CHOOSE( CONTROL!$C$36, 18.1715, 18.1699) * CHOOSE(CONTROL!$C$19, $D$11, 100%, $F$11)</f>
        <v>18.171500000000002</v>
      </c>
      <c r="I636" s="8">
        <f>CHOOSE( CONTROL!$C$36, 17.021, 17.0194) * CHOOSE(CONTROL!$C$19, $D$11, 100%, $F$11)</f>
        <v>17.021000000000001</v>
      </c>
      <c r="J636" s="4">
        <f>CHOOSE( CONTROL!$C$36, 16.8803, 16.8787) * CHOOSE(CONTROL!$C$19, $D$11, 100%, $F$11)</f>
        <v>16.880299999999998</v>
      </c>
      <c r="K636" s="4"/>
      <c r="L636" s="9">
        <v>30.7165</v>
      </c>
      <c r="M636" s="9">
        <v>12.063700000000001</v>
      </c>
      <c r="N636" s="9">
        <v>4.9444999999999997</v>
      </c>
      <c r="O636" s="9">
        <v>0.37409999999999999</v>
      </c>
      <c r="P636" s="9">
        <v>1.2927</v>
      </c>
      <c r="Q636" s="9">
        <v>19.688099999999999</v>
      </c>
      <c r="R636" s="9"/>
      <c r="S636" s="11"/>
    </row>
    <row r="637" spans="1:19" ht="15.75">
      <c r="A637" s="13">
        <v>60540</v>
      </c>
      <c r="B637" s="8">
        <f>CHOOSE( CONTROL!$C$36, 17.0527, 17.0511) * CHOOSE(CONTROL!$C$19, $D$11, 100%, $F$11)</f>
        <v>17.052700000000002</v>
      </c>
      <c r="C637" s="8">
        <f>CHOOSE( CONTROL!$C$36, 17.0607, 17.0591) * CHOOSE(CONTROL!$C$19, $D$11, 100%, $F$11)</f>
        <v>17.060700000000001</v>
      </c>
      <c r="D637" s="8">
        <f>CHOOSE( CONTROL!$C$36, 17.0753, 17.0736) * CHOOSE( CONTROL!$C$19, $D$11, 100%, $F$11)</f>
        <v>17.075299999999999</v>
      </c>
      <c r="E637" s="12">
        <f>CHOOSE( CONTROL!$C$36, 17.0688, 17.0671) * CHOOSE( CONTROL!$C$19, $D$11, 100%, $F$11)</f>
        <v>17.0688</v>
      </c>
      <c r="F637" s="4">
        <f>CHOOSE( CONTROL!$C$36, 17.7857, 17.7841) * CHOOSE(CONTROL!$C$19, $D$11, 100%, $F$11)</f>
        <v>17.785699999999999</v>
      </c>
      <c r="G637" s="8">
        <f>CHOOSE( CONTROL!$C$36, 16.8673, 16.8657) * CHOOSE( CONTROL!$C$19, $D$11, 100%, $F$11)</f>
        <v>16.8673</v>
      </c>
      <c r="H637" s="4">
        <f>CHOOSE( CONTROL!$C$36, 17.8115, 17.8098) * CHOOSE(CONTROL!$C$19, $D$11, 100%, $F$11)</f>
        <v>17.811499999999999</v>
      </c>
      <c r="I637" s="8">
        <f>CHOOSE( CONTROL!$C$36, 16.6669, 16.6653) * CHOOSE(CONTROL!$C$19, $D$11, 100%, $F$11)</f>
        <v>16.666899999999998</v>
      </c>
      <c r="J637" s="4">
        <f>CHOOSE( CONTROL!$C$36, 16.5267, 16.5251) * CHOOSE(CONTROL!$C$19, $D$11, 100%, $F$11)</f>
        <v>16.526700000000002</v>
      </c>
      <c r="K637" s="4"/>
      <c r="L637" s="9">
        <v>29.7257</v>
      </c>
      <c r="M637" s="9">
        <v>11.6745</v>
      </c>
      <c r="N637" s="9">
        <v>4.7850000000000001</v>
      </c>
      <c r="O637" s="9">
        <v>0.36199999999999999</v>
      </c>
      <c r="P637" s="9">
        <v>1.2509999999999999</v>
      </c>
      <c r="Q637" s="9">
        <v>19.053000000000001</v>
      </c>
      <c r="R637" s="9"/>
      <c r="S637" s="11"/>
    </row>
    <row r="638" spans="1:19" ht="15.75">
      <c r="A638" s="13">
        <v>60571</v>
      </c>
      <c r="B638" s="8">
        <f>CHOOSE( CONTROL!$C$36, 17.8086, 17.8075) * CHOOSE(CONTROL!$C$19, $D$11, 100%, $F$11)</f>
        <v>17.808599999999998</v>
      </c>
      <c r="C638" s="8">
        <f>CHOOSE( CONTROL!$C$36, 17.8139, 17.8128) * CHOOSE(CONTROL!$C$19, $D$11, 100%, $F$11)</f>
        <v>17.8139</v>
      </c>
      <c r="D638" s="8">
        <f>CHOOSE( CONTROL!$C$36, 17.8344, 17.8333) * CHOOSE( CONTROL!$C$19, $D$11, 100%, $F$11)</f>
        <v>17.834399999999999</v>
      </c>
      <c r="E638" s="12">
        <f>CHOOSE( CONTROL!$C$36, 17.8271, 17.826) * CHOOSE( CONTROL!$C$19, $D$11, 100%, $F$11)</f>
        <v>17.827100000000002</v>
      </c>
      <c r="F638" s="4">
        <f>CHOOSE( CONTROL!$C$36, 18.5433, 18.5422) * CHOOSE(CONTROL!$C$19, $D$11, 100%, $F$11)</f>
        <v>18.543299999999999</v>
      </c>
      <c r="G638" s="8">
        <f>CHOOSE( CONTROL!$C$36, 17.6145, 17.6134) * CHOOSE( CONTROL!$C$19, $D$11, 100%, $F$11)</f>
        <v>17.6145</v>
      </c>
      <c r="H638" s="4">
        <f>CHOOSE( CONTROL!$C$36, 18.5585, 18.5574) * CHOOSE(CONTROL!$C$19, $D$11, 100%, $F$11)</f>
        <v>18.558499999999999</v>
      </c>
      <c r="I638" s="8">
        <f>CHOOSE( CONTROL!$C$36, 17.4018, 17.4008) * CHOOSE(CONTROL!$C$19, $D$11, 100%, $F$11)</f>
        <v>17.401800000000001</v>
      </c>
      <c r="J638" s="4">
        <f>CHOOSE( CONTROL!$C$36, 17.2603, 17.2592) * CHOOSE(CONTROL!$C$19, $D$11, 100%, $F$11)</f>
        <v>17.260300000000001</v>
      </c>
      <c r="K638" s="4"/>
      <c r="L638" s="9">
        <v>31.095300000000002</v>
      </c>
      <c r="M638" s="9">
        <v>12.063700000000001</v>
      </c>
      <c r="N638" s="9">
        <v>4.9444999999999997</v>
      </c>
      <c r="O638" s="9">
        <v>0.37409999999999999</v>
      </c>
      <c r="P638" s="9">
        <v>1.2927</v>
      </c>
      <c r="Q638" s="9">
        <v>19.688099999999999</v>
      </c>
      <c r="R638" s="9"/>
      <c r="S638" s="11"/>
    </row>
    <row r="639" spans="1:19" ht="15.75">
      <c r="A639" s="13">
        <v>60601</v>
      </c>
      <c r="B639" s="8">
        <f>CHOOSE( CONTROL!$C$36, 19.2075, 19.2064) * CHOOSE(CONTROL!$C$19, $D$11, 100%, $F$11)</f>
        <v>19.2075</v>
      </c>
      <c r="C639" s="8">
        <f>CHOOSE( CONTROL!$C$36, 19.2126, 19.2115) * CHOOSE(CONTROL!$C$19, $D$11, 100%, $F$11)</f>
        <v>19.212599999999998</v>
      </c>
      <c r="D639" s="8">
        <f>CHOOSE( CONTROL!$C$36, 19.1918, 19.1908) * CHOOSE( CONTROL!$C$19, $D$11, 100%, $F$11)</f>
        <v>19.191800000000001</v>
      </c>
      <c r="E639" s="12">
        <f>CHOOSE( CONTROL!$C$36, 19.1989, 19.1978) * CHOOSE( CONTROL!$C$19, $D$11, 100%, $F$11)</f>
        <v>19.198899999999998</v>
      </c>
      <c r="F639" s="4">
        <f>CHOOSE( CONTROL!$C$36, 19.8668, 19.8657) * CHOOSE(CONTROL!$C$19, $D$11, 100%, $F$11)</f>
        <v>19.866800000000001</v>
      </c>
      <c r="G639" s="8">
        <f>CHOOSE( CONTROL!$C$36, 18.9743, 18.9732) * CHOOSE( CONTROL!$C$19, $D$11, 100%, $F$11)</f>
        <v>18.974299999999999</v>
      </c>
      <c r="H639" s="4">
        <f>CHOOSE( CONTROL!$C$36, 19.8635, 19.8624) * CHOOSE(CONTROL!$C$19, $D$11, 100%, $F$11)</f>
        <v>19.863499999999998</v>
      </c>
      <c r="I639" s="8">
        <f>CHOOSE( CONTROL!$C$36, 18.8066, 18.8056) * CHOOSE(CONTROL!$C$19, $D$11, 100%, $F$11)</f>
        <v>18.8066</v>
      </c>
      <c r="J639" s="4">
        <f>CHOOSE( CONTROL!$C$36, 18.6153, 18.6142) * CHOOSE(CONTROL!$C$19, $D$11, 100%, $F$11)</f>
        <v>18.615300000000001</v>
      </c>
      <c r="K639" s="4"/>
      <c r="L639" s="9">
        <v>28.360600000000002</v>
      </c>
      <c r="M639" s="9">
        <v>11.6745</v>
      </c>
      <c r="N639" s="9">
        <v>4.7850000000000001</v>
      </c>
      <c r="O639" s="9">
        <v>0.36199999999999999</v>
      </c>
      <c r="P639" s="9">
        <v>1.2509999999999999</v>
      </c>
      <c r="Q639" s="9">
        <v>19.053000000000001</v>
      </c>
      <c r="R639" s="9"/>
      <c r="S639" s="11"/>
    </row>
    <row r="640" spans="1:19" ht="15.75">
      <c r="A640" s="13">
        <v>60632</v>
      </c>
      <c r="B640" s="8">
        <f>CHOOSE( CONTROL!$C$36, 19.1726, 19.1715) * CHOOSE(CONTROL!$C$19, $D$11, 100%, $F$11)</f>
        <v>19.172599999999999</v>
      </c>
      <c r="C640" s="8">
        <f>CHOOSE( CONTROL!$C$36, 19.1777, 19.1766) * CHOOSE(CONTROL!$C$19, $D$11, 100%, $F$11)</f>
        <v>19.177700000000002</v>
      </c>
      <c r="D640" s="8">
        <f>CHOOSE( CONTROL!$C$36, 19.1583, 19.1572) * CHOOSE( CONTROL!$C$19, $D$11, 100%, $F$11)</f>
        <v>19.158300000000001</v>
      </c>
      <c r="E640" s="12">
        <f>CHOOSE( CONTROL!$C$36, 19.1649, 19.1638) * CHOOSE( CONTROL!$C$19, $D$11, 100%, $F$11)</f>
        <v>19.164899999999999</v>
      </c>
      <c r="F640" s="4">
        <f>CHOOSE( CONTROL!$C$36, 19.8318, 19.8307) * CHOOSE(CONTROL!$C$19, $D$11, 100%, $F$11)</f>
        <v>19.831800000000001</v>
      </c>
      <c r="G640" s="8">
        <f>CHOOSE( CONTROL!$C$36, 18.9408, 18.9397) * CHOOSE( CONTROL!$C$19, $D$11, 100%, $F$11)</f>
        <v>18.940799999999999</v>
      </c>
      <c r="H640" s="4">
        <f>CHOOSE( CONTROL!$C$36, 19.829, 19.8279) * CHOOSE(CONTROL!$C$19, $D$11, 100%, $F$11)</f>
        <v>19.829000000000001</v>
      </c>
      <c r="I640" s="8">
        <f>CHOOSE( CONTROL!$C$36, 18.7771, 18.776) * CHOOSE(CONTROL!$C$19, $D$11, 100%, $F$11)</f>
        <v>18.777100000000001</v>
      </c>
      <c r="J640" s="4">
        <f>CHOOSE( CONTROL!$C$36, 18.5814, 18.5804) * CHOOSE(CONTROL!$C$19, $D$11, 100%, $F$11)</f>
        <v>18.581399999999999</v>
      </c>
      <c r="K640" s="4"/>
      <c r="L640" s="9">
        <v>29.306000000000001</v>
      </c>
      <c r="M640" s="9">
        <v>12.063700000000001</v>
      </c>
      <c r="N640" s="9">
        <v>4.9444999999999997</v>
      </c>
      <c r="O640" s="9">
        <v>0.37409999999999999</v>
      </c>
      <c r="P640" s="9">
        <v>1.2927</v>
      </c>
      <c r="Q640" s="9">
        <v>19.688099999999999</v>
      </c>
      <c r="R640" s="9"/>
      <c r="S640" s="11"/>
    </row>
    <row r="641" spans="1:19" ht="15.75">
      <c r="A641" s="13">
        <v>60663</v>
      </c>
      <c r="B641" s="8">
        <f>CHOOSE( CONTROL!$C$36, 19.7386, 19.7375) * CHOOSE(CONTROL!$C$19, $D$11, 100%, $F$11)</f>
        <v>19.738600000000002</v>
      </c>
      <c r="C641" s="8">
        <f>CHOOSE( CONTROL!$C$36, 19.7437, 19.7426) * CHOOSE(CONTROL!$C$19, $D$11, 100%, $F$11)</f>
        <v>19.7437</v>
      </c>
      <c r="D641" s="8">
        <f>CHOOSE( CONTROL!$C$36, 19.7449, 19.7439) * CHOOSE( CONTROL!$C$19, $D$11, 100%, $F$11)</f>
        <v>19.744900000000001</v>
      </c>
      <c r="E641" s="12">
        <f>CHOOSE( CONTROL!$C$36, 19.7439, 19.7429) * CHOOSE( CONTROL!$C$19, $D$11, 100%, $F$11)</f>
        <v>19.7439</v>
      </c>
      <c r="F641" s="4">
        <f>CHOOSE( CONTROL!$C$36, 20.3978, 20.3967) * CHOOSE(CONTROL!$C$19, $D$11, 100%, $F$11)</f>
        <v>20.3978</v>
      </c>
      <c r="G641" s="8">
        <f>CHOOSE( CONTROL!$C$36, 19.51, 19.5089) * CHOOSE( CONTROL!$C$19, $D$11, 100%, $F$11)</f>
        <v>19.510000000000002</v>
      </c>
      <c r="H641" s="4">
        <f>CHOOSE( CONTROL!$C$36, 20.3871, 20.386) * CHOOSE(CONTROL!$C$19, $D$11, 100%, $F$11)</f>
        <v>20.3871</v>
      </c>
      <c r="I641" s="8">
        <f>CHOOSE( CONTROL!$C$36, 19.3029, 19.3018) * CHOOSE(CONTROL!$C$19, $D$11, 100%, $F$11)</f>
        <v>19.302900000000001</v>
      </c>
      <c r="J641" s="4">
        <f>CHOOSE( CONTROL!$C$36, 19.1295, 19.1285) * CHOOSE(CONTROL!$C$19, $D$11, 100%, $F$11)</f>
        <v>19.1295</v>
      </c>
      <c r="K641" s="4"/>
      <c r="L641" s="9">
        <v>29.306000000000001</v>
      </c>
      <c r="M641" s="9">
        <v>12.063700000000001</v>
      </c>
      <c r="N641" s="9">
        <v>4.9444999999999997</v>
      </c>
      <c r="O641" s="9">
        <v>0.37409999999999999</v>
      </c>
      <c r="P641" s="9">
        <v>1.2927</v>
      </c>
      <c r="Q641" s="9">
        <v>19.688099999999999</v>
      </c>
      <c r="R641" s="9"/>
      <c r="S641" s="11"/>
    </row>
    <row r="642" spans="1:19" ht="15.75">
      <c r="A642" s="13">
        <v>60691</v>
      </c>
      <c r="B642" s="8">
        <f>CHOOSE( CONTROL!$C$36, 18.4615, 18.4604) * CHOOSE(CONTROL!$C$19, $D$11, 100%, $F$11)</f>
        <v>18.461500000000001</v>
      </c>
      <c r="C642" s="8">
        <f>CHOOSE( CONTROL!$C$36, 18.4666, 18.4655) * CHOOSE(CONTROL!$C$19, $D$11, 100%, $F$11)</f>
        <v>18.4666</v>
      </c>
      <c r="D642" s="8">
        <f>CHOOSE( CONTROL!$C$36, 18.4677, 18.4666) * CHOOSE( CONTROL!$C$19, $D$11, 100%, $F$11)</f>
        <v>18.467700000000001</v>
      </c>
      <c r="E642" s="12">
        <f>CHOOSE( CONTROL!$C$36, 18.4668, 18.4657) * CHOOSE( CONTROL!$C$19, $D$11, 100%, $F$11)</f>
        <v>18.466799999999999</v>
      </c>
      <c r="F642" s="4">
        <f>CHOOSE( CONTROL!$C$36, 19.1207, 19.1196) * CHOOSE(CONTROL!$C$19, $D$11, 100%, $F$11)</f>
        <v>19.120699999999999</v>
      </c>
      <c r="G642" s="8">
        <f>CHOOSE( CONTROL!$C$36, 18.2506, 18.2495) * CHOOSE( CONTROL!$C$19, $D$11, 100%, $F$11)</f>
        <v>18.250599999999999</v>
      </c>
      <c r="H642" s="4">
        <f>CHOOSE( CONTROL!$C$36, 19.1278, 19.1267) * CHOOSE(CONTROL!$C$19, $D$11, 100%, $F$11)</f>
        <v>19.127800000000001</v>
      </c>
      <c r="I642" s="8">
        <f>CHOOSE( CONTROL!$C$36, 18.0652, 18.0642) * CHOOSE(CONTROL!$C$19, $D$11, 100%, $F$11)</f>
        <v>18.065200000000001</v>
      </c>
      <c r="J642" s="4">
        <f>CHOOSE( CONTROL!$C$36, 17.8929, 17.8918) * CHOOSE(CONTROL!$C$19, $D$11, 100%, $F$11)</f>
        <v>17.892900000000001</v>
      </c>
      <c r="K642" s="4"/>
      <c r="L642" s="9">
        <v>26.469899999999999</v>
      </c>
      <c r="M642" s="9">
        <v>10.8962</v>
      </c>
      <c r="N642" s="9">
        <v>4.4660000000000002</v>
      </c>
      <c r="O642" s="9">
        <v>0.33789999999999998</v>
      </c>
      <c r="P642" s="9">
        <v>1.1676</v>
      </c>
      <c r="Q642" s="9">
        <v>17.782800000000002</v>
      </c>
      <c r="R642" s="9"/>
      <c r="S642" s="11"/>
    </row>
    <row r="643" spans="1:19" ht="15.75">
      <c r="A643" s="13">
        <v>60722</v>
      </c>
      <c r="B643" s="8">
        <f>CHOOSE( CONTROL!$C$36, 18.0681, 18.067) * CHOOSE(CONTROL!$C$19, $D$11, 100%, $F$11)</f>
        <v>18.068100000000001</v>
      </c>
      <c r="C643" s="8">
        <f>CHOOSE( CONTROL!$C$36, 18.0732, 18.0721) * CHOOSE(CONTROL!$C$19, $D$11, 100%, $F$11)</f>
        <v>18.0732</v>
      </c>
      <c r="D643" s="8">
        <f>CHOOSE( CONTROL!$C$36, 18.0737, 18.0726) * CHOOSE( CONTROL!$C$19, $D$11, 100%, $F$11)</f>
        <v>18.073699999999999</v>
      </c>
      <c r="E643" s="12">
        <f>CHOOSE( CONTROL!$C$36, 18.073, 18.0719) * CHOOSE( CONTROL!$C$19, $D$11, 100%, $F$11)</f>
        <v>18.073</v>
      </c>
      <c r="F643" s="4">
        <f>CHOOSE( CONTROL!$C$36, 18.7274, 18.7263) * CHOOSE(CONTROL!$C$19, $D$11, 100%, $F$11)</f>
        <v>18.727399999999999</v>
      </c>
      <c r="G643" s="8">
        <f>CHOOSE( CONTROL!$C$36, 17.8623, 17.8612) * CHOOSE( CONTROL!$C$19, $D$11, 100%, $F$11)</f>
        <v>17.862300000000001</v>
      </c>
      <c r="H643" s="4">
        <f>CHOOSE( CONTROL!$C$36, 18.7399, 18.7389) * CHOOSE(CONTROL!$C$19, $D$11, 100%, $F$11)</f>
        <v>18.739899999999999</v>
      </c>
      <c r="I643" s="8">
        <f>CHOOSE( CONTROL!$C$36, 17.6822, 17.6811) * CHOOSE(CONTROL!$C$19, $D$11, 100%, $F$11)</f>
        <v>17.682200000000002</v>
      </c>
      <c r="J643" s="4">
        <f>CHOOSE( CONTROL!$C$36, 17.512, 17.511) * CHOOSE(CONTROL!$C$19, $D$11, 100%, $F$11)</f>
        <v>17.512</v>
      </c>
      <c r="K643" s="4"/>
      <c r="L643" s="9">
        <v>29.306000000000001</v>
      </c>
      <c r="M643" s="9">
        <v>12.063700000000001</v>
      </c>
      <c r="N643" s="9">
        <v>4.9444999999999997</v>
      </c>
      <c r="O643" s="9">
        <v>0.37409999999999999</v>
      </c>
      <c r="P643" s="9">
        <v>1.2927</v>
      </c>
      <c r="Q643" s="9">
        <v>19.688099999999999</v>
      </c>
      <c r="R643" s="9"/>
      <c r="S643" s="11"/>
    </row>
    <row r="644" spans="1:19" ht="15.75">
      <c r="A644" s="13">
        <v>60752</v>
      </c>
      <c r="B644" s="8">
        <f>CHOOSE( CONTROL!$C$36, 18.3437, 18.3426) * CHOOSE(CONTROL!$C$19, $D$11, 100%, $F$11)</f>
        <v>18.343699999999998</v>
      </c>
      <c r="C644" s="8">
        <f>CHOOSE( CONTROL!$C$36, 18.3483, 18.3472) * CHOOSE(CONTROL!$C$19, $D$11, 100%, $F$11)</f>
        <v>18.348299999999998</v>
      </c>
      <c r="D644" s="8">
        <f>CHOOSE( CONTROL!$C$36, 18.3687, 18.3676) * CHOOSE( CONTROL!$C$19, $D$11, 100%, $F$11)</f>
        <v>18.3687</v>
      </c>
      <c r="E644" s="12">
        <f>CHOOSE( CONTROL!$C$36, 18.3614, 18.3603) * CHOOSE( CONTROL!$C$19, $D$11, 100%, $F$11)</f>
        <v>18.3614</v>
      </c>
      <c r="F644" s="4">
        <f>CHOOSE( CONTROL!$C$36, 19.0781, 19.077) * CHOOSE(CONTROL!$C$19, $D$11, 100%, $F$11)</f>
        <v>19.078099999999999</v>
      </c>
      <c r="G644" s="8">
        <f>CHOOSE( CONTROL!$C$36, 18.1414, 18.1403) * CHOOSE( CONTROL!$C$19, $D$11, 100%, $F$11)</f>
        <v>18.141400000000001</v>
      </c>
      <c r="H644" s="4">
        <f>CHOOSE( CONTROL!$C$36, 19.0858, 19.0847) * CHOOSE(CONTROL!$C$19, $D$11, 100%, $F$11)</f>
        <v>19.085799999999999</v>
      </c>
      <c r="I644" s="8">
        <f>CHOOSE( CONTROL!$C$36, 17.918, 17.9169) * CHOOSE(CONTROL!$C$19, $D$11, 100%, $F$11)</f>
        <v>17.917999999999999</v>
      </c>
      <c r="J644" s="4">
        <f>CHOOSE( CONTROL!$C$36, 17.7782, 17.7771) * CHOOSE(CONTROL!$C$19, $D$11, 100%, $F$11)</f>
        <v>17.778199999999998</v>
      </c>
      <c r="K644" s="4"/>
      <c r="L644" s="9">
        <v>30.092199999999998</v>
      </c>
      <c r="M644" s="9">
        <v>11.6745</v>
      </c>
      <c r="N644" s="9">
        <v>4.7850000000000001</v>
      </c>
      <c r="O644" s="9">
        <v>0.36199999999999999</v>
      </c>
      <c r="P644" s="9">
        <v>1.2509999999999999</v>
      </c>
      <c r="Q644" s="9">
        <v>19.053000000000001</v>
      </c>
      <c r="R644" s="9"/>
      <c r="S644" s="11"/>
    </row>
    <row r="645" spans="1:19" ht="15.75">
      <c r="A645" s="13">
        <v>60783</v>
      </c>
      <c r="B645" s="8">
        <f>CHOOSE( CONTROL!$C$36, 18.8349, 18.8332) * CHOOSE(CONTROL!$C$19, $D$11, 100%, $F$11)</f>
        <v>18.834900000000001</v>
      </c>
      <c r="C645" s="8">
        <f>CHOOSE( CONTROL!$C$36, 18.8429, 18.8412) * CHOOSE(CONTROL!$C$19, $D$11, 100%, $F$11)</f>
        <v>18.8429</v>
      </c>
      <c r="D645" s="8">
        <f>CHOOSE( CONTROL!$C$36, 18.8571, 18.8554) * CHOOSE( CONTROL!$C$19, $D$11, 100%, $F$11)</f>
        <v>18.857099999999999</v>
      </c>
      <c r="E645" s="12">
        <f>CHOOSE( CONTROL!$C$36, 18.8507, 18.849) * CHOOSE( CONTROL!$C$19, $D$11, 100%, $F$11)</f>
        <v>18.8507</v>
      </c>
      <c r="F645" s="4">
        <f>CHOOSE( CONTROL!$C$36, 19.5679, 19.5662) * CHOOSE(CONTROL!$C$19, $D$11, 100%, $F$11)</f>
        <v>19.567900000000002</v>
      </c>
      <c r="G645" s="8">
        <f>CHOOSE( CONTROL!$C$36, 18.6243, 18.6226) * CHOOSE( CONTROL!$C$19, $D$11, 100%, $F$11)</f>
        <v>18.624300000000002</v>
      </c>
      <c r="H645" s="4">
        <f>CHOOSE( CONTROL!$C$36, 19.5687, 19.5671) * CHOOSE(CONTROL!$C$19, $D$11, 100%, $F$11)</f>
        <v>19.5687</v>
      </c>
      <c r="I645" s="8">
        <f>CHOOSE( CONTROL!$C$36, 18.392, 18.3904) * CHOOSE(CONTROL!$C$19, $D$11, 100%, $F$11)</f>
        <v>18.391999999999999</v>
      </c>
      <c r="J645" s="4">
        <f>CHOOSE( CONTROL!$C$36, 18.2524, 18.2508) * CHOOSE(CONTROL!$C$19, $D$11, 100%, $F$11)</f>
        <v>18.252400000000002</v>
      </c>
      <c r="K645" s="4"/>
      <c r="L645" s="9">
        <v>30.7165</v>
      </c>
      <c r="M645" s="9">
        <v>12.063700000000001</v>
      </c>
      <c r="N645" s="9">
        <v>4.9444999999999997</v>
      </c>
      <c r="O645" s="9">
        <v>0.37409999999999999</v>
      </c>
      <c r="P645" s="9">
        <v>1.2927</v>
      </c>
      <c r="Q645" s="9">
        <v>19.688099999999999</v>
      </c>
      <c r="R645" s="9"/>
      <c r="S645" s="11"/>
    </row>
    <row r="646" spans="1:19" ht="15.75">
      <c r="A646" s="13">
        <v>60813</v>
      </c>
      <c r="B646" s="8">
        <f>CHOOSE( CONTROL!$C$36, 18.5318, 18.5302) * CHOOSE(CONTROL!$C$19, $D$11, 100%, $F$11)</f>
        <v>18.5318</v>
      </c>
      <c r="C646" s="8">
        <f>CHOOSE( CONTROL!$C$36, 18.5398, 18.5382) * CHOOSE(CONTROL!$C$19, $D$11, 100%, $F$11)</f>
        <v>18.5398</v>
      </c>
      <c r="D646" s="8">
        <f>CHOOSE( CONTROL!$C$36, 18.5542, 18.5526) * CHOOSE( CONTROL!$C$19, $D$11, 100%, $F$11)</f>
        <v>18.554200000000002</v>
      </c>
      <c r="E646" s="12">
        <f>CHOOSE( CONTROL!$C$36, 18.5478, 18.5462) * CHOOSE( CONTROL!$C$19, $D$11, 100%, $F$11)</f>
        <v>18.547799999999999</v>
      </c>
      <c r="F646" s="4">
        <f>CHOOSE( CONTROL!$C$36, 19.2649, 19.2632) * CHOOSE(CONTROL!$C$19, $D$11, 100%, $F$11)</f>
        <v>19.264900000000001</v>
      </c>
      <c r="G646" s="8">
        <f>CHOOSE( CONTROL!$C$36, 18.3256, 18.324) * CHOOSE( CONTROL!$C$19, $D$11, 100%, $F$11)</f>
        <v>18.325600000000001</v>
      </c>
      <c r="H646" s="4">
        <f>CHOOSE( CONTROL!$C$36, 19.2699, 19.2683) * CHOOSE(CONTROL!$C$19, $D$11, 100%, $F$11)</f>
        <v>19.2699</v>
      </c>
      <c r="I646" s="8">
        <f>CHOOSE( CONTROL!$C$36, 18.0991, 18.0975) * CHOOSE(CONTROL!$C$19, $D$11, 100%, $F$11)</f>
        <v>18.0991</v>
      </c>
      <c r="J646" s="4">
        <f>CHOOSE( CONTROL!$C$36, 17.959, 17.9574) * CHOOSE(CONTROL!$C$19, $D$11, 100%, $F$11)</f>
        <v>17.959</v>
      </c>
      <c r="K646" s="4"/>
      <c r="L646" s="9">
        <v>29.7257</v>
      </c>
      <c r="M646" s="9">
        <v>11.6745</v>
      </c>
      <c r="N646" s="9">
        <v>4.7850000000000001</v>
      </c>
      <c r="O646" s="9">
        <v>0.36199999999999999</v>
      </c>
      <c r="P646" s="9">
        <v>1.2509999999999999</v>
      </c>
      <c r="Q646" s="9">
        <v>19.053000000000001</v>
      </c>
      <c r="R646" s="9"/>
      <c r="S646" s="11"/>
    </row>
    <row r="647" spans="1:19" ht="15.75">
      <c r="A647" s="13">
        <v>60844</v>
      </c>
      <c r="B647" s="8">
        <f>CHOOSE( CONTROL!$C$36, 19.3298, 19.3282) * CHOOSE(CONTROL!$C$19, $D$11, 100%, $F$11)</f>
        <v>19.329799999999999</v>
      </c>
      <c r="C647" s="8">
        <f>CHOOSE( CONTROL!$C$36, 19.3378, 19.3362) * CHOOSE(CONTROL!$C$19, $D$11, 100%, $F$11)</f>
        <v>19.337800000000001</v>
      </c>
      <c r="D647" s="8">
        <f>CHOOSE( CONTROL!$C$36, 19.3525, 19.3508) * CHOOSE( CONTROL!$C$19, $D$11, 100%, $F$11)</f>
        <v>19.352499999999999</v>
      </c>
      <c r="E647" s="12">
        <f>CHOOSE( CONTROL!$C$36, 19.346, 19.3443) * CHOOSE( CONTROL!$C$19, $D$11, 100%, $F$11)</f>
        <v>19.346</v>
      </c>
      <c r="F647" s="4">
        <f>CHOOSE( CONTROL!$C$36, 20.0629, 20.0612) * CHOOSE(CONTROL!$C$19, $D$11, 100%, $F$11)</f>
        <v>20.062899999999999</v>
      </c>
      <c r="G647" s="8">
        <f>CHOOSE( CONTROL!$C$36, 19.1127, 19.111) * CHOOSE( CONTROL!$C$19, $D$11, 100%, $F$11)</f>
        <v>19.1127</v>
      </c>
      <c r="H647" s="4">
        <f>CHOOSE( CONTROL!$C$36, 20.0568, 20.0552) * CHOOSE(CONTROL!$C$19, $D$11, 100%, $F$11)</f>
        <v>20.056799999999999</v>
      </c>
      <c r="I647" s="8">
        <f>CHOOSE( CONTROL!$C$36, 18.8731, 18.8715) * CHOOSE(CONTROL!$C$19, $D$11, 100%, $F$11)</f>
        <v>18.873100000000001</v>
      </c>
      <c r="J647" s="4">
        <f>CHOOSE( CONTROL!$C$36, 18.7317, 18.7301) * CHOOSE(CONTROL!$C$19, $D$11, 100%, $F$11)</f>
        <v>18.7317</v>
      </c>
      <c r="K647" s="4"/>
      <c r="L647" s="9">
        <v>30.7165</v>
      </c>
      <c r="M647" s="9">
        <v>12.063700000000001</v>
      </c>
      <c r="N647" s="9">
        <v>4.9444999999999997</v>
      </c>
      <c r="O647" s="9">
        <v>0.37409999999999999</v>
      </c>
      <c r="P647" s="9">
        <v>1.2927</v>
      </c>
      <c r="Q647" s="9">
        <v>19.688099999999999</v>
      </c>
      <c r="R647" s="9"/>
      <c r="S647" s="11"/>
    </row>
    <row r="648" spans="1:19" ht="15.75">
      <c r="A648" s="13">
        <v>60875</v>
      </c>
      <c r="B648" s="8">
        <f>CHOOSE( CONTROL!$C$36, 17.8367, 17.835) * CHOOSE(CONTROL!$C$19, $D$11, 100%, $F$11)</f>
        <v>17.8367</v>
      </c>
      <c r="C648" s="8">
        <f>CHOOSE( CONTROL!$C$36, 17.8447, 17.843) * CHOOSE(CONTROL!$C$19, $D$11, 100%, $F$11)</f>
        <v>17.8447</v>
      </c>
      <c r="D648" s="8">
        <f>CHOOSE( CONTROL!$C$36, 17.8594, 17.8577) * CHOOSE( CONTROL!$C$19, $D$11, 100%, $F$11)</f>
        <v>17.859400000000001</v>
      </c>
      <c r="E648" s="12">
        <f>CHOOSE( CONTROL!$C$36, 17.8529, 17.8512) * CHOOSE( CONTROL!$C$19, $D$11, 100%, $F$11)</f>
        <v>17.852900000000002</v>
      </c>
      <c r="F648" s="4">
        <f>CHOOSE( CONTROL!$C$36, 18.5697, 18.568) * CHOOSE(CONTROL!$C$19, $D$11, 100%, $F$11)</f>
        <v>18.569700000000001</v>
      </c>
      <c r="G648" s="8">
        <f>CHOOSE( CONTROL!$C$36, 17.6404, 17.6388) * CHOOSE( CONTROL!$C$19, $D$11, 100%, $F$11)</f>
        <v>17.6404</v>
      </c>
      <c r="H648" s="4">
        <f>CHOOSE( CONTROL!$C$36, 18.5845, 18.5828) * CHOOSE(CONTROL!$C$19, $D$11, 100%, $F$11)</f>
        <v>18.584499999999998</v>
      </c>
      <c r="I648" s="8">
        <f>CHOOSE( CONTROL!$C$36, 17.4267, 17.4251) * CHOOSE(CONTROL!$C$19, $D$11, 100%, $F$11)</f>
        <v>17.4267</v>
      </c>
      <c r="J648" s="4">
        <f>CHOOSE( CONTROL!$C$36, 17.2859, 17.2842) * CHOOSE(CONTROL!$C$19, $D$11, 100%, $F$11)</f>
        <v>17.285900000000002</v>
      </c>
      <c r="K648" s="4"/>
      <c r="L648" s="9">
        <v>30.7165</v>
      </c>
      <c r="M648" s="9">
        <v>12.063700000000001</v>
      </c>
      <c r="N648" s="9">
        <v>4.9444999999999997</v>
      </c>
      <c r="O648" s="9">
        <v>0.37409999999999999</v>
      </c>
      <c r="P648" s="9">
        <v>1.2927</v>
      </c>
      <c r="Q648" s="9">
        <v>19.688099999999999</v>
      </c>
      <c r="R648" s="9"/>
      <c r="S648" s="11"/>
    </row>
    <row r="649" spans="1:19" ht="15.75">
      <c r="A649" s="13">
        <v>60905</v>
      </c>
      <c r="B649" s="8">
        <f>CHOOSE( CONTROL!$C$36, 17.4628, 17.4611) * CHOOSE(CONTROL!$C$19, $D$11, 100%, $F$11)</f>
        <v>17.462800000000001</v>
      </c>
      <c r="C649" s="8">
        <f>CHOOSE( CONTROL!$C$36, 17.4708, 17.4691) * CHOOSE(CONTROL!$C$19, $D$11, 100%, $F$11)</f>
        <v>17.470800000000001</v>
      </c>
      <c r="D649" s="8">
        <f>CHOOSE( CONTROL!$C$36, 17.4854, 17.4837) * CHOOSE( CONTROL!$C$19, $D$11, 100%, $F$11)</f>
        <v>17.485399999999998</v>
      </c>
      <c r="E649" s="12">
        <f>CHOOSE( CONTROL!$C$36, 17.4789, 17.4772) * CHOOSE( CONTROL!$C$19, $D$11, 100%, $F$11)</f>
        <v>17.478899999999999</v>
      </c>
      <c r="F649" s="4">
        <f>CHOOSE( CONTROL!$C$36, 18.1958, 18.1941) * CHOOSE(CONTROL!$C$19, $D$11, 100%, $F$11)</f>
        <v>18.195799999999998</v>
      </c>
      <c r="G649" s="8">
        <f>CHOOSE( CONTROL!$C$36, 17.2716, 17.27) * CHOOSE( CONTROL!$C$19, $D$11, 100%, $F$11)</f>
        <v>17.271599999999999</v>
      </c>
      <c r="H649" s="4">
        <f>CHOOSE( CONTROL!$C$36, 18.2158, 18.2142) * CHOOSE(CONTROL!$C$19, $D$11, 100%, $F$11)</f>
        <v>18.215800000000002</v>
      </c>
      <c r="I649" s="8">
        <f>CHOOSE( CONTROL!$C$36, 17.0641, 17.0625) * CHOOSE(CONTROL!$C$19, $D$11, 100%, $F$11)</f>
        <v>17.0641</v>
      </c>
      <c r="J649" s="4">
        <f>CHOOSE( CONTROL!$C$36, 16.9238, 16.9222) * CHOOSE(CONTROL!$C$19, $D$11, 100%, $F$11)</f>
        <v>16.9238</v>
      </c>
      <c r="K649" s="4"/>
      <c r="L649" s="9">
        <v>29.7257</v>
      </c>
      <c r="M649" s="9">
        <v>11.6745</v>
      </c>
      <c r="N649" s="9">
        <v>4.7850000000000001</v>
      </c>
      <c r="O649" s="9">
        <v>0.36199999999999999</v>
      </c>
      <c r="P649" s="9">
        <v>1.2509999999999999</v>
      </c>
      <c r="Q649" s="9">
        <v>19.053000000000001</v>
      </c>
      <c r="R649" s="9"/>
      <c r="S649" s="11"/>
    </row>
    <row r="650" spans="1:19" ht="15.75">
      <c r="A650" s="13">
        <v>60936</v>
      </c>
      <c r="B650" s="8">
        <f>CHOOSE( CONTROL!$C$36, 18.2368, 18.2357) * CHOOSE(CONTROL!$C$19, $D$11, 100%, $F$11)</f>
        <v>18.236799999999999</v>
      </c>
      <c r="C650" s="8">
        <f>CHOOSE( CONTROL!$C$36, 18.2422, 18.2411) * CHOOSE(CONTROL!$C$19, $D$11, 100%, $F$11)</f>
        <v>18.2422</v>
      </c>
      <c r="D650" s="8">
        <f>CHOOSE( CONTROL!$C$36, 18.2627, 18.2616) * CHOOSE( CONTROL!$C$19, $D$11, 100%, $F$11)</f>
        <v>18.262699999999999</v>
      </c>
      <c r="E650" s="12">
        <f>CHOOSE( CONTROL!$C$36, 18.2554, 18.2543) * CHOOSE( CONTROL!$C$19, $D$11, 100%, $F$11)</f>
        <v>18.255400000000002</v>
      </c>
      <c r="F650" s="4">
        <f>CHOOSE( CONTROL!$C$36, 18.9716, 18.9705) * CHOOSE(CONTROL!$C$19, $D$11, 100%, $F$11)</f>
        <v>18.971599999999999</v>
      </c>
      <c r="G650" s="8">
        <f>CHOOSE( CONTROL!$C$36, 18.0368, 18.0357) * CHOOSE( CONTROL!$C$19, $D$11, 100%, $F$11)</f>
        <v>18.036799999999999</v>
      </c>
      <c r="H650" s="4">
        <f>CHOOSE( CONTROL!$C$36, 18.9807, 18.9797) * CHOOSE(CONTROL!$C$19, $D$11, 100%, $F$11)</f>
        <v>18.980699999999999</v>
      </c>
      <c r="I650" s="8">
        <f>CHOOSE( CONTROL!$C$36, 17.8167, 17.8157) * CHOOSE(CONTROL!$C$19, $D$11, 100%, $F$11)</f>
        <v>17.816700000000001</v>
      </c>
      <c r="J650" s="4">
        <f>CHOOSE( CONTROL!$C$36, 17.675, 17.6739) * CHOOSE(CONTROL!$C$19, $D$11, 100%, $F$11)</f>
        <v>17.675000000000001</v>
      </c>
      <c r="K650" s="4"/>
      <c r="L650" s="9">
        <v>31.095300000000002</v>
      </c>
      <c r="M650" s="9">
        <v>12.063700000000001</v>
      </c>
      <c r="N650" s="9">
        <v>4.9444999999999997</v>
      </c>
      <c r="O650" s="9">
        <v>0.37409999999999999</v>
      </c>
      <c r="P650" s="9">
        <v>1.2927</v>
      </c>
      <c r="Q650" s="9">
        <v>19.688099999999999</v>
      </c>
      <c r="R650" s="9"/>
      <c r="S650" s="11"/>
    </row>
    <row r="651" spans="1:19" ht="15.75">
      <c r="A651" s="13">
        <v>60966</v>
      </c>
      <c r="B651" s="8">
        <f>CHOOSE( CONTROL!$C$36, 19.6694, 19.6683) * CHOOSE(CONTROL!$C$19, $D$11, 100%, $F$11)</f>
        <v>19.6694</v>
      </c>
      <c r="C651" s="8">
        <f>CHOOSE( CONTROL!$C$36, 19.6745, 19.6734) * CHOOSE(CONTROL!$C$19, $D$11, 100%, $F$11)</f>
        <v>19.674499999999998</v>
      </c>
      <c r="D651" s="8">
        <f>CHOOSE( CONTROL!$C$36, 19.6537, 19.6526) * CHOOSE( CONTROL!$C$19, $D$11, 100%, $F$11)</f>
        <v>19.653700000000001</v>
      </c>
      <c r="E651" s="12">
        <f>CHOOSE( CONTROL!$C$36, 19.6608, 19.6597) * CHOOSE( CONTROL!$C$19, $D$11, 100%, $F$11)</f>
        <v>19.660799999999998</v>
      </c>
      <c r="F651" s="4">
        <f>CHOOSE( CONTROL!$C$36, 20.3287, 20.3276) * CHOOSE(CONTROL!$C$19, $D$11, 100%, $F$11)</f>
        <v>20.328700000000001</v>
      </c>
      <c r="G651" s="8">
        <f>CHOOSE( CONTROL!$C$36, 19.4297, 19.4287) * CHOOSE( CONTROL!$C$19, $D$11, 100%, $F$11)</f>
        <v>19.4297</v>
      </c>
      <c r="H651" s="4">
        <f>CHOOSE( CONTROL!$C$36, 20.3189, 20.3178) * CHOOSE(CONTROL!$C$19, $D$11, 100%, $F$11)</f>
        <v>20.318899999999999</v>
      </c>
      <c r="I651" s="8">
        <f>CHOOSE( CONTROL!$C$36, 19.2541, 19.2531) * CHOOSE(CONTROL!$C$19, $D$11, 100%, $F$11)</f>
        <v>19.254100000000001</v>
      </c>
      <c r="J651" s="4">
        <f>CHOOSE( CONTROL!$C$36, 19.0626, 19.0615) * CHOOSE(CONTROL!$C$19, $D$11, 100%, $F$11)</f>
        <v>19.0626</v>
      </c>
      <c r="K651" s="4"/>
      <c r="L651" s="9">
        <v>28.360600000000002</v>
      </c>
      <c r="M651" s="9">
        <v>11.6745</v>
      </c>
      <c r="N651" s="9">
        <v>4.7850000000000001</v>
      </c>
      <c r="O651" s="9">
        <v>0.36199999999999999</v>
      </c>
      <c r="P651" s="9">
        <v>1.2509999999999999</v>
      </c>
      <c r="Q651" s="9">
        <v>19.053000000000001</v>
      </c>
      <c r="R651" s="9"/>
      <c r="S651" s="11"/>
    </row>
    <row r="652" spans="1:19" ht="15.75">
      <c r="A652" s="13">
        <v>60997</v>
      </c>
      <c r="B652" s="8">
        <f>CHOOSE( CONTROL!$C$36, 19.6336, 19.6325) * CHOOSE(CONTROL!$C$19, $D$11, 100%, $F$11)</f>
        <v>19.633600000000001</v>
      </c>
      <c r="C652" s="8">
        <f>CHOOSE( CONTROL!$C$36, 19.6387, 19.6376) * CHOOSE(CONTROL!$C$19, $D$11, 100%, $F$11)</f>
        <v>19.6387</v>
      </c>
      <c r="D652" s="8">
        <f>CHOOSE( CONTROL!$C$36, 19.6193, 19.6182) * CHOOSE( CONTROL!$C$19, $D$11, 100%, $F$11)</f>
        <v>19.619299999999999</v>
      </c>
      <c r="E652" s="12">
        <f>CHOOSE( CONTROL!$C$36, 19.6259, 19.6248) * CHOOSE( CONTROL!$C$19, $D$11, 100%, $F$11)</f>
        <v>19.625900000000001</v>
      </c>
      <c r="F652" s="4">
        <f>CHOOSE( CONTROL!$C$36, 20.2929, 20.2918) * CHOOSE(CONTROL!$C$19, $D$11, 100%, $F$11)</f>
        <v>20.292899999999999</v>
      </c>
      <c r="G652" s="8">
        <f>CHOOSE( CONTROL!$C$36, 19.3954, 19.3944) * CHOOSE( CONTROL!$C$19, $D$11, 100%, $F$11)</f>
        <v>19.395399999999999</v>
      </c>
      <c r="H652" s="4">
        <f>CHOOSE( CONTROL!$C$36, 20.2836, 20.2825) * CHOOSE(CONTROL!$C$19, $D$11, 100%, $F$11)</f>
        <v>20.2836</v>
      </c>
      <c r="I652" s="8">
        <f>CHOOSE( CONTROL!$C$36, 19.2237, 19.2227) * CHOOSE(CONTROL!$C$19, $D$11, 100%, $F$11)</f>
        <v>19.223700000000001</v>
      </c>
      <c r="J652" s="4">
        <f>CHOOSE( CONTROL!$C$36, 19.0279, 19.0268) * CHOOSE(CONTROL!$C$19, $D$11, 100%, $F$11)</f>
        <v>19.027899999999999</v>
      </c>
      <c r="K652" s="4"/>
      <c r="L652" s="9">
        <v>29.306000000000001</v>
      </c>
      <c r="M652" s="9">
        <v>12.063700000000001</v>
      </c>
      <c r="N652" s="9">
        <v>4.9444999999999997</v>
      </c>
      <c r="O652" s="9">
        <v>0.37409999999999999</v>
      </c>
      <c r="P652" s="9">
        <v>1.2927</v>
      </c>
      <c r="Q652" s="9">
        <v>19.688099999999999</v>
      </c>
      <c r="R652" s="9"/>
      <c r="S652" s="11"/>
    </row>
    <row r="653" spans="1:19" ht="15.75">
      <c r="A653" s="13">
        <v>61028</v>
      </c>
      <c r="B653" s="8">
        <f>CHOOSE( CONTROL!$C$36, 20.2132, 20.2121) * CHOOSE(CONTROL!$C$19, $D$11, 100%, $F$11)</f>
        <v>20.213200000000001</v>
      </c>
      <c r="C653" s="8">
        <f>CHOOSE( CONTROL!$C$36, 20.2183, 20.2172) * CHOOSE(CONTROL!$C$19, $D$11, 100%, $F$11)</f>
        <v>20.218299999999999</v>
      </c>
      <c r="D653" s="8">
        <f>CHOOSE( CONTROL!$C$36, 20.2196, 20.2185) * CHOOSE( CONTROL!$C$19, $D$11, 100%, $F$11)</f>
        <v>20.2196</v>
      </c>
      <c r="E653" s="12">
        <f>CHOOSE( CONTROL!$C$36, 20.2186, 20.2175) * CHOOSE( CONTROL!$C$19, $D$11, 100%, $F$11)</f>
        <v>20.218599999999999</v>
      </c>
      <c r="F653" s="4">
        <f>CHOOSE( CONTROL!$C$36, 20.8725, 20.8714) * CHOOSE(CONTROL!$C$19, $D$11, 100%, $F$11)</f>
        <v>20.872499999999999</v>
      </c>
      <c r="G653" s="8">
        <f>CHOOSE( CONTROL!$C$36, 19.978, 19.9769) * CHOOSE( CONTROL!$C$19, $D$11, 100%, $F$11)</f>
        <v>19.978000000000002</v>
      </c>
      <c r="H653" s="4">
        <f>CHOOSE( CONTROL!$C$36, 20.8551, 20.854) * CHOOSE(CONTROL!$C$19, $D$11, 100%, $F$11)</f>
        <v>20.8551</v>
      </c>
      <c r="I653" s="8">
        <f>CHOOSE( CONTROL!$C$36, 19.7627, 19.7617) * CHOOSE(CONTROL!$C$19, $D$11, 100%, $F$11)</f>
        <v>19.762699999999999</v>
      </c>
      <c r="J653" s="4">
        <f>CHOOSE( CONTROL!$C$36, 19.5891, 19.5881) * CHOOSE(CONTROL!$C$19, $D$11, 100%, $F$11)</f>
        <v>19.589099999999998</v>
      </c>
      <c r="K653" s="4"/>
      <c r="L653" s="9">
        <v>29.306000000000001</v>
      </c>
      <c r="M653" s="9">
        <v>12.063700000000001</v>
      </c>
      <c r="N653" s="9">
        <v>4.9444999999999997</v>
      </c>
      <c r="O653" s="9">
        <v>0.37409999999999999</v>
      </c>
      <c r="P653" s="9">
        <v>1.2927</v>
      </c>
      <c r="Q653" s="9">
        <v>19.688099999999999</v>
      </c>
      <c r="R653" s="9"/>
      <c r="S653" s="11"/>
    </row>
    <row r="654" spans="1:19" ht="15.75">
      <c r="A654" s="13">
        <v>61056</v>
      </c>
      <c r="B654" s="8">
        <f>CHOOSE( CONTROL!$C$36, 18.9054, 18.9043) * CHOOSE(CONTROL!$C$19, $D$11, 100%, $F$11)</f>
        <v>18.9054</v>
      </c>
      <c r="C654" s="8">
        <f>CHOOSE( CONTROL!$C$36, 18.9105, 18.9094) * CHOOSE(CONTROL!$C$19, $D$11, 100%, $F$11)</f>
        <v>18.910499999999999</v>
      </c>
      <c r="D654" s="8">
        <f>CHOOSE( CONTROL!$C$36, 18.9117, 18.9106) * CHOOSE( CONTROL!$C$19, $D$11, 100%, $F$11)</f>
        <v>18.9117</v>
      </c>
      <c r="E654" s="12">
        <f>CHOOSE( CONTROL!$C$36, 18.9107, 18.9096) * CHOOSE( CONTROL!$C$19, $D$11, 100%, $F$11)</f>
        <v>18.910699999999999</v>
      </c>
      <c r="F654" s="4">
        <f>CHOOSE( CONTROL!$C$36, 19.5647, 19.5636) * CHOOSE(CONTROL!$C$19, $D$11, 100%, $F$11)</f>
        <v>19.564699999999998</v>
      </c>
      <c r="G654" s="8">
        <f>CHOOSE( CONTROL!$C$36, 18.6884, 18.6873) * CHOOSE( CONTROL!$C$19, $D$11, 100%, $F$11)</f>
        <v>18.688400000000001</v>
      </c>
      <c r="H654" s="4">
        <f>CHOOSE( CONTROL!$C$36, 19.5656, 19.5645) * CHOOSE(CONTROL!$C$19, $D$11, 100%, $F$11)</f>
        <v>19.5656</v>
      </c>
      <c r="I654" s="8">
        <f>CHOOSE( CONTROL!$C$36, 18.4954, 18.4943) * CHOOSE(CONTROL!$C$19, $D$11, 100%, $F$11)</f>
        <v>18.4954</v>
      </c>
      <c r="J654" s="4">
        <f>CHOOSE( CONTROL!$C$36, 18.3228, 18.3217) * CHOOSE(CONTROL!$C$19, $D$11, 100%, $F$11)</f>
        <v>18.322800000000001</v>
      </c>
      <c r="K654" s="4"/>
      <c r="L654" s="9">
        <v>26.469899999999999</v>
      </c>
      <c r="M654" s="9">
        <v>10.8962</v>
      </c>
      <c r="N654" s="9">
        <v>4.4660000000000002</v>
      </c>
      <c r="O654" s="9">
        <v>0.33789999999999998</v>
      </c>
      <c r="P654" s="9">
        <v>1.1676</v>
      </c>
      <c r="Q654" s="9">
        <v>17.782800000000002</v>
      </c>
      <c r="R654" s="9"/>
      <c r="S654" s="11"/>
    </row>
    <row r="655" spans="1:19" ht="15.75">
      <c r="A655" s="13">
        <v>61087</v>
      </c>
      <c r="B655" s="8">
        <f>CHOOSE( CONTROL!$C$36, 18.5026, 18.5015) * CHOOSE(CONTROL!$C$19, $D$11, 100%, $F$11)</f>
        <v>18.502600000000001</v>
      </c>
      <c r="C655" s="8">
        <f>CHOOSE( CONTROL!$C$36, 18.5077, 18.5066) * CHOOSE(CONTROL!$C$19, $D$11, 100%, $F$11)</f>
        <v>18.5077</v>
      </c>
      <c r="D655" s="8">
        <f>CHOOSE( CONTROL!$C$36, 18.5082, 18.5072) * CHOOSE( CONTROL!$C$19, $D$11, 100%, $F$11)</f>
        <v>18.508199999999999</v>
      </c>
      <c r="E655" s="12">
        <f>CHOOSE( CONTROL!$C$36, 18.5075, 18.5064) * CHOOSE( CONTROL!$C$19, $D$11, 100%, $F$11)</f>
        <v>18.5075</v>
      </c>
      <c r="F655" s="4">
        <f>CHOOSE( CONTROL!$C$36, 19.1619, 19.1608) * CHOOSE(CONTROL!$C$19, $D$11, 100%, $F$11)</f>
        <v>19.161899999999999</v>
      </c>
      <c r="G655" s="8">
        <f>CHOOSE( CONTROL!$C$36, 18.2907, 18.2897) * CHOOSE( CONTROL!$C$19, $D$11, 100%, $F$11)</f>
        <v>18.290700000000001</v>
      </c>
      <c r="H655" s="4">
        <f>CHOOSE( CONTROL!$C$36, 19.1684, 19.1673) * CHOOSE(CONTROL!$C$19, $D$11, 100%, $F$11)</f>
        <v>19.168399999999998</v>
      </c>
      <c r="I655" s="8">
        <f>CHOOSE( CONTROL!$C$36, 18.1031, 18.1021) * CHOOSE(CONTROL!$C$19, $D$11, 100%, $F$11)</f>
        <v>18.103100000000001</v>
      </c>
      <c r="J655" s="4">
        <f>CHOOSE( CONTROL!$C$36, 17.9328, 17.9317) * CHOOSE(CONTROL!$C$19, $D$11, 100%, $F$11)</f>
        <v>17.9328</v>
      </c>
      <c r="K655" s="4"/>
      <c r="L655" s="9">
        <v>29.306000000000001</v>
      </c>
      <c r="M655" s="9">
        <v>12.063700000000001</v>
      </c>
      <c r="N655" s="9">
        <v>4.9444999999999997</v>
      </c>
      <c r="O655" s="9">
        <v>0.37409999999999999</v>
      </c>
      <c r="P655" s="9">
        <v>1.2927</v>
      </c>
      <c r="Q655" s="9">
        <v>19.688099999999999</v>
      </c>
      <c r="R655" s="9"/>
      <c r="S655" s="11"/>
    </row>
    <row r="656" spans="1:19" ht="15.75">
      <c r="A656" s="13">
        <v>61117</v>
      </c>
      <c r="B656" s="8">
        <f>CHOOSE( CONTROL!$C$36, 18.7849, 18.7838) * CHOOSE(CONTROL!$C$19, $D$11, 100%, $F$11)</f>
        <v>18.7849</v>
      </c>
      <c r="C656" s="8">
        <f>CHOOSE( CONTROL!$C$36, 18.7894, 18.7883) * CHOOSE(CONTROL!$C$19, $D$11, 100%, $F$11)</f>
        <v>18.789400000000001</v>
      </c>
      <c r="D656" s="8">
        <f>CHOOSE( CONTROL!$C$36, 18.8098, 18.8087) * CHOOSE( CONTROL!$C$19, $D$11, 100%, $F$11)</f>
        <v>18.809799999999999</v>
      </c>
      <c r="E656" s="12">
        <f>CHOOSE( CONTROL!$C$36, 18.8025, 18.8014) * CHOOSE( CONTROL!$C$19, $D$11, 100%, $F$11)</f>
        <v>18.802499999999998</v>
      </c>
      <c r="F656" s="4">
        <f>CHOOSE( CONTROL!$C$36, 19.5193, 19.5182) * CHOOSE(CONTROL!$C$19, $D$11, 100%, $F$11)</f>
        <v>19.519300000000001</v>
      </c>
      <c r="G656" s="8">
        <f>CHOOSE( CONTROL!$C$36, 18.5764, 18.5753) * CHOOSE( CONTROL!$C$19, $D$11, 100%, $F$11)</f>
        <v>18.5764</v>
      </c>
      <c r="H656" s="4">
        <f>CHOOSE( CONTROL!$C$36, 19.5208, 19.5197) * CHOOSE(CONTROL!$C$19, $D$11, 100%, $F$11)</f>
        <v>19.520800000000001</v>
      </c>
      <c r="I656" s="8">
        <f>CHOOSE( CONTROL!$C$36, 18.3453, 18.3443) * CHOOSE(CONTROL!$C$19, $D$11, 100%, $F$11)</f>
        <v>18.345300000000002</v>
      </c>
      <c r="J656" s="4">
        <f>CHOOSE( CONTROL!$C$36, 18.2053, 18.2042) * CHOOSE(CONTROL!$C$19, $D$11, 100%, $F$11)</f>
        <v>18.205300000000001</v>
      </c>
      <c r="K656" s="4"/>
      <c r="L656" s="9">
        <v>30.092199999999998</v>
      </c>
      <c r="M656" s="9">
        <v>11.6745</v>
      </c>
      <c r="N656" s="9">
        <v>4.7850000000000001</v>
      </c>
      <c r="O656" s="9">
        <v>0.36199999999999999</v>
      </c>
      <c r="P656" s="9">
        <v>1.2509999999999999</v>
      </c>
      <c r="Q656" s="9">
        <v>19.053000000000001</v>
      </c>
      <c r="R656" s="9"/>
      <c r="S656" s="11"/>
    </row>
    <row r="657" spans="1:19" ht="15.75">
      <c r="A657" s="13">
        <v>61148</v>
      </c>
      <c r="B657" s="8">
        <f>CHOOSE( CONTROL!$C$36, 19.2877, 19.2861) * CHOOSE(CONTROL!$C$19, $D$11, 100%, $F$11)</f>
        <v>19.287700000000001</v>
      </c>
      <c r="C657" s="8">
        <f>CHOOSE( CONTROL!$C$36, 19.2957, 19.2941) * CHOOSE(CONTROL!$C$19, $D$11, 100%, $F$11)</f>
        <v>19.2957</v>
      </c>
      <c r="D657" s="8">
        <f>CHOOSE( CONTROL!$C$36, 19.3099, 19.3083) * CHOOSE( CONTROL!$C$19, $D$11, 100%, $F$11)</f>
        <v>19.309899999999999</v>
      </c>
      <c r="E657" s="12">
        <f>CHOOSE( CONTROL!$C$36, 19.3035, 19.3019) * CHOOSE( CONTROL!$C$19, $D$11, 100%, $F$11)</f>
        <v>19.3035</v>
      </c>
      <c r="F657" s="4">
        <f>CHOOSE( CONTROL!$C$36, 20.0208, 20.0191) * CHOOSE(CONTROL!$C$19, $D$11, 100%, $F$11)</f>
        <v>20.020800000000001</v>
      </c>
      <c r="G657" s="8">
        <f>CHOOSE( CONTROL!$C$36, 19.0708, 19.0692) * CHOOSE( CONTROL!$C$19, $D$11, 100%, $F$11)</f>
        <v>19.070799999999998</v>
      </c>
      <c r="H657" s="4">
        <f>CHOOSE( CONTROL!$C$36, 20.0153, 20.0137) * CHOOSE(CONTROL!$C$19, $D$11, 100%, $F$11)</f>
        <v>20.0153</v>
      </c>
      <c r="I657" s="8">
        <f>CHOOSE( CONTROL!$C$36, 18.8308, 18.8292) * CHOOSE(CONTROL!$C$19, $D$11, 100%, $F$11)</f>
        <v>18.8308</v>
      </c>
      <c r="J657" s="4">
        <f>CHOOSE( CONTROL!$C$36, 18.6909, 18.6893) * CHOOSE(CONTROL!$C$19, $D$11, 100%, $F$11)</f>
        <v>18.690899999999999</v>
      </c>
      <c r="K657" s="4"/>
      <c r="L657" s="9">
        <v>30.7165</v>
      </c>
      <c r="M657" s="9">
        <v>12.063700000000001</v>
      </c>
      <c r="N657" s="9">
        <v>4.9444999999999997</v>
      </c>
      <c r="O657" s="9">
        <v>0.37409999999999999</v>
      </c>
      <c r="P657" s="9">
        <v>1.2927</v>
      </c>
      <c r="Q657" s="9">
        <v>19.688099999999999</v>
      </c>
      <c r="R657" s="9"/>
      <c r="S657" s="11"/>
    </row>
    <row r="658" spans="1:19" ht="15.75">
      <c r="A658" s="13">
        <v>61178</v>
      </c>
      <c r="B658" s="8">
        <f>CHOOSE( CONTROL!$C$36, 18.9774, 18.9758) * CHOOSE(CONTROL!$C$19, $D$11, 100%, $F$11)</f>
        <v>18.977399999999999</v>
      </c>
      <c r="C658" s="8">
        <f>CHOOSE( CONTROL!$C$36, 18.9854, 18.9838) * CHOOSE(CONTROL!$C$19, $D$11, 100%, $F$11)</f>
        <v>18.985399999999998</v>
      </c>
      <c r="D658" s="8">
        <f>CHOOSE( CONTROL!$C$36, 18.9998, 18.9981) * CHOOSE( CONTROL!$C$19, $D$11, 100%, $F$11)</f>
        <v>18.9998</v>
      </c>
      <c r="E658" s="12">
        <f>CHOOSE( CONTROL!$C$36, 18.9934, 18.9917) * CHOOSE( CONTROL!$C$19, $D$11, 100%, $F$11)</f>
        <v>18.993400000000001</v>
      </c>
      <c r="F658" s="4">
        <f>CHOOSE( CONTROL!$C$36, 19.7105, 19.7088) * CHOOSE(CONTROL!$C$19, $D$11, 100%, $F$11)</f>
        <v>19.7105</v>
      </c>
      <c r="G658" s="8">
        <f>CHOOSE( CONTROL!$C$36, 18.765, 18.7634) * CHOOSE( CONTROL!$C$19, $D$11, 100%, $F$11)</f>
        <v>18.765000000000001</v>
      </c>
      <c r="H658" s="4">
        <f>CHOOSE( CONTROL!$C$36, 19.7093, 19.7077) * CHOOSE(CONTROL!$C$19, $D$11, 100%, $F$11)</f>
        <v>19.709299999999999</v>
      </c>
      <c r="I658" s="8">
        <f>CHOOSE( CONTROL!$C$36, 18.5308, 18.5292) * CHOOSE(CONTROL!$C$19, $D$11, 100%, $F$11)</f>
        <v>18.530799999999999</v>
      </c>
      <c r="J658" s="4">
        <f>CHOOSE( CONTROL!$C$36, 18.3904, 18.3888) * CHOOSE(CONTROL!$C$19, $D$11, 100%, $F$11)</f>
        <v>18.3904</v>
      </c>
      <c r="K658" s="4"/>
      <c r="L658" s="9">
        <v>29.7257</v>
      </c>
      <c r="M658" s="9">
        <v>11.6745</v>
      </c>
      <c r="N658" s="9">
        <v>4.7850000000000001</v>
      </c>
      <c r="O658" s="9">
        <v>0.36199999999999999</v>
      </c>
      <c r="P658" s="9">
        <v>1.2509999999999999</v>
      </c>
      <c r="Q658" s="9">
        <v>19.053000000000001</v>
      </c>
      <c r="R658" s="9"/>
      <c r="S658" s="11"/>
    </row>
    <row r="659" spans="1:19" ht="15.75">
      <c r="A659" s="13">
        <v>61209</v>
      </c>
      <c r="B659" s="8">
        <f>CHOOSE( CONTROL!$C$36, 19.7946, 19.7929) * CHOOSE(CONTROL!$C$19, $D$11, 100%, $F$11)</f>
        <v>19.794599999999999</v>
      </c>
      <c r="C659" s="8">
        <f>CHOOSE( CONTROL!$C$36, 19.8026, 19.8009) * CHOOSE(CONTROL!$C$19, $D$11, 100%, $F$11)</f>
        <v>19.802600000000002</v>
      </c>
      <c r="D659" s="8">
        <f>CHOOSE( CONTROL!$C$36, 19.8172, 19.8156) * CHOOSE( CONTROL!$C$19, $D$11, 100%, $F$11)</f>
        <v>19.8172</v>
      </c>
      <c r="E659" s="12">
        <f>CHOOSE( CONTROL!$C$36, 19.8107, 19.8091) * CHOOSE( CONTROL!$C$19, $D$11, 100%, $F$11)</f>
        <v>19.810700000000001</v>
      </c>
      <c r="F659" s="4">
        <f>CHOOSE( CONTROL!$C$36, 20.5276, 20.526) * CHOOSE(CONTROL!$C$19, $D$11, 100%, $F$11)</f>
        <v>20.5276</v>
      </c>
      <c r="G659" s="8">
        <f>CHOOSE( CONTROL!$C$36, 19.571, 19.5693) * CHOOSE( CONTROL!$C$19, $D$11, 100%, $F$11)</f>
        <v>19.571000000000002</v>
      </c>
      <c r="H659" s="4">
        <f>CHOOSE( CONTROL!$C$36, 20.5151, 20.5135) * CHOOSE(CONTROL!$C$19, $D$11, 100%, $F$11)</f>
        <v>20.5151</v>
      </c>
      <c r="I659" s="8">
        <f>CHOOSE( CONTROL!$C$36, 19.3233, 19.3217) * CHOOSE(CONTROL!$C$19, $D$11, 100%, $F$11)</f>
        <v>19.3233</v>
      </c>
      <c r="J659" s="4">
        <f>CHOOSE( CONTROL!$C$36, 19.1817, 19.1801) * CHOOSE(CONTROL!$C$19, $D$11, 100%, $F$11)</f>
        <v>19.181699999999999</v>
      </c>
      <c r="K659" s="4"/>
      <c r="L659" s="9">
        <v>30.7165</v>
      </c>
      <c r="M659" s="9">
        <v>12.063700000000001</v>
      </c>
      <c r="N659" s="9">
        <v>4.9444999999999997</v>
      </c>
      <c r="O659" s="9">
        <v>0.37409999999999999</v>
      </c>
      <c r="P659" s="9">
        <v>1.2927</v>
      </c>
      <c r="Q659" s="9">
        <v>19.688099999999999</v>
      </c>
      <c r="R659" s="9"/>
      <c r="S659" s="11"/>
    </row>
    <row r="660" spans="1:19" ht="15.75">
      <c r="A660" s="13">
        <v>61240</v>
      </c>
      <c r="B660" s="8">
        <f>CHOOSE( CONTROL!$C$36, 18.2656, 18.2639) * CHOOSE(CONTROL!$C$19, $D$11, 100%, $F$11)</f>
        <v>18.265599999999999</v>
      </c>
      <c r="C660" s="8">
        <f>CHOOSE( CONTROL!$C$36, 18.2736, 18.2719) * CHOOSE(CONTROL!$C$19, $D$11, 100%, $F$11)</f>
        <v>18.273599999999998</v>
      </c>
      <c r="D660" s="8">
        <f>CHOOSE( CONTROL!$C$36, 18.2883, 18.2866) * CHOOSE( CONTROL!$C$19, $D$11, 100%, $F$11)</f>
        <v>18.2883</v>
      </c>
      <c r="E660" s="12">
        <f>CHOOSE( CONTROL!$C$36, 18.2818, 18.2801) * CHOOSE( CONTROL!$C$19, $D$11, 100%, $F$11)</f>
        <v>18.2818</v>
      </c>
      <c r="F660" s="4">
        <f>CHOOSE( CONTROL!$C$36, 18.9986, 18.9969) * CHOOSE(CONTROL!$C$19, $D$11, 100%, $F$11)</f>
        <v>18.9986</v>
      </c>
      <c r="G660" s="8">
        <f>CHOOSE( CONTROL!$C$36, 18.0633, 18.0617) * CHOOSE( CONTROL!$C$19, $D$11, 100%, $F$11)</f>
        <v>18.063300000000002</v>
      </c>
      <c r="H660" s="4">
        <f>CHOOSE( CONTROL!$C$36, 19.0074, 19.0058) * CHOOSE(CONTROL!$C$19, $D$11, 100%, $F$11)</f>
        <v>19.007400000000001</v>
      </c>
      <c r="I660" s="8">
        <f>CHOOSE( CONTROL!$C$36, 17.8422, 17.8406) * CHOOSE(CONTROL!$C$19, $D$11, 100%, $F$11)</f>
        <v>17.842199999999998</v>
      </c>
      <c r="J660" s="4">
        <f>CHOOSE( CONTROL!$C$36, 17.7011, 17.6995) * CHOOSE(CONTROL!$C$19, $D$11, 100%, $F$11)</f>
        <v>17.7011</v>
      </c>
      <c r="K660" s="4"/>
      <c r="L660" s="9">
        <v>30.7165</v>
      </c>
      <c r="M660" s="9">
        <v>12.063700000000001</v>
      </c>
      <c r="N660" s="9">
        <v>4.9444999999999997</v>
      </c>
      <c r="O660" s="9">
        <v>0.37409999999999999</v>
      </c>
      <c r="P660" s="9">
        <v>1.2927</v>
      </c>
      <c r="Q660" s="9">
        <v>19.688099999999999</v>
      </c>
      <c r="R660" s="9"/>
      <c r="S660" s="11"/>
    </row>
    <row r="661" spans="1:19" ht="15.75">
      <c r="A661" s="13">
        <v>61270</v>
      </c>
      <c r="B661" s="8">
        <f>CHOOSE( CONTROL!$C$36, 17.8827, 17.881) * CHOOSE(CONTROL!$C$19, $D$11, 100%, $F$11)</f>
        <v>17.8827</v>
      </c>
      <c r="C661" s="8">
        <f>CHOOSE( CONTROL!$C$36, 17.8907, 17.889) * CHOOSE(CONTROL!$C$19, $D$11, 100%, $F$11)</f>
        <v>17.890699999999999</v>
      </c>
      <c r="D661" s="8">
        <f>CHOOSE( CONTROL!$C$36, 17.9053, 17.9036) * CHOOSE( CONTROL!$C$19, $D$11, 100%, $F$11)</f>
        <v>17.9053</v>
      </c>
      <c r="E661" s="12">
        <f>CHOOSE( CONTROL!$C$36, 17.8988, 17.8971) * CHOOSE( CONTROL!$C$19, $D$11, 100%, $F$11)</f>
        <v>17.898800000000001</v>
      </c>
      <c r="F661" s="4">
        <f>CHOOSE( CONTROL!$C$36, 18.6157, 18.614) * CHOOSE(CONTROL!$C$19, $D$11, 100%, $F$11)</f>
        <v>18.6157</v>
      </c>
      <c r="G661" s="8">
        <f>CHOOSE( CONTROL!$C$36, 17.6857, 17.6841) * CHOOSE( CONTROL!$C$19, $D$11, 100%, $F$11)</f>
        <v>17.685700000000001</v>
      </c>
      <c r="H661" s="4">
        <f>CHOOSE( CONTROL!$C$36, 18.6298, 18.6282) * CHOOSE(CONTROL!$C$19, $D$11, 100%, $F$11)</f>
        <v>18.629799999999999</v>
      </c>
      <c r="I661" s="8">
        <f>CHOOSE( CONTROL!$C$36, 17.4709, 17.4693) * CHOOSE(CONTROL!$C$19, $D$11, 100%, $F$11)</f>
        <v>17.4709</v>
      </c>
      <c r="J661" s="4">
        <f>CHOOSE( CONTROL!$C$36, 17.3304, 17.3288) * CHOOSE(CONTROL!$C$19, $D$11, 100%, $F$11)</f>
        <v>17.330400000000001</v>
      </c>
      <c r="K661" s="4"/>
      <c r="L661" s="9">
        <v>29.7257</v>
      </c>
      <c r="M661" s="9">
        <v>11.6745</v>
      </c>
      <c r="N661" s="9">
        <v>4.7850000000000001</v>
      </c>
      <c r="O661" s="9">
        <v>0.36199999999999999</v>
      </c>
      <c r="P661" s="9">
        <v>1.2509999999999999</v>
      </c>
      <c r="Q661" s="9">
        <v>19.053000000000001</v>
      </c>
      <c r="R661" s="9"/>
      <c r="S661" s="11"/>
    </row>
    <row r="662" spans="1:19" ht="15.75">
      <c r="A662" s="13">
        <v>61301</v>
      </c>
      <c r="B662" s="8">
        <f>CHOOSE( CONTROL!$C$36, 18.6754, 18.6743) * CHOOSE(CONTROL!$C$19, $D$11, 100%, $F$11)</f>
        <v>18.6754</v>
      </c>
      <c r="C662" s="8">
        <f>CHOOSE( CONTROL!$C$36, 18.6807, 18.6797) * CHOOSE(CONTROL!$C$19, $D$11, 100%, $F$11)</f>
        <v>18.680700000000002</v>
      </c>
      <c r="D662" s="8">
        <f>CHOOSE( CONTROL!$C$36, 18.7012, 18.7001) * CHOOSE( CONTROL!$C$19, $D$11, 100%, $F$11)</f>
        <v>18.7012</v>
      </c>
      <c r="E662" s="12">
        <f>CHOOSE( CONTROL!$C$36, 18.6939, 18.6928) * CHOOSE( CONTROL!$C$19, $D$11, 100%, $F$11)</f>
        <v>18.693899999999999</v>
      </c>
      <c r="F662" s="4">
        <f>CHOOSE( CONTROL!$C$36, 19.4101, 19.4091) * CHOOSE(CONTROL!$C$19, $D$11, 100%, $F$11)</f>
        <v>19.4101</v>
      </c>
      <c r="G662" s="8">
        <f>CHOOSE( CONTROL!$C$36, 18.4692, 18.4682) * CHOOSE( CONTROL!$C$19, $D$11, 100%, $F$11)</f>
        <v>18.469200000000001</v>
      </c>
      <c r="H662" s="4">
        <f>CHOOSE( CONTROL!$C$36, 19.4132, 19.4121) * CHOOSE(CONTROL!$C$19, $D$11, 100%, $F$11)</f>
        <v>19.4132</v>
      </c>
      <c r="I662" s="8">
        <f>CHOOSE( CONTROL!$C$36, 18.2416, 18.2406) * CHOOSE(CONTROL!$C$19, $D$11, 100%, $F$11)</f>
        <v>18.241599999999998</v>
      </c>
      <c r="J662" s="4">
        <f>CHOOSE( CONTROL!$C$36, 18.0996, 18.0986) * CHOOSE(CONTROL!$C$19, $D$11, 100%, $F$11)</f>
        <v>18.099599999999999</v>
      </c>
      <c r="K662" s="4"/>
      <c r="L662" s="9">
        <v>31.095300000000002</v>
      </c>
      <c r="M662" s="9">
        <v>12.063700000000001</v>
      </c>
      <c r="N662" s="9">
        <v>4.9444999999999997</v>
      </c>
      <c r="O662" s="9">
        <v>0.37409999999999999</v>
      </c>
      <c r="P662" s="9">
        <v>1.2927</v>
      </c>
      <c r="Q662" s="9">
        <v>19.688099999999999</v>
      </c>
      <c r="R662" s="9"/>
      <c r="S662" s="11"/>
    </row>
    <row r="663" spans="1:19" ht="15.75">
      <c r="A663" s="13">
        <v>61331</v>
      </c>
      <c r="B663" s="8">
        <f>CHOOSE( CONTROL!$C$36, 20.1424, 20.1413) * CHOOSE(CONTROL!$C$19, $D$11, 100%, $F$11)</f>
        <v>20.142399999999999</v>
      </c>
      <c r="C663" s="8">
        <f>CHOOSE( CONTROL!$C$36, 20.1475, 20.1464) * CHOOSE(CONTROL!$C$19, $D$11, 100%, $F$11)</f>
        <v>20.147500000000001</v>
      </c>
      <c r="D663" s="8">
        <f>CHOOSE( CONTROL!$C$36, 20.1267, 20.1256) * CHOOSE( CONTROL!$C$19, $D$11, 100%, $F$11)</f>
        <v>20.1267</v>
      </c>
      <c r="E663" s="12">
        <f>CHOOSE( CONTROL!$C$36, 20.1338, 20.1327) * CHOOSE( CONTROL!$C$19, $D$11, 100%, $F$11)</f>
        <v>20.133800000000001</v>
      </c>
      <c r="F663" s="4">
        <f>CHOOSE( CONTROL!$C$36, 20.8017, 20.8006) * CHOOSE(CONTROL!$C$19, $D$11, 100%, $F$11)</f>
        <v>20.8017</v>
      </c>
      <c r="G663" s="8">
        <f>CHOOSE( CONTROL!$C$36, 19.8961, 19.8951) * CHOOSE( CONTROL!$C$19, $D$11, 100%, $F$11)</f>
        <v>19.896100000000001</v>
      </c>
      <c r="H663" s="4">
        <f>CHOOSE( CONTROL!$C$36, 20.7853, 20.7842) * CHOOSE(CONTROL!$C$19, $D$11, 100%, $F$11)</f>
        <v>20.785299999999999</v>
      </c>
      <c r="I663" s="8">
        <f>CHOOSE( CONTROL!$C$36, 19.7123, 19.7113) * CHOOSE(CONTROL!$C$19, $D$11, 100%, $F$11)</f>
        <v>19.712299999999999</v>
      </c>
      <c r="J663" s="4">
        <f>CHOOSE( CONTROL!$C$36, 19.5206, 19.5195) * CHOOSE(CONTROL!$C$19, $D$11, 100%, $F$11)</f>
        <v>19.520600000000002</v>
      </c>
      <c r="K663" s="4"/>
      <c r="L663" s="9">
        <v>28.360600000000002</v>
      </c>
      <c r="M663" s="9">
        <v>11.6745</v>
      </c>
      <c r="N663" s="9">
        <v>4.7850000000000001</v>
      </c>
      <c r="O663" s="9">
        <v>0.36199999999999999</v>
      </c>
      <c r="P663" s="9">
        <v>1.2509999999999999</v>
      </c>
      <c r="Q663" s="9">
        <v>19.053000000000001</v>
      </c>
      <c r="R663" s="9"/>
      <c r="S663" s="11"/>
    </row>
    <row r="664" spans="1:19" ht="15.75">
      <c r="A664" s="13">
        <v>61362</v>
      </c>
      <c r="B664" s="8">
        <f>CHOOSE( CONTROL!$C$36, 20.1057, 20.1047) * CHOOSE(CONTROL!$C$19, $D$11, 100%, $F$11)</f>
        <v>20.105699999999999</v>
      </c>
      <c r="C664" s="8">
        <f>CHOOSE( CONTROL!$C$36, 20.1108, 20.1098) * CHOOSE(CONTROL!$C$19, $D$11, 100%, $F$11)</f>
        <v>20.110800000000001</v>
      </c>
      <c r="D664" s="8">
        <f>CHOOSE( CONTROL!$C$36, 20.0914, 20.0904) * CHOOSE( CONTROL!$C$19, $D$11, 100%, $F$11)</f>
        <v>20.0914</v>
      </c>
      <c r="E664" s="12">
        <f>CHOOSE( CONTROL!$C$36, 20.098, 20.097) * CHOOSE( CONTROL!$C$19, $D$11, 100%, $F$11)</f>
        <v>20.097999999999999</v>
      </c>
      <c r="F664" s="4">
        <f>CHOOSE( CONTROL!$C$36, 20.765, 20.7639) * CHOOSE(CONTROL!$C$19, $D$11, 100%, $F$11)</f>
        <v>20.765000000000001</v>
      </c>
      <c r="G664" s="8">
        <f>CHOOSE( CONTROL!$C$36, 19.861, 19.8599) * CHOOSE( CONTROL!$C$19, $D$11, 100%, $F$11)</f>
        <v>19.861000000000001</v>
      </c>
      <c r="H664" s="4">
        <f>CHOOSE( CONTROL!$C$36, 20.7491, 20.7481) * CHOOSE(CONTROL!$C$19, $D$11, 100%, $F$11)</f>
        <v>20.749099999999999</v>
      </c>
      <c r="I664" s="8">
        <f>CHOOSE( CONTROL!$C$36, 19.6811, 19.6801) * CHOOSE(CONTROL!$C$19, $D$11, 100%, $F$11)</f>
        <v>19.681100000000001</v>
      </c>
      <c r="J664" s="4">
        <f>CHOOSE( CONTROL!$C$36, 19.485, 19.484) * CHOOSE(CONTROL!$C$19, $D$11, 100%, $F$11)</f>
        <v>19.484999999999999</v>
      </c>
      <c r="K664" s="4"/>
      <c r="L664" s="9">
        <v>29.306000000000001</v>
      </c>
      <c r="M664" s="9">
        <v>12.063700000000001</v>
      </c>
      <c r="N664" s="9">
        <v>4.9444999999999997</v>
      </c>
      <c r="O664" s="9">
        <v>0.37409999999999999</v>
      </c>
      <c r="P664" s="9">
        <v>1.2927</v>
      </c>
      <c r="Q664" s="9">
        <v>19.688099999999999</v>
      </c>
      <c r="R664" s="9"/>
      <c r="S664" s="11"/>
    </row>
    <row r="665" spans="1:19" ht="15.75">
      <c r="A665" s="13">
        <v>61393</v>
      </c>
      <c r="B665" s="8">
        <f>CHOOSE( CONTROL!$C$36, 20.6993, 20.6982) * CHOOSE(CONTROL!$C$19, $D$11, 100%, $F$11)</f>
        <v>20.699300000000001</v>
      </c>
      <c r="C665" s="8">
        <f>CHOOSE( CONTROL!$C$36, 20.7044, 20.7033) * CHOOSE(CONTROL!$C$19, $D$11, 100%, $F$11)</f>
        <v>20.7044</v>
      </c>
      <c r="D665" s="8">
        <f>CHOOSE( CONTROL!$C$36, 20.7057, 20.7046) * CHOOSE( CONTROL!$C$19, $D$11, 100%, $F$11)</f>
        <v>20.7057</v>
      </c>
      <c r="E665" s="12">
        <f>CHOOSE( CONTROL!$C$36, 20.7047, 20.7036) * CHOOSE( CONTROL!$C$19, $D$11, 100%, $F$11)</f>
        <v>20.704699999999999</v>
      </c>
      <c r="F665" s="4">
        <f>CHOOSE( CONTROL!$C$36, 21.3585, 21.3574) * CHOOSE(CONTROL!$C$19, $D$11, 100%, $F$11)</f>
        <v>21.358499999999999</v>
      </c>
      <c r="G665" s="8">
        <f>CHOOSE( CONTROL!$C$36, 20.4573, 20.4562) * CHOOSE( CONTROL!$C$19, $D$11, 100%, $F$11)</f>
        <v>20.4573</v>
      </c>
      <c r="H665" s="4">
        <f>CHOOSE( CONTROL!$C$36, 21.3344, 21.3333) * CHOOSE(CONTROL!$C$19, $D$11, 100%, $F$11)</f>
        <v>21.334399999999999</v>
      </c>
      <c r="I665" s="8">
        <f>CHOOSE( CONTROL!$C$36, 20.2336, 20.2326) * CHOOSE(CONTROL!$C$19, $D$11, 100%, $F$11)</f>
        <v>20.233599999999999</v>
      </c>
      <c r="J665" s="4">
        <f>CHOOSE( CONTROL!$C$36, 20.0598, 20.0587) * CHOOSE(CONTROL!$C$19, $D$11, 100%, $F$11)</f>
        <v>20.059799999999999</v>
      </c>
      <c r="K665" s="4"/>
      <c r="L665" s="9">
        <v>29.306000000000001</v>
      </c>
      <c r="M665" s="9">
        <v>12.063700000000001</v>
      </c>
      <c r="N665" s="9">
        <v>4.9444999999999997</v>
      </c>
      <c r="O665" s="9">
        <v>0.37409999999999999</v>
      </c>
      <c r="P665" s="9">
        <v>1.2927</v>
      </c>
      <c r="Q665" s="9">
        <v>19.688099999999999</v>
      </c>
      <c r="R665" s="9"/>
      <c r="S665" s="11"/>
    </row>
    <row r="666" spans="1:19" ht="15.75">
      <c r="A666" s="13">
        <v>61422</v>
      </c>
      <c r="B666" s="8">
        <f>CHOOSE( CONTROL!$C$36, 19.3601, 19.359) * CHOOSE(CONTROL!$C$19, $D$11, 100%, $F$11)</f>
        <v>19.360099999999999</v>
      </c>
      <c r="C666" s="8">
        <f>CHOOSE( CONTROL!$C$36, 19.3652, 19.3641) * CHOOSE(CONTROL!$C$19, $D$11, 100%, $F$11)</f>
        <v>19.365200000000002</v>
      </c>
      <c r="D666" s="8">
        <f>CHOOSE( CONTROL!$C$36, 19.3663, 19.3652) * CHOOSE( CONTROL!$C$19, $D$11, 100%, $F$11)</f>
        <v>19.366299999999999</v>
      </c>
      <c r="E666" s="12">
        <f>CHOOSE( CONTROL!$C$36, 19.3654, 19.3643) * CHOOSE( CONTROL!$C$19, $D$11, 100%, $F$11)</f>
        <v>19.365400000000001</v>
      </c>
      <c r="F666" s="4">
        <f>CHOOSE( CONTROL!$C$36, 20.0193, 20.0182) * CHOOSE(CONTROL!$C$19, $D$11, 100%, $F$11)</f>
        <v>20.019300000000001</v>
      </c>
      <c r="G666" s="8">
        <f>CHOOSE( CONTROL!$C$36, 19.1367, 19.1356) * CHOOSE( CONTROL!$C$19, $D$11, 100%, $F$11)</f>
        <v>19.136700000000001</v>
      </c>
      <c r="H666" s="4">
        <f>CHOOSE( CONTROL!$C$36, 20.0139, 20.0128) * CHOOSE(CONTROL!$C$19, $D$11, 100%, $F$11)</f>
        <v>20.0139</v>
      </c>
      <c r="I666" s="8">
        <f>CHOOSE( CONTROL!$C$36, 18.9358, 18.9348) * CHOOSE(CONTROL!$C$19, $D$11, 100%, $F$11)</f>
        <v>18.9358</v>
      </c>
      <c r="J666" s="4">
        <f>CHOOSE( CONTROL!$C$36, 18.763, 18.762) * CHOOSE(CONTROL!$C$19, $D$11, 100%, $F$11)</f>
        <v>18.763000000000002</v>
      </c>
      <c r="K666" s="4"/>
      <c r="L666" s="9">
        <v>27.415299999999998</v>
      </c>
      <c r="M666" s="9">
        <v>11.285299999999999</v>
      </c>
      <c r="N666" s="9">
        <v>4.6254999999999997</v>
      </c>
      <c r="O666" s="9">
        <v>0.34989999999999999</v>
      </c>
      <c r="P666" s="9">
        <v>1.2093</v>
      </c>
      <c r="Q666" s="9">
        <v>18.417899999999999</v>
      </c>
      <c r="R666" s="9"/>
      <c r="S666" s="11"/>
    </row>
    <row r="667" spans="1:19" ht="15.75">
      <c r="A667" s="13">
        <v>61453</v>
      </c>
      <c r="B667" s="8">
        <f>CHOOSE( CONTROL!$C$36, 18.9476, 18.9465) * CHOOSE(CONTROL!$C$19, $D$11, 100%, $F$11)</f>
        <v>18.947600000000001</v>
      </c>
      <c r="C667" s="8">
        <f>CHOOSE( CONTROL!$C$36, 18.9527, 18.9516) * CHOOSE(CONTROL!$C$19, $D$11, 100%, $F$11)</f>
        <v>18.9527</v>
      </c>
      <c r="D667" s="8">
        <f>CHOOSE( CONTROL!$C$36, 18.9532, 18.9521) * CHOOSE( CONTROL!$C$19, $D$11, 100%, $F$11)</f>
        <v>18.953199999999999</v>
      </c>
      <c r="E667" s="12">
        <f>CHOOSE( CONTROL!$C$36, 18.9525, 18.9514) * CHOOSE( CONTROL!$C$19, $D$11, 100%, $F$11)</f>
        <v>18.952500000000001</v>
      </c>
      <c r="F667" s="4">
        <f>CHOOSE( CONTROL!$C$36, 19.6068, 19.6058) * CHOOSE(CONTROL!$C$19, $D$11, 100%, $F$11)</f>
        <v>19.6068</v>
      </c>
      <c r="G667" s="8">
        <f>CHOOSE( CONTROL!$C$36, 18.7295, 18.7284) * CHOOSE( CONTROL!$C$19, $D$11, 100%, $F$11)</f>
        <v>18.729500000000002</v>
      </c>
      <c r="H667" s="4">
        <f>CHOOSE( CONTROL!$C$36, 19.6071, 19.6061) * CHOOSE(CONTROL!$C$19, $D$11, 100%, $F$11)</f>
        <v>19.607099999999999</v>
      </c>
      <c r="I667" s="8">
        <f>CHOOSE( CONTROL!$C$36, 18.5342, 18.5332) * CHOOSE(CONTROL!$C$19, $D$11, 100%, $F$11)</f>
        <v>18.534199999999998</v>
      </c>
      <c r="J667" s="4">
        <f>CHOOSE( CONTROL!$C$36, 18.3636, 18.3626) * CHOOSE(CONTROL!$C$19, $D$11, 100%, $F$11)</f>
        <v>18.363600000000002</v>
      </c>
      <c r="K667" s="4"/>
      <c r="L667" s="9">
        <v>29.306000000000001</v>
      </c>
      <c r="M667" s="9">
        <v>12.063700000000001</v>
      </c>
      <c r="N667" s="9">
        <v>4.9444999999999997</v>
      </c>
      <c r="O667" s="9">
        <v>0.37409999999999999</v>
      </c>
      <c r="P667" s="9">
        <v>1.2927</v>
      </c>
      <c r="Q667" s="9">
        <v>19.688099999999999</v>
      </c>
      <c r="R667" s="9"/>
      <c r="S667" s="11"/>
    </row>
    <row r="668" spans="1:19" ht="15.75">
      <c r="A668" s="13">
        <v>61483</v>
      </c>
      <c r="B668" s="8">
        <f>CHOOSE( CONTROL!$C$36, 19.2366, 19.2355) * CHOOSE(CONTROL!$C$19, $D$11, 100%, $F$11)</f>
        <v>19.236599999999999</v>
      </c>
      <c r="C668" s="8">
        <f>CHOOSE( CONTROL!$C$36, 19.2411, 19.24) * CHOOSE(CONTROL!$C$19, $D$11, 100%, $F$11)</f>
        <v>19.241099999999999</v>
      </c>
      <c r="D668" s="8">
        <f>CHOOSE( CONTROL!$C$36, 19.2615, 19.2604) * CHOOSE( CONTROL!$C$19, $D$11, 100%, $F$11)</f>
        <v>19.261500000000002</v>
      </c>
      <c r="E668" s="12">
        <f>CHOOSE( CONTROL!$C$36, 19.2542, 19.2531) * CHOOSE( CONTROL!$C$19, $D$11, 100%, $F$11)</f>
        <v>19.254200000000001</v>
      </c>
      <c r="F668" s="4">
        <f>CHOOSE( CONTROL!$C$36, 19.971, 19.9699) * CHOOSE(CONTROL!$C$19, $D$11, 100%, $F$11)</f>
        <v>19.971</v>
      </c>
      <c r="G668" s="8">
        <f>CHOOSE( CONTROL!$C$36, 19.0218, 19.0207) * CHOOSE( CONTROL!$C$19, $D$11, 100%, $F$11)</f>
        <v>19.021799999999999</v>
      </c>
      <c r="H668" s="4">
        <f>CHOOSE( CONTROL!$C$36, 19.9662, 19.9651) * CHOOSE(CONTROL!$C$19, $D$11, 100%, $F$11)</f>
        <v>19.966200000000001</v>
      </c>
      <c r="I668" s="8">
        <f>CHOOSE( CONTROL!$C$36, 18.7829, 18.7819) * CHOOSE(CONTROL!$C$19, $D$11, 100%, $F$11)</f>
        <v>18.782900000000001</v>
      </c>
      <c r="J668" s="4">
        <f>CHOOSE( CONTROL!$C$36, 18.6427, 18.6416) * CHOOSE(CONTROL!$C$19, $D$11, 100%, $F$11)</f>
        <v>18.642700000000001</v>
      </c>
      <c r="K668" s="4"/>
      <c r="L668" s="9">
        <v>30.092199999999998</v>
      </c>
      <c r="M668" s="9">
        <v>11.6745</v>
      </c>
      <c r="N668" s="9">
        <v>4.7850000000000001</v>
      </c>
      <c r="O668" s="9">
        <v>0.36199999999999999</v>
      </c>
      <c r="P668" s="9">
        <v>1.2509999999999999</v>
      </c>
      <c r="Q668" s="9">
        <v>19.053000000000001</v>
      </c>
      <c r="R668" s="9"/>
      <c r="S668" s="11"/>
    </row>
    <row r="669" spans="1:19" ht="15.75">
      <c r="A669" s="13">
        <v>61514</v>
      </c>
      <c r="B669" s="8">
        <f>CHOOSE( CONTROL!$C$36, 19.7515, 19.7498) * CHOOSE(CONTROL!$C$19, $D$11, 100%, $F$11)</f>
        <v>19.7515</v>
      </c>
      <c r="C669" s="8">
        <f>CHOOSE( CONTROL!$C$36, 19.7595, 19.7578) * CHOOSE(CONTROL!$C$19, $D$11, 100%, $F$11)</f>
        <v>19.759499999999999</v>
      </c>
      <c r="D669" s="8">
        <f>CHOOSE( CONTROL!$C$36, 19.7737, 19.772) * CHOOSE( CONTROL!$C$19, $D$11, 100%, $F$11)</f>
        <v>19.773700000000002</v>
      </c>
      <c r="E669" s="12">
        <f>CHOOSE( CONTROL!$C$36, 19.7673, 19.7656) * CHOOSE( CONTROL!$C$19, $D$11, 100%, $F$11)</f>
        <v>19.767299999999999</v>
      </c>
      <c r="F669" s="4">
        <f>CHOOSE( CONTROL!$C$36, 20.4845, 20.4829) * CHOOSE(CONTROL!$C$19, $D$11, 100%, $F$11)</f>
        <v>20.484500000000001</v>
      </c>
      <c r="G669" s="8">
        <f>CHOOSE( CONTROL!$C$36, 19.5281, 19.5265) * CHOOSE( CONTROL!$C$19, $D$11, 100%, $F$11)</f>
        <v>19.528099999999998</v>
      </c>
      <c r="H669" s="4">
        <f>CHOOSE( CONTROL!$C$36, 20.4726, 20.4709) * CHOOSE(CONTROL!$C$19, $D$11, 100%, $F$11)</f>
        <v>20.4726</v>
      </c>
      <c r="I669" s="8">
        <f>CHOOSE( CONTROL!$C$36, 19.2801, 19.2785) * CHOOSE(CONTROL!$C$19, $D$11, 100%, $F$11)</f>
        <v>19.280100000000001</v>
      </c>
      <c r="J669" s="4">
        <f>CHOOSE( CONTROL!$C$36, 19.14, 19.1384) * CHOOSE(CONTROL!$C$19, $D$11, 100%, $F$11)</f>
        <v>19.14</v>
      </c>
      <c r="K669" s="4"/>
      <c r="L669" s="9">
        <v>30.7165</v>
      </c>
      <c r="M669" s="9">
        <v>12.063700000000001</v>
      </c>
      <c r="N669" s="9">
        <v>4.9444999999999997</v>
      </c>
      <c r="O669" s="9">
        <v>0.37409999999999999</v>
      </c>
      <c r="P669" s="9">
        <v>1.2927</v>
      </c>
      <c r="Q669" s="9">
        <v>19.688099999999999</v>
      </c>
      <c r="R669" s="9"/>
      <c r="S669" s="11"/>
    </row>
    <row r="670" spans="1:19" ht="15.75">
      <c r="A670" s="13">
        <v>61544</v>
      </c>
      <c r="B670" s="8">
        <f>CHOOSE( CONTROL!$C$36, 19.4337, 19.4321) * CHOOSE(CONTROL!$C$19, $D$11, 100%, $F$11)</f>
        <v>19.433700000000002</v>
      </c>
      <c r="C670" s="8">
        <f>CHOOSE( CONTROL!$C$36, 19.4417, 19.4401) * CHOOSE(CONTROL!$C$19, $D$11, 100%, $F$11)</f>
        <v>19.441700000000001</v>
      </c>
      <c r="D670" s="8">
        <f>CHOOSE( CONTROL!$C$36, 19.4561, 19.4544) * CHOOSE( CONTROL!$C$19, $D$11, 100%, $F$11)</f>
        <v>19.456099999999999</v>
      </c>
      <c r="E670" s="12">
        <f>CHOOSE( CONTROL!$C$36, 19.4497, 19.448) * CHOOSE( CONTROL!$C$19, $D$11, 100%, $F$11)</f>
        <v>19.4497</v>
      </c>
      <c r="F670" s="4">
        <f>CHOOSE( CONTROL!$C$36, 20.1668, 20.1651) * CHOOSE(CONTROL!$C$19, $D$11, 100%, $F$11)</f>
        <v>20.166799999999999</v>
      </c>
      <c r="G670" s="8">
        <f>CHOOSE( CONTROL!$C$36, 19.2149, 19.2133) * CHOOSE( CONTROL!$C$19, $D$11, 100%, $F$11)</f>
        <v>19.2149</v>
      </c>
      <c r="H670" s="4">
        <f>CHOOSE( CONTROL!$C$36, 20.1592, 20.1576) * CHOOSE(CONTROL!$C$19, $D$11, 100%, $F$11)</f>
        <v>20.159199999999998</v>
      </c>
      <c r="I670" s="8">
        <f>CHOOSE( CONTROL!$C$36, 18.9729, 18.9713) * CHOOSE(CONTROL!$C$19, $D$11, 100%, $F$11)</f>
        <v>18.972899999999999</v>
      </c>
      <c r="J670" s="4">
        <f>CHOOSE( CONTROL!$C$36, 18.8323, 18.8307) * CHOOSE(CONTROL!$C$19, $D$11, 100%, $F$11)</f>
        <v>18.8323</v>
      </c>
      <c r="K670" s="4"/>
      <c r="L670" s="9">
        <v>29.7257</v>
      </c>
      <c r="M670" s="9">
        <v>11.6745</v>
      </c>
      <c r="N670" s="9">
        <v>4.7850000000000001</v>
      </c>
      <c r="O670" s="9">
        <v>0.36199999999999999</v>
      </c>
      <c r="P670" s="9">
        <v>1.2509999999999999</v>
      </c>
      <c r="Q670" s="9">
        <v>19.053000000000001</v>
      </c>
      <c r="R670" s="9"/>
      <c r="S670" s="11"/>
    </row>
    <row r="671" spans="1:19" ht="15.75">
      <c r="A671" s="13">
        <v>61575</v>
      </c>
      <c r="B671" s="8">
        <f>CHOOSE( CONTROL!$C$36, 20.2705, 20.2689) * CHOOSE(CONTROL!$C$19, $D$11, 100%, $F$11)</f>
        <v>20.270499999999998</v>
      </c>
      <c r="C671" s="8">
        <f>CHOOSE( CONTROL!$C$36, 20.2785, 20.2769) * CHOOSE(CONTROL!$C$19, $D$11, 100%, $F$11)</f>
        <v>20.278500000000001</v>
      </c>
      <c r="D671" s="8">
        <f>CHOOSE( CONTROL!$C$36, 20.2932, 20.2915) * CHOOSE( CONTROL!$C$19, $D$11, 100%, $F$11)</f>
        <v>20.293199999999999</v>
      </c>
      <c r="E671" s="12">
        <f>CHOOSE( CONTROL!$C$36, 20.2867, 20.285) * CHOOSE( CONTROL!$C$19, $D$11, 100%, $F$11)</f>
        <v>20.2867</v>
      </c>
      <c r="F671" s="4">
        <f>CHOOSE( CONTROL!$C$36, 21.0036, 21.0019) * CHOOSE(CONTROL!$C$19, $D$11, 100%, $F$11)</f>
        <v>21.003599999999999</v>
      </c>
      <c r="G671" s="8">
        <f>CHOOSE( CONTROL!$C$36, 20.0403, 20.0386) * CHOOSE( CONTROL!$C$19, $D$11, 100%, $F$11)</f>
        <v>20.040299999999998</v>
      </c>
      <c r="H671" s="4">
        <f>CHOOSE( CONTROL!$C$36, 20.9844, 20.9828) * CHOOSE(CONTROL!$C$19, $D$11, 100%, $F$11)</f>
        <v>20.984400000000001</v>
      </c>
      <c r="I671" s="8">
        <f>CHOOSE( CONTROL!$C$36, 19.7844, 19.7828) * CHOOSE(CONTROL!$C$19, $D$11, 100%, $F$11)</f>
        <v>19.784400000000002</v>
      </c>
      <c r="J671" s="4">
        <f>CHOOSE( CONTROL!$C$36, 19.6426, 19.641) * CHOOSE(CONTROL!$C$19, $D$11, 100%, $F$11)</f>
        <v>19.642600000000002</v>
      </c>
      <c r="K671" s="4"/>
      <c r="L671" s="9">
        <v>30.7165</v>
      </c>
      <c r="M671" s="9">
        <v>12.063700000000001</v>
      </c>
      <c r="N671" s="9">
        <v>4.9444999999999997</v>
      </c>
      <c r="O671" s="9">
        <v>0.37409999999999999</v>
      </c>
      <c r="P671" s="9">
        <v>1.2927</v>
      </c>
      <c r="Q671" s="9">
        <v>19.688099999999999</v>
      </c>
      <c r="R671" s="9"/>
      <c r="S671" s="11"/>
    </row>
    <row r="672" spans="1:19" ht="15.75">
      <c r="A672" s="13">
        <v>61606</v>
      </c>
      <c r="B672" s="8">
        <f>CHOOSE( CONTROL!$C$36, 18.7048, 18.7031) * CHOOSE(CONTROL!$C$19, $D$11, 100%, $F$11)</f>
        <v>18.704799999999999</v>
      </c>
      <c r="C672" s="8">
        <f>CHOOSE( CONTROL!$C$36, 18.7128, 18.7111) * CHOOSE(CONTROL!$C$19, $D$11, 100%, $F$11)</f>
        <v>18.712800000000001</v>
      </c>
      <c r="D672" s="8">
        <f>CHOOSE( CONTROL!$C$36, 18.7275, 18.7258) * CHOOSE( CONTROL!$C$19, $D$11, 100%, $F$11)</f>
        <v>18.727499999999999</v>
      </c>
      <c r="E672" s="12">
        <f>CHOOSE( CONTROL!$C$36, 18.721, 18.7193) * CHOOSE( CONTROL!$C$19, $D$11, 100%, $F$11)</f>
        <v>18.721</v>
      </c>
      <c r="F672" s="4">
        <f>CHOOSE( CONTROL!$C$36, 19.4378, 19.4361) * CHOOSE(CONTROL!$C$19, $D$11, 100%, $F$11)</f>
        <v>19.437799999999999</v>
      </c>
      <c r="G672" s="8">
        <f>CHOOSE( CONTROL!$C$36, 18.4964, 18.4947) * CHOOSE( CONTROL!$C$19, $D$11, 100%, $F$11)</f>
        <v>18.496400000000001</v>
      </c>
      <c r="H672" s="4">
        <f>CHOOSE( CONTROL!$C$36, 19.4405, 19.4388) * CHOOSE(CONTROL!$C$19, $D$11, 100%, $F$11)</f>
        <v>19.4405</v>
      </c>
      <c r="I672" s="8">
        <f>CHOOSE( CONTROL!$C$36, 18.2677, 18.2661) * CHOOSE(CONTROL!$C$19, $D$11, 100%, $F$11)</f>
        <v>18.267700000000001</v>
      </c>
      <c r="J672" s="4">
        <f>CHOOSE( CONTROL!$C$36, 18.1264, 18.1248) * CHOOSE(CONTROL!$C$19, $D$11, 100%, $F$11)</f>
        <v>18.1264</v>
      </c>
      <c r="K672" s="4"/>
      <c r="L672" s="9">
        <v>30.7165</v>
      </c>
      <c r="M672" s="9">
        <v>12.063700000000001</v>
      </c>
      <c r="N672" s="9">
        <v>4.9444999999999997</v>
      </c>
      <c r="O672" s="9">
        <v>0.37409999999999999</v>
      </c>
      <c r="P672" s="9">
        <v>1.2927</v>
      </c>
      <c r="Q672" s="9">
        <v>19.688099999999999</v>
      </c>
      <c r="R672" s="9"/>
      <c r="S672" s="11"/>
    </row>
    <row r="673" spans="1:19" ht="15.75">
      <c r="A673" s="13">
        <v>61636</v>
      </c>
      <c r="B673" s="8">
        <f>CHOOSE( CONTROL!$C$36, 18.3127, 18.311) * CHOOSE(CONTROL!$C$19, $D$11, 100%, $F$11)</f>
        <v>18.3127</v>
      </c>
      <c r="C673" s="8">
        <f>CHOOSE( CONTROL!$C$36, 18.3207, 18.319) * CHOOSE(CONTROL!$C$19, $D$11, 100%, $F$11)</f>
        <v>18.320699999999999</v>
      </c>
      <c r="D673" s="8">
        <f>CHOOSE( CONTROL!$C$36, 18.3353, 18.3336) * CHOOSE( CONTROL!$C$19, $D$11, 100%, $F$11)</f>
        <v>18.3353</v>
      </c>
      <c r="E673" s="12">
        <f>CHOOSE( CONTROL!$C$36, 18.3288, 18.3271) * CHOOSE( CONTROL!$C$19, $D$11, 100%, $F$11)</f>
        <v>18.328800000000001</v>
      </c>
      <c r="F673" s="4">
        <f>CHOOSE( CONTROL!$C$36, 19.0457, 19.044) * CHOOSE(CONTROL!$C$19, $D$11, 100%, $F$11)</f>
        <v>19.0457</v>
      </c>
      <c r="G673" s="8">
        <f>CHOOSE( CONTROL!$C$36, 18.1097, 18.1081) * CHOOSE( CONTROL!$C$19, $D$11, 100%, $F$11)</f>
        <v>18.1097</v>
      </c>
      <c r="H673" s="4">
        <f>CHOOSE( CONTROL!$C$36, 19.0538, 19.0522) * CHOOSE(CONTROL!$C$19, $D$11, 100%, $F$11)</f>
        <v>19.053799999999999</v>
      </c>
      <c r="I673" s="8">
        <f>CHOOSE( CONTROL!$C$36, 17.8875, 17.8859) * CHOOSE(CONTROL!$C$19, $D$11, 100%, $F$11)</f>
        <v>17.887499999999999</v>
      </c>
      <c r="J673" s="4">
        <f>CHOOSE( CONTROL!$C$36, 17.7468, 17.7452) * CHOOSE(CONTROL!$C$19, $D$11, 100%, $F$11)</f>
        <v>17.7468</v>
      </c>
      <c r="K673" s="4"/>
      <c r="L673" s="9">
        <v>29.7257</v>
      </c>
      <c r="M673" s="9">
        <v>11.6745</v>
      </c>
      <c r="N673" s="9">
        <v>4.7850000000000001</v>
      </c>
      <c r="O673" s="9">
        <v>0.36199999999999999</v>
      </c>
      <c r="P673" s="9">
        <v>1.2509999999999999</v>
      </c>
      <c r="Q673" s="9">
        <v>19.053000000000001</v>
      </c>
      <c r="R673" s="9"/>
      <c r="S673" s="11"/>
    </row>
    <row r="674" spans="1:19" ht="15.75">
      <c r="A674" s="13">
        <v>61667</v>
      </c>
      <c r="B674" s="8">
        <f>CHOOSE( CONTROL!$C$36, 19.1245, 19.1234) * CHOOSE(CONTROL!$C$19, $D$11, 100%, $F$11)</f>
        <v>19.124500000000001</v>
      </c>
      <c r="C674" s="8">
        <f>CHOOSE( CONTROL!$C$36, 19.1298, 19.1288) * CHOOSE(CONTROL!$C$19, $D$11, 100%, $F$11)</f>
        <v>19.129799999999999</v>
      </c>
      <c r="D674" s="8">
        <f>CHOOSE( CONTROL!$C$36, 19.1503, 19.1492) * CHOOSE( CONTROL!$C$19, $D$11, 100%, $F$11)</f>
        <v>19.150300000000001</v>
      </c>
      <c r="E674" s="12">
        <f>CHOOSE( CONTROL!$C$36, 19.143, 19.1419) * CHOOSE( CONTROL!$C$19, $D$11, 100%, $F$11)</f>
        <v>19.143000000000001</v>
      </c>
      <c r="F674" s="4">
        <f>CHOOSE( CONTROL!$C$36, 19.8592, 19.8582) * CHOOSE(CONTROL!$C$19, $D$11, 100%, $F$11)</f>
        <v>19.859200000000001</v>
      </c>
      <c r="G674" s="8">
        <f>CHOOSE( CONTROL!$C$36, 18.9121, 18.911) * CHOOSE( CONTROL!$C$19, $D$11, 100%, $F$11)</f>
        <v>18.912099999999999</v>
      </c>
      <c r="H674" s="4">
        <f>CHOOSE( CONTROL!$C$36, 19.856, 19.855) * CHOOSE(CONTROL!$C$19, $D$11, 100%, $F$11)</f>
        <v>19.856000000000002</v>
      </c>
      <c r="I674" s="8">
        <f>CHOOSE( CONTROL!$C$36, 18.6767, 18.6756) * CHOOSE(CONTROL!$C$19, $D$11, 100%, $F$11)</f>
        <v>18.6767</v>
      </c>
      <c r="J674" s="4">
        <f>CHOOSE( CONTROL!$C$36, 18.5345, 18.5335) * CHOOSE(CONTROL!$C$19, $D$11, 100%, $F$11)</f>
        <v>18.534500000000001</v>
      </c>
      <c r="K674" s="4"/>
      <c r="L674" s="9">
        <v>31.095300000000002</v>
      </c>
      <c r="M674" s="9">
        <v>12.063700000000001</v>
      </c>
      <c r="N674" s="9">
        <v>4.9444999999999997</v>
      </c>
      <c r="O674" s="9">
        <v>0.37409999999999999</v>
      </c>
      <c r="P674" s="9">
        <v>1.2927</v>
      </c>
      <c r="Q674" s="9">
        <v>19.688099999999999</v>
      </c>
      <c r="R674" s="9"/>
      <c r="S674" s="11"/>
    </row>
    <row r="675" spans="1:19" ht="15.75">
      <c r="A675" s="13">
        <v>61697</v>
      </c>
      <c r="B675" s="8">
        <f>CHOOSE( CONTROL!$C$36, 20.6268, 20.6257) * CHOOSE(CONTROL!$C$19, $D$11, 100%, $F$11)</f>
        <v>20.626799999999999</v>
      </c>
      <c r="C675" s="8">
        <f>CHOOSE( CONTROL!$C$36, 20.6319, 20.6308) * CHOOSE(CONTROL!$C$19, $D$11, 100%, $F$11)</f>
        <v>20.631900000000002</v>
      </c>
      <c r="D675" s="8">
        <f>CHOOSE( CONTROL!$C$36, 20.6111, 20.61) * CHOOSE( CONTROL!$C$19, $D$11, 100%, $F$11)</f>
        <v>20.6111</v>
      </c>
      <c r="E675" s="12">
        <f>CHOOSE( CONTROL!$C$36, 20.6182, 20.6171) * CHOOSE( CONTROL!$C$19, $D$11, 100%, $F$11)</f>
        <v>20.618200000000002</v>
      </c>
      <c r="F675" s="4">
        <f>CHOOSE( CONTROL!$C$36, 21.286, 21.2849) * CHOOSE(CONTROL!$C$19, $D$11, 100%, $F$11)</f>
        <v>21.286000000000001</v>
      </c>
      <c r="G675" s="8">
        <f>CHOOSE( CONTROL!$C$36, 20.3737, 20.3727) * CHOOSE( CONTROL!$C$19, $D$11, 100%, $F$11)</f>
        <v>20.373699999999999</v>
      </c>
      <c r="H675" s="4">
        <f>CHOOSE( CONTROL!$C$36, 21.2629, 21.2618) * CHOOSE(CONTROL!$C$19, $D$11, 100%, $F$11)</f>
        <v>21.262899999999998</v>
      </c>
      <c r="I675" s="8">
        <f>CHOOSE( CONTROL!$C$36, 20.1816, 20.1805) * CHOOSE(CONTROL!$C$19, $D$11, 100%, $F$11)</f>
        <v>20.1816</v>
      </c>
      <c r="J675" s="4">
        <f>CHOOSE( CONTROL!$C$36, 19.9896, 19.9885) * CHOOSE(CONTROL!$C$19, $D$11, 100%, $F$11)</f>
        <v>19.989599999999999</v>
      </c>
      <c r="K675" s="4"/>
      <c r="L675" s="9">
        <v>28.360600000000002</v>
      </c>
      <c r="M675" s="9">
        <v>11.6745</v>
      </c>
      <c r="N675" s="9">
        <v>4.7850000000000001</v>
      </c>
      <c r="O675" s="9">
        <v>0.36199999999999999</v>
      </c>
      <c r="P675" s="9">
        <v>1.2509999999999999</v>
      </c>
      <c r="Q675" s="9">
        <v>19.053000000000001</v>
      </c>
      <c r="R675" s="9"/>
      <c r="S675" s="11"/>
    </row>
    <row r="676" spans="1:19" ht="15.75">
      <c r="A676" s="13">
        <v>61728</v>
      </c>
      <c r="B676" s="8">
        <f>CHOOSE( CONTROL!$C$36, 20.5892, 20.5881) * CHOOSE(CONTROL!$C$19, $D$11, 100%, $F$11)</f>
        <v>20.589200000000002</v>
      </c>
      <c r="C676" s="8">
        <f>CHOOSE( CONTROL!$C$36, 20.5943, 20.5932) * CHOOSE(CONTROL!$C$19, $D$11, 100%, $F$11)</f>
        <v>20.5943</v>
      </c>
      <c r="D676" s="8">
        <f>CHOOSE( CONTROL!$C$36, 20.5749, 20.5738) * CHOOSE( CONTROL!$C$19, $D$11, 100%, $F$11)</f>
        <v>20.5749</v>
      </c>
      <c r="E676" s="12">
        <f>CHOOSE( CONTROL!$C$36, 20.5815, 20.5804) * CHOOSE( CONTROL!$C$19, $D$11, 100%, $F$11)</f>
        <v>20.581499999999998</v>
      </c>
      <c r="F676" s="4">
        <f>CHOOSE( CONTROL!$C$36, 21.2485, 21.2474) * CHOOSE(CONTROL!$C$19, $D$11, 100%, $F$11)</f>
        <v>21.2485</v>
      </c>
      <c r="G676" s="8">
        <f>CHOOSE( CONTROL!$C$36, 20.3377, 20.3366) * CHOOSE( CONTROL!$C$19, $D$11, 100%, $F$11)</f>
        <v>20.337700000000002</v>
      </c>
      <c r="H676" s="4">
        <f>CHOOSE( CONTROL!$C$36, 21.2259, 21.2248) * CHOOSE(CONTROL!$C$19, $D$11, 100%, $F$11)</f>
        <v>21.225899999999999</v>
      </c>
      <c r="I676" s="8">
        <f>CHOOSE( CONTROL!$C$36, 20.1495, 20.1485) * CHOOSE(CONTROL!$C$19, $D$11, 100%, $F$11)</f>
        <v>20.1495</v>
      </c>
      <c r="J676" s="4">
        <f>CHOOSE( CONTROL!$C$36, 19.9532, 19.9521) * CHOOSE(CONTROL!$C$19, $D$11, 100%, $F$11)</f>
        <v>19.953199999999999</v>
      </c>
      <c r="K676" s="4"/>
      <c r="L676" s="9">
        <v>29.306000000000001</v>
      </c>
      <c r="M676" s="9">
        <v>12.063700000000001</v>
      </c>
      <c r="N676" s="9">
        <v>4.9444999999999997</v>
      </c>
      <c r="O676" s="9">
        <v>0.37409999999999999</v>
      </c>
      <c r="P676" s="9">
        <v>1.2927</v>
      </c>
      <c r="Q676" s="9">
        <v>19.688099999999999</v>
      </c>
      <c r="R676" s="9"/>
      <c r="S676" s="11"/>
    </row>
    <row r="677" spans="1:19" ht="15.75">
      <c r="A677" s="13">
        <v>61759</v>
      </c>
      <c r="B677" s="8">
        <f>CHOOSE( CONTROL!$C$36, 21.197, 21.1959) * CHOOSE(CONTROL!$C$19, $D$11, 100%, $F$11)</f>
        <v>21.196999999999999</v>
      </c>
      <c r="C677" s="8">
        <f>CHOOSE( CONTROL!$C$36, 21.2021, 21.201) * CHOOSE(CONTROL!$C$19, $D$11, 100%, $F$11)</f>
        <v>21.202100000000002</v>
      </c>
      <c r="D677" s="8">
        <f>CHOOSE( CONTROL!$C$36, 21.2034, 21.2023) * CHOOSE( CONTROL!$C$19, $D$11, 100%, $F$11)</f>
        <v>21.203399999999998</v>
      </c>
      <c r="E677" s="12">
        <f>CHOOSE( CONTROL!$C$36, 21.2024, 21.2013) * CHOOSE( CONTROL!$C$19, $D$11, 100%, $F$11)</f>
        <v>21.202400000000001</v>
      </c>
      <c r="F677" s="4">
        <f>CHOOSE( CONTROL!$C$36, 21.8563, 21.8552) * CHOOSE(CONTROL!$C$19, $D$11, 100%, $F$11)</f>
        <v>21.856300000000001</v>
      </c>
      <c r="G677" s="8">
        <f>CHOOSE( CONTROL!$C$36, 20.9481, 20.947) * CHOOSE( CONTROL!$C$19, $D$11, 100%, $F$11)</f>
        <v>20.9481</v>
      </c>
      <c r="H677" s="4">
        <f>CHOOSE( CONTROL!$C$36, 21.8252, 21.8241) * CHOOSE(CONTROL!$C$19, $D$11, 100%, $F$11)</f>
        <v>21.825199999999999</v>
      </c>
      <c r="I677" s="8">
        <f>CHOOSE( CONTROL!$C$36, 20.7158, 20.7148) * CHOOSE(CONTROL!$C$19, $D$11, 100%, $F$11)</f>
        <v>20.715800000000002</v>
      </c>
      <c r="J677" s="4">
        <f>CHOOSE( CONTROL!$C$36, 20.5417, 20.5407) * CHOOSE(CONTROL!$C$19, $D$11, 100%, $F$11)</f>
        <v>20.541699999999999</v>
      </c>
      <c r="K677" s="4"/>
      <c r="L677" s="9">
        <v>29.306000000000001</v>
      </c>
      <c r="M677" s="9">
        <v>12.063700000000001</v>
      </c>
      <c r="N677" s="9">
        <v>4.9444999999999997</v>
      </c>
      <c r="O677" s="9">
        <v>0.37409999999999999</v>
      </c>
      <c r="P677" s="9">
        <v>1.2927</v>
      </c>
      <c r="Q677" s="9">
        <v>19.688099999999999</v>
      </c>
      <c r="R677" s="9"/>
      <c r="S677" s="11"/>
    </row>
    <row r="678" spans="1:19" ht="15.75">
      <c r="A678" s="13">
        <v>61787</v>
      </c>
      <c r="B678" s="8">
        <f>CHOOSE( CONTROL!$C$36, 19.8256, 19.8245) * CHOOSE(CONTROL!$C$19, $D$11, 100%, $F$11)</f>
        <v>19.825600000000001</v>
      </c>
      <c r="C678" s="8">
        <f>CHOOSE( CONTROL!$C$36, 19.8307, 19.8296) * CHOOSE(CONTROL!$C$19, $D$11, 100%, $F$11)</f>
        <v>19.8307</v>
      </c>
      <c r="D678" s="8">
        <f>CHOOSE( CONTROL!$C$36, 19.8319, 19.8308) * CHOOSE( CONTROL!$C$19, $D$11, 100%, $F$11)</f>
        <v>19.831900000000001</v>
      </c>
      <c r="E678" s="12">
        <f>CHOOSE( CONTROL!$C$36, 19.8309, 19.8298) * CHOOSE( CONTROL!$C$19, $D$11, 100%, $F$11)</f>
        <v>19.8309</v>
      </c>
      <c r="F678" s="4">
        <f>CHOOSE( CONTROL!$C$36, 20.4849, 20.4838) * CHOOSE(CONTROL!$C$19, $D$11, 100%, $F$11)</f>
        <v>20.4849</v>
      </c>
      <c r="G678" s="8">
        <f>CHOOSE( CONTROL!$C$36, 19.5957, 19.5946) * CHOOSE( CONTROL!$C$19, $D$11, 100%, $F$11)</f>
        <v>19.595700000000001</v>
      </c>
      <c r="H678" s="4">
        <f>CHOOSE( CONTROL!$C$36, 20.4729, 20.4719) * CHOOSE(CONTROL!$C$19, $D$11, 100%, $F$11)</f>
        <v>20.472899999999999</v>
      </c>
      <c r="I678" s="8">
        <f>CHOOSE( CONTROL!$C$36, 19.3868, 19.3858) * CHOOSE(CONTROL!$C$19, $D$11, 100%, $F$11)</f>
        <v>19.386800000000001</v>
      </c>
      <c r="J678" s="4">
        <f>CHOOSE( CONTROL!$C$36, 19.2138, 19.2128) * CHOOSE(CONTROL!$C$19, $D$11, 100%, $F$11)</f>
        <v>19.213799999999999</v>
      </c>
      <c r="K678" s="4"/>
      <c r="L678" s="9">
        <v>26.469899999999999</v>
      </c>
      <c r="M678" s="9">
        <v>10.8962</v>
      </c>
      <c r="N678" s="9">
        <v>4.4660000000000002</v>
      </c>
      <c r="O678" s="9">
        <v>0.33789999999999998</v>
      </c>
      <c r="P678" s="9">
        <v>1.1676</v>
      </c>
      <c r="Q678" s="9">
        <v>17.782800000000002</v>
      </c>
      <c r="R678" s="9"/>
      <c r="S678" s="11"/>
    </row>
    <row r="679" spans="1:19" ht="15.75">
      <c r="A679" s="13">
        <v>61818</v>
      </c>
      <c r="B679" s="8">
        <f>CHOOSE( CONTROL!$C$36, 19.4032, 19.4021) * CHOOSE(CONTROL!$C$19, $D$11, 100%, $F$11)</f>
        <v>19.403199999999998</v>
      </c>
      <c r="C679" s="8">
        <f>CHOOSE( CONTROL!$C$36, 19.4083, 19.4072) * CHOOSE(CONTROL!$C$19, $D$11, 100%, $F$11)</f>
        <v>19.408300000000001</v>
      </c>
      <c r="D679" s="8">
        <f>CHOOSE( CONTROL!$C$36, 19.4089, 19.4078) * CHOOSE( CONTROL!$C$19, $D$11, 100%, $F$11)</f>
        <v>19.408899999999999</v>
      </c>
      <c r="E679" s="12">
        <f>CHOOSE( CONTROL!$C$36, 19.4081, 19.407) * CHOOSE( CONTROL!$C$19, $D$11, 100%, $F$11)</f>
        <v>19.408100000000001</v>
      </c>
      <c r="F679" s="4">
        <f>CHOOSE( CONTROL!$C$36, 20.0625, 20.0614) * CHOOSE(CONTROL!$C$19, $D$11, 100%, $F$11)</f>
        <v>20.0625</v>
      </c>
      <c r="G679" s="8">
        <f>CHOOSE( CONTROL!$C$36, 19.1788, 19.1777) * CHOOSE( CONTROL!$C$19, $D$11, 100%, $F$11)</f>
        <v>19.178799999999999</v>
      </c>
      <c r="H679" s="4">
        <f>CHOOSE( CONTROL!$C$36, 20.0564, 20.0554) * CHOOSE(CONTROL!$C$19, $D$11, 100%, $F$11)</f>
        <v>20.0564</v>
      </c>
      <c r="I679" s="8">
        <f>CHOOSE( CONTROL!$C$36, 18.9756, 18.9746) * CHOOSE(CONTROL!$C$19, $D$11, 100%, $F$11)</f>
        <v>18.9756</v>
      </c>
      <c r="J679" s="4">
        <f>CHOOSE( CONTROL!$C$36, 18.8048, 18.8038) * CHOOSE(CONTROL!$C$19, $D$11, 100%, $F$11)</f>
        <v>18.8048</v>
      </c>
      <c r="K679" s="4"/>
      <c r="L679" s="9">
        <v>29.306000000000001</v>
      </c>
      <c r="M679" s="9">
        <v>12.063700000000001</v>
      </c>
      <c r="N679" s="9">
        <v>4.9444999999999997</v>
      </c>
      <c r="O679" s="9">
        <v>0.37409999999999999</v>
      </c>
      <c r="P679" s="9">
        <v>1.2927</v>
      </c>
      <c r="Q679" s="9">
        <v>19.688099999999999</v>
      </c>
      <c r="R679" s="9"/>
      <c r="S679" s="11"/>
    </row>
    <row r="680" spans="1:19" ht="15.75">
      <c r="A680" s="13">
        <v>61848</v>
      </c>
      <c r="B680" s="8">
        <f>CHOOSE( CONTROL!$C$36, 19.6992, 19.6981) * CHOOSE(CONTROL!$C$19, $D$11, 100%, $F$11)</f>
        <v>19.699200000000001</v>
      </c>
      <c r="C680" s="8">
        <f>CHOOSE( CONTROL!$C$36, 19.7037, 19.7026) * CHOOSE(CONTROL!$C$19, $D$11, 100%, $F$11)</f>
        <v>19.703700000000001</v>
      </c>
      <c r="D680" s="8">
        <f>CHOOSE( CONTROL!$C$36, 19.7241, 19.723) * CHOOSE( CONTROL!$C$19, $D$11, 100%, $F$11)</f>
        <v>19.7241</v>
      </c>
      <c r="E680" s="12">
        <f>CHOOSE( CONTROL!$C$36, 19.7168, 19.7157) * CHOOSE( CONTROL!$C$19, $D$11, 100%, $F$11)</f>
        <v>19.716799999999999</v>
      </c>
      <c r="F680" s="4">
        <f>CHOOSE( CONTROL!$C$36, 20.4335, 20.4325) * CHOOSE(CONTROL!$C$19, $D$11, 100%, $F$11)</f>
        <v>20.433499999999999</v>
      </c>
      <c r="G680" s="8">
        <f>CHOOSE( CONTROL!$C$36, 19.4779, 19.4768) * CHOOSE( CONTROL!$C$19, $D$11, 100%, $F$11)</f>
        <v>19.477900000000002</v>
      </c>
      <c r="H680" s="4">
        <f>CHOOSE( CONTROL!$C$36, 20.4223, 20.4212) * CHOOSE(CONTROL!$C$19, $D$11, 100%, $F$11)</f>
        <v>20.4223</v>
      </c>
      <c r="I680" s="8">
        <f>CHOOSE( CONTROL!$C$36, 19.2311, 19.23) * CHOOSE(CONTROL!$C$19, $D$11, 100%, $F$11)</f>
        <v>19.231100000000001</v>
      </c>
      <c r="J680" s="4">
        <f>CHOOSE( CONTROL!$C$36, 19.0906, 19.0896) * CHOOSE(CONTROL!$C$19, $D$11, 100%, $F$11)</f>
        <v>19.090599999999998</v>
      </c>
      <c r="K680" s="4"/>
      <c r="L680" s="9">
        <v>30.092199999999998</v>
      </c>
      <c r="M680" s="9">
        <v>11.6745</v>
      </c>
      <c r="N680" s="9">
        <v>4.7850000000000001</v>
      </c>
      <c r="O680" s="9">
        <v>0.36199999999999999</v>
      </c>
      <c r="P680" s="9">
        <v>1.2509999999999999</v>
      </c>
      <c r="Q680" s="9">
        <v>19.053000000000001</v>
      </c>
      <c r="R680" s="9"/>
      <c r="S680" s="11"/>
    </row>
    <row r="681" spans="1:19" ht="15.75">
      <c r="A681" s="13">
        <v>61879</v>
      </c>
      <c r="B681" s="8">
        <f>CHOOSE( CONTROL!$C$36, 20.2264, 20.2247) * CHOOSE(CONTROL!$C$19, $D$11, 100%, $F$11)</f>
        <v>20.226400000000002</v>
      </c>
      <c r="C681" s="8">
        <f>CHOOSE( CONTROL!$C$36, 20.2344, 20.2327) * CHOOSE(CONTROL!$C$19, $D$11, 100%, $F$11)</f>
        <v>20.234400000000001</v>
      </c>
      <c r="D681" s="8">
        <f>CHOOSE( CONTROL!$C$36, 20.2486, 20.2469) * CHOOSE( CONTROL!$C$19, $D$11, 100%, $F$11)</f>
        <v>20.2486</v>
      </c>
      <c r="E681" s="12">
        <f>CHOOSE( CONTROL!$C$36, 20.2422, 20.2405) * CHOOSE( CONTROL!$C$19, $D$11, 100%, $F$11)</f>
        <v>20.2422</v>
      </c>
      <c r="F681" s="4">
        <f>CHOOSE( CONTROL!$C$36, 20.9594, 20.9578) * CHOOSE(CONTROL!$C$19, $D$11, 100%, $F$11)</f>
        <v>20.959399999999999</v>
      </c>
      <c r="G681" s="8">
        <f>CHOOSE( CONTROL!$C$36, 19.9964, 19.9948) * CHOOSE( CONTROL!$C$19, $D$11, 100%, $F$11)</f>
        <v>19.996400000000001</v>
      </c>
      <c r="H681" s="4">
        <f>CHOOSE( CONTROL!$C$36, 20.9409, 20.9392) * CHOOSE(CONTROL!$C$19, $D$11, 100%, $F$11)</f>
        <v>20.940899999999999</v>
      </c>
      <c r="I681" s="8">
        <f>CHOOSE( CONTROL!$C$36, 19.7401, 19.7385) * CHOOSE(CONTROL!$C$19, $D$11, 100%, $F$11)</f>
        <v>19.740100000000002</v>
      </c>
      <c r="J681" s="4">
        <f>CHOOSE( CONTROL!$C$36, 19.5998, 19.5982) * CHOOSE(CONTROL!$C$19, $D$11, 100%, $F$11)</f>
        <v>19.599799999999998</v>
      </c>
      <c r="K681" s="4"/>
      <c r="L681" s="9">
        <v>30.7165</v>
      </c>
      <c r="M681" s="9">
        <v>12.063700000000001</v>
      </c>
      <c r="N681" s="9">
        <v>4.9444999999999997</v>
      </c>
      <c r="O681" s="9">
        <v>0.37409999999999999</v>
      </c>
      <c r="P681" s="9">
        <v>1.2927</v>
      </c>
      <c r="Q681" s="9">
        <v>19.688099999999999</v>
      </c>
      <c r="R681" s="9"/>
      <c r="S681" s="11"/>
    </row>
    <row r="682" spans="1:19" ht="15.75">
      <c r="A682" s="13">
        <v>61909</v>
      </c>
      <c r="B682" s="8">
        <f>CHOOSE( CONTROL!$C$36, 19.901, 19.8993) * CHOOSE(CONTROL!$C$19, $D$11, 100%, $F$11)</f>
        <v>19.901</v>
      </c>
      <c r="C682" s="8">
        <f>CHOOSE( CONTROL!$C$36, 19.909, 19.9073) * CHOOSE(CONTROL!$C$19, $D$11, 100%, $F$11)</f>
        <v>19.908999999999999</v>
      </c>
      <c r="D682" s="8">
        <f>CHOOSE( CONTROL!$C$36, 19.9234, 19.9217) * CHOOSE( CONTROL!$C$19, $D$11, 100%, $F$11)</f>
        <v>19.923400000000001</v>
      </c>
      <c r="E682" s="12">
        <f>CHOOSE( CONTROL!$C$36, 19.917, 19.9153) * CHOOSE( CONTROL!$C$19, $D$11, 100%, $F$11)</f>
        <v>19.917000000000002</v>
      </c>
      <c r="F682" s="4">
        <f>CHOOSE( CONTROL!$C$36, 20.634, 20.6324) * CHOOSE(CONTROL!$C$19, $D$11, 100%, $F$11)</f>
        <v>20.634</v>
      </c>
      <c r="G682" s="8">
        <f>CHOOSE( CONTROL!$C$36, 19.6757, 19.674) * CHOOSE( CONTROL!$C$19, $D$11, 100%, $F$11)</f>
        <v>19.675699999999999</v>
      </c>
      <c r="H682" s="4">
        <f>CHOOSE( CONTROL!$C$36, 20.62, 20.6184) * CHOOSE(CONTROL!$C$19, $D$11, 100%, $F$11)</f>
        <v>20.62</v>
      </c>
      <c r="I682" s="8">
        <f>CHOOSE( CONTROL!$C$36, 19.4256, 19.4239) * CHOOSE(CONTROL!$C$19, $D$11, 100%, $F$11)</f>
        <v>19.425599999999999</v>
      </c>
      <c r="J682" s="4">
        <f>CHOOSE( CONTROL!$C$36, 19.2847, 19.2831) * CHOOSE(CONTROL!$C$19, $D$11, 100%, $F$11)</f>
        <v>19.284700000000001</v>
      </c>
      <c r="K682" s="4"/>
      <c r="L682" s="9">
        <v>29.7257</v>
      </c>
      <c r="M682" s="9">
        <v>11.6745</v>
      </c>
      <c r="N682" s="9">
        <v>4.7850000000000001</v>
      </c>
      <c r="O682" s="9">
        <v>0.36199999999999999</v>
      </c>
      <c r="P682" s="9">
        <v>1.2509999999999999</v>
      </c>
      <c r="Q682" s="9">
        <v>19.053000000000001</v>
      </c>
      <c r="R682" s="9"/>
      <c r="S682" s="11"/>
    </row>
    <row r="683" spans="1:19" ht="15.75">
      <c r="A683" s="13">
        <v>61940</v>
      </c>
      <c r="B683" s="8">
        <f>CHOOSE( CONTROL!$C$36, 20.7579, 20.7563) * CHOOSE(CONTROL!$C$19, $D$11, 100%, $F$11)</f>
        <v>20.757899999999999</v>
      </c>
      <c r="C683" s="8">
        <f>CHOOSE( CONTROL!$C$36, 20.7659, 20.7642) * CHOOSE(CONTROL!$C$19, $D$11, 100%, $F$11)</f>
        <v>20.765899999999998</v>
      </c>
      <c r="D683" s="8">
        <f>CHOOSE( CONTROL!$C$36, 20.7805, 20.7789) * CHOOSE( CONTROL!$C$19, $D$11, 100%, $F$11)</f>
        <v>20.7805</v>
      </c>
      <c r="E683" s="12">
        <f>CHOOSE( CONTROL!$C$36, 20.774, 20.7724) * CHOOSE( CONTROL!$C$19, $D$11, 100%, $F$11)</f>
        <v>20.774000000000001</v>
      </c>
      <c r="F683" s="4">
        <f>CHOOSE( CONTROL!$C$36, 21.4909, 21.4893) * CHOOSE(CONTROL!$C$19, $D$11, 100%, $F$11)</f>
        <v>21.4909</v>
      </c>
      <c r="G683" s="8">
        <f>CHOOSE( CONTROL!$C$36, 20.5208, 20.5192) * CHOOSE( CONTROL!$C$19, $D$11, 100%, $F$11)</f>
        <v>20.520800000000001</v>
      </c>
      <c r="H683" s="4">
        <f>CHOOSE( CONTROL!$C$36, 21.465, 21.4633) * CHOOSE(CONTROL!$C$19, $D$11, 100%, $F$11)</f>
        <v>21.465</v>
      </c>
      <c r="I683" s="8">
        <f>CHOOSE( CONTROL!$C$36, 20.2566, 20.255) * CHOOSE(CONTROL!$C$19, $D$11, 100%, $F$11)</f>
        <v>20.256599999999999</v>
      </c>
      <c r="J683" s="4">
        <f>CHOOSE( CONTROL!$C$36, 20.1145, 20.1129) * CHOOSE(CONTROL!$C$19, $D$11, 100%, $F$11)</f>
        <v>20.1145</v>
      </c>
      <c r="K683" s="4"/>
      <c r="L683" s="9">
        <v>30.7165</v>
      </c>
      <c r="M683" s="9">
        <v>12.063700000000001</v>
      </c>
      <c r="N683" s="9">
        <v>4.9444999999999997</v>
      </c>
      <c r="O683" s="9">
        <v>0.37409999999999999</v>
      </c>
      <c r="P683" s="9">
        <v>1.2927</v>
      </c>
      <c r="Q683" s="9">
        <v>19.688099999999999</v>
      </c>
      <c r="R683" s="9"/>
      <c r="S683" s="11"/>
    </row>
    <row r="684" spans="1:19" ht="15.75">
      <c r="A684" s="13">
        <v>61971</v>
      </c>
      <c r="B684" s="8">
        <f>CHOOSE( CONTROL!$C$36, 19.1545, 19.1529) * CHOOSE(CONTROL!$C$19, $D$11, 100%, $F$11)</f>
        <v>19.154499999999999</v>
      </c>
      <c r="C684" s="8">
        <f>CHOOSE( CONTROL!$C$36, 19.1625, 19.1609) * CHOOSE(CONTROL!$C$19, $D$11, 100%, $F$11)</f>
        <v>19.162500000000001</v>
      </c>
      <c r="D684" s="8">
        <f>CHOOSE( CONTROL!$C$36, 19.1772, 19.1755) * CHOOSE( CONTROL!$C$19, $D$11, 100%, $F$11)</f>
        <v>19.177199999999999</v>
      </c>
      <c r="E684" s="12">
        <f>CHOOSE( CONTROL!$C$36, 19.1707, 19.169) * CHOOSE( CONTROL!$C$19, $D$11, 100%, $F$11)</f>
        <v>19.1707</v>
      </c>
      <c r="F684" s="4">
        <f>CHOOSE( CONTROL!$C$36, 19.8875, 19.8859) * CHOOSE(CONTROL!$C$19, $D$11, 100%, $F$11)</f>
        <v>19.887499999999999</v>
      </c>
      <c r="G684" s="8">
        <f>CHOOSE( CONTROL!$C$36, 18.9399, 18.9382) * CHOOSE( CONTROL!$C$19, $D$11, 100%, $F$11)</f>
        <v>18.939900000000002</v>
      </c>
      <c r="H684" s="4">
        <f>CHOOSE( CONTROL!$C$36, 19.8839, 19.8823) * CHOOSE(CONTROL!$C$19, $D$11, 100%, $F$11)</f>
        <v>19.883900000000001</v>
      </c>
      <c r="I684" s="8">
        <f>CHOOSE( CONTROL!$C$36, 18.7034, 18.7018) * CHOOSE(CONTROL!$C$19, $D$11, 100%, $F$11)</f>
        <v>18.703399999999998</v>
      </c>
      <c r="J684" s="4">
        <f>CHOOSE( CONTROL!$C$36, 18.5619, 18.5603) * CHOOSE(CONTROL!$C$19, $D$11, 100%, $F$11)</f>
        <v>18.561900000000001</v>
      </c>
      <c r="K684" s="4"/>
      <c r="L684" s="9">
        <v>30.7165</v>
      </c>
      <c r="M684" s="9">
        <v>12.063700000000001</v>
      </c>
      <c r="N684" s="9">
        <v>4.9444999999999997</v>
      </c>
      <c r="O684" s="9">
        <v>0.37409999999999999</v>
      </c>
      <c r="P684" s="9">
        <v>1.2927</v>
      </c>
      <c r="Q684" s="9">
        <v>19.688099999999999</v>
      </c>
      <c r="R684" s="9"/>
      <c r="S684" s="11"/>
    </row>
    <row r="685" spans="1:19" ht="15.75">
      <c r="A685" s="13">
        <v>62001</v>
      </c>
      <c r="B685" s="8">
        <f>CHOOSE( CONTROL!$C$36, 18.753, 18.7513) * CHOOSE(CONTROL!$C$19, $D$11, 100%, $F$11)</f>
        <v>18.753</v>
      </c>
      <c r="C685" s="8">
        <f>CHOOSE( CONTROL!$C$36, 18.761, 18.7593) * CHOOSE(CONTROL!$C$19, $D$11, 100%, $F$11)</f>
        <v>18.760999999999999</v>
      </c>
      <c r="D685" s="8">
        <f>CHOOSE( CONTROL!$C$36, 18.7756, 18.7739) * CHOOSE( CONTROL!$C$19, $D$11, 100%, $F$11)</f>
        <v>18.775600000000001</v>
      </c>
      <c r="E685" s="12">
        <f>CHOOSE( CONTROL!$C$36, 18.7691, 18.7674) * CHOOSE( CONTROL!$C$19, $D$11, 100%, $F$11)</f>
        <v>18.769100000000002</v>
      </c>
      <c r="F685" s="4">
        <f>CHOOSE( CONTROL!$C$36, 19.486, 19.4844) * CHOOSE(CONTROL!$C$19, $D$11, 100%, $F$11)</f>
        <v>19.486000000000001</v>
      </c>
      <c r="G685" s="8">
        <f>CHOOSE( CONTROL!$C$36, 18.5439, 18.5422) * CHOOSE( CONTROL!$C$19, $D$11, 100%, $F$11)</f>
        <v>18.543900000000001</v>
      </c>
      <c r="H685" s="4">
        <f>CHOOSE( CONTROL!$C$36, 19.488, 19.4864) * CHOOSE(CONTROL!$C$19, $D$11, 100%, $F$11)</f>
        <v>19.488</v>
      </c>
      <c r="I685" s="8">
        <f>CHOOSE( CONTROL!$C$36, 18.3141, 18.3125) * CHOOSE(CONTROL!$C$19, $D$11, 100%, $F$11)</f>
        <v>18.3141</v>
      </c>
      <c r="J685" s="4">
        <f>CHOOSE( CONTROL!$C$36, 18.1731, 18.1715) * CHOOSE(CONTROL!$C$19, $D$11, 100%, $F$11)</f>
        <v>18.173100000000002</v>
      </c>
      <c r="K685" s="4"/>
      <c r="L685" s="9">
        <v>29.7257</v>
      </c>
      <c r="M685" s="9">
        <v>11.6745</v>
      </c>
      <c r="N685" s="9">
        <v>4.7850000000000001</v>
      </c>
      <c r="O685" s="9">
        <v>0.36199999999999999</v>
      </c>
      <c r="P685" s="9">
        <v>1.2509999999999999</v>
      </c>
      <c r="Q685" s="9">
        <v>19.053000000000001</v>
      </c>
      <c r="R685" s="9"/>
      <c r="S685" s="11"/>
    </row>
    <row r="686" spans="1:19" ht="15.75">
      <c r="A686" s="13">
        <v>62032</v>
      </c>
      <c r="B686" s="8">
        <f>CHOOSE( CONTROL!$C$36, 19.5844, 19.5833) * CHOOSE(CONTROL!$C$19, $D$11, 100%, $F$11)</f>
        <v>19.584399999999999</v>
      </c>
      <c r="C686" s="8">
        <f>CHOOSE( CONTROL!$C$36, 19.5897, 19.5886) * CHOOSE(CONTROL!$C$19, $D$11, 100%, $F$11)</f>
        <v>19.589700000000001</v>
      </c>
      <c r="D686" s="8">
        <f>CHOOSE( CONTROL!$C$36, 19.6102, 19.6091) * CHOOSE( CONTROL!$C$19, $D$11, 100%, $F$11)</f>
        <v>19.610199999999999</v>
      </c>
      <c r="E686" s="12">
        <f>CHOOSE( CONTROL!$C$36, 19.6029, 19.6018) * CHOOSE( CONTROL!$C$19, $D$11, 100%, $F$11)</f>
        <v>19.602900000000002</v>
      </c>
      <c r="F686" s="4">
        <f>CHOOSE( CONTROL!$C$36, 20.3191, 20.318) * CHOOSE(CONTROL!$C$19, $D$11, 100%, $F$11)</f>
        <v>20.319099999999999</v>
      </c>
      <c r="G686" s="8">
        <f>CHOOSE( CONTROL!$C$36, 19.3656, 19.3645) * CHOOSE( CONTROL!$C$19, $D$11, 100%, $F$11)</f>
        <v>19.365600000000001</v>
      </c>
      <c r="H686" s="4">
        <f>CHOOSE( CONTROL!$C$36, 20.3095, 20.3084) * CHOOSE(CONTROL!$C$19, $D$11, 100%, $F$11)</f>
        <v>20.3095</v>
      </c>
      <c r="I686" s="8">
        <f>CHOOSE( CONTROL!$C$36, 19.1222, 19.1212) * CHOOSE(CONTROL!$C$19, $D$11, 100%, $F$11)</f>
        <v>19.122199999999999</v>
      </c>
      <c r="J686" s="4">
        <f>CHOOSE( CONTROL!$C$36, 18.9798, 18.9788) * CHOOSE(CONTROL!$C$19, $D$11, 100%, $F$11)</f>
        <v>18.979800000000001</v>
      </c>
      <c r="K686" s="4"/>
      <c r="L686" s="9">
        <v>31.095300000000002</v>
      </c>
      <c r="M686" s="9">
        <v>12.063700000000001</v>
      </c>
      <c r="N686" s="9">
        <v>4.9444999999999997</v>
      </c>
      <c r="O686" s="9">
        <v>0.37409999999999999</v>
      </c>
      <c r="P686" s="9">
        <v>1.2927</v>
      </c>
      <c r="Q686" s="9">
        <v>19.688099999999999</v>
      </c>
      <c r="R686" s="9"/>
      <c r="S686" s="11"/>
    </row>
    <row r="687" spans="1:19" ht="15.75">
      <c r="A687" s="13">
        <v>62062</v>
      </c>
      <c r="B687" s="8">
        <f>CHOOSE( CONTROL!$C$36, 21.1228, 21.1217) * CHOOSE(CONTROL!$C$19, $D$11, 100%, $F$11)</f>
        <v>21.122800000000002</v>
      </c>
      <c r="C687" s="8">
        <f>CHOOSE( CONTROL!$C$36, 21.1279, 21.1268) * CHOOSE(CONTROL!$C$19, $D$11, 100%, $F$11)</f>
        <v>21.1279</v>
      </c>
      <c r="D687" s="8">
        <f>CHOOSE( CONTROL!$C$36, 21.1071, 21.106) * CHOOSE( CONTROL!$C$19, $D$11, 100%, $F$11)</f>
        <v>21.107099999999999</v>
      </c>
      <c r="E687" s="12">
        <f>CHOOSE( CONTROL!$C$36, 21.1142, 21.1131) * CHOOSE( CONTROL!$C$19, $D$11, 100%, $F$11)</f>
        <v>21.1142</v>
      </c>
      <c r="F687" s="4">
        <f>CHOOSE( CONTROL!$C$36, 21.782, 21.7809) * CHOOSE(CONTROL!$C$19, $D$11, 100%, $F$11)</f>
        <v>21.782</v>
      </c>
      <c r="G687" s="8">
        <f>CHOOSE( CONTROL!$C$36, 20.8628, 20.8617) * CHOOSE( CONTROL!$C$19, $D$11, 100%, $F$11)</f>
        <v>20.8628</v>
      </c>
      <c r="H687" s="4">
        <f>CHOOSE( CONTROL!$C$36, 21.752, 21.7509) * CHOOSE(CONTROL!$C$19, $D$11, 100%, $F$11)</f>
        <v>21.751999999999999</v>
      </c>
      <c r="I687" s="8">
        <f>CHOOSE( CONTROL!$C$36, 20.6621, 20.661) * CHOOSE(CONTROL!$C$19, $D$11, 100%, $F$11)</f>
        <v>20.662099999999999</v>
      </c>
      <c r="J687" s="4">
        <f>CHOOSE( CONTROL!$C$36, 20.4698, 20.4688) * CHOOSE(CONTROL!$C$19, $D$11, 100%, $F$11)</f>
        <v>20.469799999999999</v>
      </c>
      <c r="K687" s="4"/>
      <c r="L687" s="9">
        <v>28.360600000000002</v>
      </c>
      <c r="M687" s="9">
        <v>11.6745</v>
      </c>
      <c r="N687" s="9">
        <v>4.7850000000000001</v>
      </c>
      <c r="O687" s="9">
        <v>0.36199999999999999</v>
      </c>
      <c r="P687" s="9">
        <v>1.2509999999999999</v>
      </c>
      <c r="Q687" s="9">
        <v>19.053000000000001</v>
      </c>
      <c r="R687" s="9"/>
      <c r="S687" s="11"/>
    </row>
    <row r="688" spans="1:19" ht="15.75">
      <c r="A688" s="13">
        <v>62093</v>
      </c>
      <c r="B688" s="8">
        <f>CHOOSE( CONTROL!$C$36, 21.0843, 21.0832) * CHOOSE(CONTROL!$C$19, $D$11, 100%, $F$11)</f>
        <v>21.084299999999999</v>
      </c>
      <c r="C688" s="8">
        <f>CHOOSE( CONTROL!$C$36, 21.0894, 21.0883) * CHOOSE(CONTROL!$C$19, $D$11, 100%, $F$11)</f>
        <v>21.089400000000001</v>
      </c>
      <c r="D688" s="8">
        <f>CHOOSE( CONTROL!$C$36, 21.07, 21.0689) * CHOOSE( CONTROL!$C$19, $D$11, 100%, $F$11)</f>
        <v>21.07</v>
      </c>
      <c r="E688" s="12">
        <f>CHOOSE( CONTROL!$C$36, 21.0766, 21.0755) * CHOOSE( CONTROL!$C$19, $D$11, 100%, $F$11)</f>
        <v>21.076599999999999</v>
      </c>
      <c r="F688" s="4">
        <f>CHOOSE( CONTROL!$C$36, 21.7436, 21.7425) * CHOOSE(CONTROL!$C$19, $D$11, 100%, $F$11)</f>
        <v>21.743600000000001</v>
      </c>
      <c r="G688" s="8">
        <f>CHOOSE( CONTROL!$C$36, 20.8259, 20.8248) * CHOOSE( CONTROL!$C$19, $D$11, 100%, $F$11)</f>
        <v>20.825900000000001</v>
      </c>
      <c r="H688" s="4">
        <f>CHOOSE( CONTROL!$C$36, 21.7141, 21.713) * CHOOSE(CONTROL!$C$19, $D$11, 100%, $F$11)</f>
        <v>21.714099999999998</v>
      </c>
      <c r="I688" s="8">
        <f>CHOOSE( CONTROL!$C$36, 20.6291, 20.6281) * CHOOSE(CONTROL!$C$19, $D$11, 100%, $F$11)</f>
        <v>20.629100000000001</v>
      </c>
      <c r="J688" s="4">
        <f>CHOOSE( CONTROL!$C$36, 20.4326, 20.4315) * CHOOSE(CONTROL!$C$19, $D$11, 100%, $F$11)</f>
        <v>20.432600000000001</v>
      </c>
      <c r="K688" s="4"/>
      <c r="L688" s="9">
        <v>29.306000000000001</v>
      </c>
      <c r="M688" s="9">
        <v>12.063700000000001</v>
      </c>
      <c r="N688" s="9">
        <v>4.9444999999999997</v>
      </c>
      <c r="O688" s="9">
        <v>0.37409999999999999</v>
      </c>
      <c r="P688" s="9">
        <v>1.2927</v>
      </c>
      <c r="Q688" s="9">
        <v>19.688099999999999</v>
      </c>
      <c r="R688" s="9"/>
      <c r="S688" s="11"/>
    </row>
    <row r="689" spans="1:19" ht="15.75">
      <c r="A689" s="13">
        <v>62124</v>
      </c>
      <c r="B689" s="8">
        <f>CHOOSE( CONTROL!$C$36, 21.7067, 21.7056) * CHOOSE(CONTROL!$C$19, $D$11, 100%, $F$11)</f>
        <v>21.706700000000001</v>
      </c>
      <c r="C689" s="8">
        <f>CHOOSE( CONTROL!$C$36, 21.7118, 21.7107) * CHOOSE(CONTROL!$C$19, $D$11, 100%, $F$11)</f>
        <v>21.7118</v>
      </c>
      <c r="D689" s="8">
        <f>CHOOSE( CONTROL!$C$36, 21.7131, 21.712) * CHOOSE( CONTROL!$C$19, $D$11, 100%, $F$11)</f>
        <v>21.713100000000001</v>
      </c>
      <c r="E689" s="12">
        <f>CHOOSE( CONTROL!$C$36, 21.7121, 21.711) * CHOOSE( CONTROL!$C$19, $D$11, 100%, $F$11)</f>
        <v>21.7121</v>
      </c>
      <c r="F689" s="4">
        <f>CHOOSE( CONTROL!$C$36, 22.366, 22.3649) * CHOOSE(CONTROL!$C$19, $D$11, 100%, $F$11)</f>
        <v>22.366</v>
      </c>
      <c r="G689" s="8">
        <f>CHOOSE( CONTROL!$C$36, 21.4507, 21.4496) * CHOOSE( CONTROL!$C$19, $D$11, 100%, $F$11)</f>
        <v>21.450700000000001</v>
      </c>
      <c r="H689" s="4">
        <f>CHOOSE( CONTROL!$C$36, 22.3278, 22.3267) * CHOOSE(CONTROL!$C$19, $D$11, 100%, $F$11)</f>
        <v>22.3278</v>
      </c>
      <c r="I689" s="8">
        <f>CHOOSE( CONTROL!$C$36, 21.2096, 21.2086) * CHOOSE(CONTROL!$C$19, $D$11, 100%, $F$11)</f>
        <v>21.209599999999998</v>
      </c>
      <c r="J689" s="4">
        <f>CHOOSE( CONTROL!$C$36, 21.0353, 21.0342) * CHOOSE(CONTROL!$C$19, $D$11, 100%, $F$11)</f>
        <v>21.035299999999999</v>
      </c>
      <c r="K689" s="4"/>
      <c r="L689" s="9">
        <v>29.306000000000001</v>
      </c>
      <c r="M689" s="9">
        <v>12.063700000000001</v>
      </c>
      <c r="N689" s="9">
        <v>4.9444999999999997</v>
      </c>
      <c r="O689" s="9">
        <v>0.37409999999999999</v>
      </c>
      <c r="P689" s="9">
        <v>1.2927</v>
      </c>
      <c r="Q689" s="9">
        <v>19.688099999999999</v>
      </c>
      <c r="R689" s="9"/>
      <c r="S689" s="11"/>
    </row>
    <row r="690" spans="1:19" ht="15.75">
      <c r="A690" s="13">
        <v>62152</v>
      </c>
      <c r="B690" s="8">
        <f>CHOOSE( CONTROL!$C$36, 20.3024, 20.3013) * CHOOSE(CONTROL!$C$19, $D$11, 100%, $F$11)</f>
        <v>20.302399999999999</v>
      </c>
      <c r="C690" s="8">
        <f>CHOOSE( CONTROL!$C$36, 20.3075, 20.3064) * CHOOSE(CONTROL!$C$19, $D$11, 100%, $F$11)</f>
        <v>20.307500000000001</v>
      </c>
      <c r="D690" s="8">
        <f>CHOOSE( CONTROL!$C$36, 20.3086, 20.3075) * CHOOSE( CONTROL!$C$19, $D$11, 100%, $F$11)</f>
        <v>20.308599999999998</v>
      </c>
      <c r="E690" s="12">
        <f>CHOOSE( CONTROL!$C$36, 20.3077, 20.3066) * CHOOSE( CONTROL!$C$19, $D$11, 100%, $F$11)</f>
        <v>20.307700000000001</v>
      </c>
      <c r="F690" s="4">
        <f>CHOOSE( CONTROL!$C$36, 20.9616, 20.9605) * CHOOSE(CONTROL!$C$19, $D$11, 100%, $F$11)</f>
        <v>20.961600000000001</v>
      </c>
      <c r="G690" s="8">
        <f>CHOOSE( CONTROL!$C$36, 20.0658, 20.0647) * CHOOSE( CONTROL!$C$19, $D$11, 100%, $F$11)</f>
        <v>20.065799999999999</v>
      </c>
      <c r="H690" s="4">
        <f>CHOOSE( CONTROL!$C$36, 20.943, 20.942) * CHOOSE(CONTROL!$C$19, $D$11, 100%, $F$11)</f>
        <v>20.943000000000001</v>
      </c>
      <c r="I690" s="8">
        <f>CHOOSE( CONTROL!$C$36, 19.8487, 19.8476) * CHOOSE(CONTROL!$C$19, $D$11, 100%, $F$11)</f>
        <v>19.848700000000001</v>
      </c>
      <c r="J690" s="4">
        <f>CHOOSE( CONTROL!$C$36, 19.6754, 19.6744) * CHOOSE(CONTROL!$C$19, $D$11, 100%, $F$11)</f>
        <v>19.6754</v>
      </c>
      <c r="K690" s="4"/>
      <c r="L690" s="9">
        <v>26.469899999999999</v>
      </c>
      <c r="M690" s="9">
        <v>10.8962</v>
      </c>
      <c r="N690" s="9">
        <v>4.4660000000000002</v>
      </c>
      <c r="O690" s="9">
        <v>0.33789999999999998</v>
      </c>
      <c r="P690" s="9">
        <v>1.1676</v>
      </c>
      <c r="Q690" s="9">
        <v>17.782800000000002</v>
      </c>
      <c r="R690" s="9"/>
      <c r="S690" s="11"/>
    </row>
    <row r="691" spans="1:19" ht="15.75">
      <c r="A691" s="13">
        <v>62183</v>
      </c>
      <c r="B691" s="8">
        <f>CHOOSE( CONTROL!$C$36, 19.8698, 19.8687) * CHOOSE(CONTROL!$C$19, $D$11, 100%, $F$11)</f>
        <v>19.869800000000001</v>
      </c>
      <c r="C691" s="8">
        <f>CHOOSE( CONTROL!$C$36, 19.8749, 19.8738) * CHOOSE(CONTROL!$C$19, $D$11, 100%, $F$11)</f>
        <v>19.8749</v>
      </c>
      <c r="D691" s="8">
        <f>CHOOSE( CONTROL!$C$36, 19.8755, 19.8744) * CHOOSE( CONTROL!$C$19, $D$11, 100%, $F$11)</f>
        <v>19.875499999999999</v>
      </c>
      <c r="E691" s="12">
        <f>CHOOSE( CONTROL!$C$36, 19.8747, 19.8736) * CHOOSE( CONTROL!$C$19, $D$11, 100%, $F$11)</f>
        <v>19.874700000000001</v>
      </c>
      <c r="F691" s="4">
        <f>CHOOSE( CONTROL!$C$36, 20.5291, 20.528) * CHOOSE(CONTROL!$C$19, $D$11, 100%, $F$11)</f>
        <v>20.5291</v>
      </c>
      <c r="G691" s="8">
        <f>CHOOSE( CONTROL!$C$36, 19.6389, 19.6378) * CHOOSE( CONTROL!$C$19, $D$11, 100%, $F$11)</f>
        <v>19.6389</v>
      </c>
      <c r="H691" s="4">
        <f>CHOOSE( CONTROL!$C$36, 20.5165, 20.5155) * CHOOSE(CONTROL!$C$19, $D$11, 100%, $F$11)</f>
        <v>20.516500000000001</v>
      </c>
      <c r="I691" s="8">
        <f>CHOOSE( CONTROL!$C$36, 19.4277, 19.4266) * CHOOSE(CONTROL!$C$19, $D$11, 100%, $F$11)</f>
        <v>19.427700000000002</v>
      </c>
      <c r="J691" s="4">
        <f>CHOOSE( CONTROL!$C$36, 19.2566, 19.2556) * CHOOSE(CONTROL!$C$19, $D$11, 100%, $F$11)</f>
        <v>19.256599999999999</v>
      </c>
      <c r="K691" s="4"/>
      <c r="L691" s="9">
        <v>29.306000000000001</v>
      </c>
      <c r="M691" s="9">
        <v>12.063700000000001</v>
      </c>
      <c r="N691" s="9">
        <v>4.9444999999999997</v>
      </c>
      <c r="O691" s="9">
        <v>0.37409999999999999</v>
      </c>
      <c r="P691" s="9">
        <v>1.2927</v>
      </c>
      <c r="Q691" s="9">
        <v>19.688099999999999</v>
      </c>
      <c r="R691" s="9"/>
      <c r="S691" s="11"/>
    </row>
    <row r="692" spans="1:19" ht="15.75">
      <c r="A692" s="13">
        <v>62213</v>
      </c>
      <c r="B692" s="8">
        <f>CHOOSE( CONTROL!$C$36, 20.1728, 20.1718) * CHOOSE(CONTROL!$C$19, $D$11, 100%, $F$11)</f>
        <v>20.172799999999999</v>
      </c>
      <c r="C692" s="8">
        <f>CHOOSE( CONTROL!$C$36, 20.1774, 20.1763) * CHOOSE(CONTROL!$C$19, $D$11, 100%, $F$11)</f>
        <v>20.177399999999999</v>
      </c>
      <c r="D692" s="8">
        <f>CHOOSE( CONTROL!$C$36, 20.1978, 20.1967) * CHOOSE( CONTROL!$C$19, $D$11, 100%, $F$11)</f>
        <v>20.197800000000001</v>
      </c>
      <c r="E692" s="12">
        <f>CHOOSE( CONTROL!$C$36, 20.1905, 20.1894) * CHOOSE( CONTROL!$C$19, $D$11, 100%, $F$11)</f>
        <v>20.1905</v>
      </c>
      <c r="F692" s="4">
        <f>CHOOSE( CONTROL!$C$36, 20.9072, 20.9062) * CHOOSE(CONTROL!$C$19, $D$11, 100%, $F$11)</f>
        <v>20.9072</v>
      </c>
      <c r="G692" s="8">
        <f>CHOOSE( CONTROL!$C$36, 19.945, 19.9439) * CHOOSE( CONTROL!$C$19, $D$11, 100%, $F$11)</f>
        <v>19.945</v>
      </c>
      <c r="H692" s="4">
        <f>CHOOSE( CONTROL!$C$36, 20.8894, 20.8883) * CHOOSE(CONTROL!$C$19, $D$11, 100%, $F$11)</f>
        <v>20.889399999999998</v>
      </c>
      <c r="I692" s="8">
        <f>CHOOSE( CONTROL!$C$36, 19.69, 19.6889) * CHOOSE(CONTROL!$C$19, $D$11, 100%, $F$11)</f>
        <v>19.690000000000001</v>
      </c>
      <c r="J692" s="4">
        <f>CHOOSE( CONTROL!$C$36, 19.5493, 19.5482) * CHOOSE(CONTROL!$C$19, $D$11, 100%, $F$11)</f>
        <v>19.549299999999999</v>
      </c>
      <c r="K692" s="4"/>
      <c r="L692" s="9">
        <v>30.092199999999998</v>
      </c>
      <c r="M692" s="9">
        <v>11.6745</v>
      </c>
      <c r="N692" s="9">
        <v>4.7850000000000001</v>
      </c>
      <c r="O692" s="9">
        <v>0.36199999999999999</v>
      </c>
      <c r="P692" s="9">
        <v>1.2509999999999999</v>
      </c>
      <c r="Q692" s="9">
        <v>19.053000000000001</v>
      </c>
      <c r="R692" s="9"/>
      <c r="S692" s="11"/>
    </row>
    <row r="693" spans="1:19" ht="15.75">
      <c r="A693" s="13">
        <v>62244</v>
      </c>
      <c r="B693" s="8">
        <f>CHOOSE( CONTROL!$C$36, 20.7127, 20.711) * CHOOSE(CONTROL!$C$19, $D$11, 100%, $F$11)</f>
        <v>20.712700000000002</v>
      </c>
      <c r="C693" s="8">
        <f>CHOOSE( CONTROL!$C$36, 20.7207, 20.719) * CHOOSE(CONTROL!$C$19, $D$11, 100%, $F$11)</f>
        <v>20.720700000000001</v>
      </c>
      <c r="D693" s="8">
        <f>CHOOSE( CONTROL!$C$36, 20.7349, 20.7332) * CHOOSE( CONTROL!$C$19, $D$11, 100%, $F$11)</f>
        <v>20.7349</v>
      </c>
      <c r="E693" s="12">
        <f>CHOOSE( CONTROL!$C$36, 20.7285, 20.7268) * CHOOSE( CONTROL!$C$19, $D$11, 100%, $F$11)</f>
        <v>20.7285</v>
      </c>
      <c r="F693" s="4">
        <f>CHOOSE( CONTROL!$C$36, 21.4457, 21.4441) * CHOOSE(CONTROL!$C$19, $D$11, 100%, $F$11)</f>
        <v>21.445699999999999</v>
      </c>
      <c r="G693" s="8">
        <f>CHOOSE( CONTROL!$C$36, 20.4759, 20.4743) * CHOOSE( CONTROL!$C$19, $D$11, 100%, $F$11)</f>
        <v>20.475899999999999</v>
      </c>
      <c r="H693" s="4">
        <f>CHOOSE( CONTROL!$C$36, 21.4204, 21.4188) * CHOOSE(CONTROL!$C$19, $D$11, 100%, $F$11)</f>
        <v>21.420400000000001</v>
      </c>
      <c r="I693" s="8">
        <f>CHOOSE( CONTROL!$C$36, 20.2113, 20.2097) * CHOOSE(CONTROL!$C$19, $D$11, 100%, $F$11)</f>
        <v>20.211300000000001</v>
      </c>
      <c r="J693" s="4">
        <f>CHOOSE( CONTROL!$C$36, 20.0707, 20.0691) * CHOOSE(CONTROL!$C$19, $D$11, 100%, $F$11)</f>
        <v>20.070699999999999</v>
      </c>
      <c r="K693" s="4"/>
      <c r="L693" s="9">
        <v>30.7165</v>
      </c>
      <c r="M693" s="9">
        <v>12.063700000000001</v>
      </c>
      <c r="N693" s="9">
        <v>4.9444999999999997</v>
      </c>
      <c r="O693" s="9">
        <v>0.37409999999999999</v>
      </c>
      <c r="P693" s="9">
        <v>1.2927</v>
      </c>
      <c r="Q693" s="9">
        <v>19.688099999999999</v>
      </c>
      <c r="R693" s="9"/>
      <c r="S693" s="11"/>
    </row>
    <row r="694" spans="1:19" ht="15.75">
      <c r="A694" s="13">
        <v>62274</v>
      </c>
      <c r="B694" s="8">
        <f>CHOOSE( CONTROL!$C$36, 20.3795, 20.3778) * CHOOSE(CONTROL!$C$19, $D$11, 100%, $F$11)</f>
        <v>20.3795</v>
      </c>
      <c r="C694" s="8">
        <f>CHOOSE( CONTROL!$C$36, 20.3875, 20.3858) * CHOOSE(CONTROL!$C$19, $D$11, 100%, $F$11)</f>
        <v>20.387499999999999</v>
      </c>
      <c r="D694" s="8">
        <f>CHOOSE( CONTROL!$C$36, 20.4019, 20.4002) * CHOOSE( CONTROL!$C$19, $D$11, 100%, $F$11)</f>
        <v>20.401900000000001</v>
      </c>
      <c r="E694" s="12">
        <f>CHOOSE( CONTROL!$C$36, 20.3955, 20.3938) * CHOOSE( CONTROL!$C$19, $D$11, 100%, $F$11)</f>
        <v>20.395499999999998</v>
      </c>
      <c r="F694" s="4">
        <f>CHOOSE( CONTROL!$C$36, 21.1125, 21.1108) * CHOOSE(CONTROL!$C$19, $D$11, 100%, $F$11)</f>
        <v>21.112500000000001</v>
      </c>
      <c r="G694" s="8">
        <f>CHOOSE( CONTROL!$C$36, 20.1475, 20.1459) * CHOOSE( CONTROL!$C$19, $D$11, 100%, $F$11)</f>
        <v>20.147500000000001</v>
      </c>
      <c r="H694" s="4">
        <f>CHOOSE( CONTROL!$C$36, 21.0918, 21.0902) * CHOOSE(CONTROL!$C$19, $D$11, 100%, $F$11)</f>
        <v>21.091799999999999</v>
      </c>
      <c r="I694" s="8">
        <f>CHOOSE( CONTROL!$C$36, 19.8891, 19.8875) * CHOOSE(CONTROL!$C$19, $D$11, 100%, $F$11)</f>
        <v>19.889099999999999</v>
      </c>
      <c r="J694" s="4">
        <f>CHOOSE( CONTROL!$C$36, 19.748, 19.7464) * CHOOSE(CONTROL!$C$19, $D$11, 100%, $F$11)</f>
        <v>19.748000000000001</v>
      </c>
      <c r="K694" s="4"/>
      <c r="L694" s="9">
        <v>29.7257</v>
      </c>
      <c r="M694" s="9">
        <v>11.6745</v>
      </c>
      <c r="N694" s="9">
        <v>4.7850000000000001</v>
      </c>
      <c r="O694" s="9">
        <v>0.36199999999999999</v>
      </c>
      <c r="P694" s="9">
        <v>1.2509999999999999</v>
      </c>
      <c r="Q694" s="9">
        <v>19.053000000000001</v>
      </c>
      <c r="R694" s="9"/>
      <c r="S694" s="11"/>
    </row>
    <row r="695" spans="1:19" ht="15.75">
      <c r="A695" s="13">
        <v>62305</v>
      </c>
      <c r="B695" s="8">
        <f>CHOOSE( CONTROL!$C$36, 21.257, 21.2553) * CHOOSE(CONTROL!$C$19, $D$11, 100%, $F$11)</f>
        <v>21.257000000000001</v>
      </c>
      <c r="C695" s="8">
        <f>CHOOSE( CONTROL!$C$36, 21.265, 21.2633) * CHOOSE(CONTROL!$C$19, $D$11, 100%, $F$11)</f>
        <v>21.265000000000001</v>
      </c>
      <c r="D695" s="8">
        <f>CHOOSE( CONTROL!$C$36, 21.2796, 21.278) * CHOOSE( CONTROL!$C$19, $D$11, 100%, $F$11)</f>
        <v>21.279599999999999</v>
      </c>
      <c r="E695" s="12">
        <f>CHOOSE( CONTROL!$C$36, 21.2731, 21.2715) * CHOOSE( CONTROL!$C$19, $D$11, 100%, $F$11)</f>
        <v>21.273099999999999</v>
      </c>
      <c r="F695" s="4">
        <f>CHOOSE( CONTROL!$C$36, 21.99, 21.9884) * CHOOSE(CONTROL!$C$19, $D$11, 100%, $F$11)</f>
        <v>21.99</v>
      </c>
      <c r="G695" s="8">
        <f>CHOOSE( CONTROL!$C$36, 21.013, 21.0113) * CHOOSE( CONTROL!$C$19, $D$11, 100%, $F$11)</f>
        <v>21.013000000000002</v>
      </c>
      <c r="H695" s="4">
        <f>CHOOSE( CONTROL!$C$36, 21.9571, 21.9554) * CHOOSE(CONTROL!$C$19, $D$11, 100%, $F$11)</f>
        <v>21.957100000000001</v>
      </c>
      <c r="I695" s="8">
        <f>CHOOSE( CONTROL!$C$36, 20.7401, 20.7385) * CHOOSE(CONTROL!$C$19, $D$11, 100%, $F$11)</f>
        <v>20.740100000000002</v>
      </c>
      <c r="J695" s="4">
        <f>CHOOSE( CONTROL!$C$36, 20.5977, 20.5961) * CHOOSE(CONTROL!$C$19, $D$11, 100%, $F$11)</f>
        <v>20.5977</v>
      </c>
      <c r="K695" s="4"/>
      <c r="L695" s="9">
        <v>30.7165</v>
      </c>
      <c r="M695" s="9">
        <v>12.063700000000001</v>
      </c>
      <c r="N695" s="9">
        <v>4.9444999999999997</v>
      </c>
      <c r="O695" s="9">
        <v>0.37409999999999999</v>
      </c>
      <c r="P695" s="9">
        <v>1.2927</v>
      </c>
      <c r="Q695" s="9">
        <v>19.688099999999999</v>
      </c>
      <c r="R695" s="9"/>
      <c r="S695" s="11"/>
    </row>
    <row r="696" spans="1:19" ht="15.75">
      <c r="A696" s="13">
        <v>62336</v>
      </c>
      <c r="B696" s="8">
        <f>CHOOSE( CONTROL!$C$36, 19.6151, 19.6134) * CHOOSE(CONTROL!$C$19, $D$11, 100%, $F$11)</f>
        <v>19.615100000000002</v>
      </c>
      <c r="C696" s="8">
        <f>CHOOSE( CONTROL!$C$36, 19.6231, 19.6214) * CHOOSE(CONTROL!$C$19, $D$11, 100%, $F$11)</f>
        <v>19.623100000000001</v>
      </c>
      <c r="D696" s="8">
        <f>CHOOSE( CONTROL!$C$36, 19.6378, 19.6361) * CHOOSE( CONTROL!$C$19, $D$11, 100%, $F$11)</f>
        <v>19.637799999999999</v>
      </c>
      <c r="E696" s="12">
        <f>CHOOSE( CONTROL!$C$36, 19.6313, 19.6296) * CHOOSE( CONTROL!$C$19, $D$11, 100%, $F$11)</f>
        <v>19.6313</v>
      </c>
      <c r="F696" s="4">
        <f>CHOOSE( CONTROL!$C$36, 20.3481, 20.3464) * CHOOSE(CONTROL!$C$19, $D$11, 100%, $F$11)</f>
        <v>20.348099999999999</v>
      </c>
      <c r="G696" s="8">
        <f>CHOOSE( CONTROL!$C$36, 19.394, 19.3924) * CHOOSE( CONTROL!$C$19, $D$11, 100%, $F$11)</f>
        <v>19.393999999999998</v>
      </c>
      <c r="H696" s="4">
        <f>CHOOSE( CONTROL!$C$36, 20.3381, 20.3364) * CHOOSE(CONTROL!$C$19, $D$11, 100%, $F$11)</f>
        <v>20.338100000000001</v>
      </c>
      <c r="I696" s="8">
        <f>CHOOSE( CONTROL!$C$36, 19.1496, 19.148) * CHOOSE(CONTROL!$C$19, $D$11, 100%, $F$11)</f>
        <v>19.1496</v>
      </c>
      <c r="J696" s="4">
        <f>CHOOSE( CONTROL!$C$36, 19.0079, 19.0063) * CHOOSE(CONTROL!$C$19, $D$11, 100%, $F$11)</f>
        <v>19.007899999999999</v>
      </c>
      <c r="K696" s="4"/>
      <c r="L696" s="9">
        <v>30.7165</v>
      </c>
      <c r="M696" s="9">
        <v>12.063700000000001</v>
      </c>
      <c r="N696" s="9">
        <v>4.9444999999999997</v>
      </c>
      <c r="O696" s="9">
        <v>0.37409999999999999</v>
      </c>
      <c r="P696" s="9">
        <v>1.2927</v>
      </c>
      <c r="Q696" s="9">
        <v>19.688099999999999</v>
      </c>
      <c r="R696" s="9"/>
      <c r="S696" s="11"/>
    </row>
    <row r="697" spans="1:19" ht="15.75">
      <c r="A697" s="13">
        <v>62366</v>
      </c>
      <c r="B697" s="8">
        <f>CHOOSE( CONTROL!$C$36, 19.2039, 19.2023) * CHOOSE(CONTROL!$C$19, $D$11, 100%, $F$11)</f>
        <v>19.203900000000001</v>
      </c>
      <c r="C697" s="8">
        <f>CHOOSE( CONTROL!$C$36, 19.2119, 19.2103) * CHOOSE(CONTROL!$C$19, $D$11, 100%, $F$11)</f>
        <v>19.2119</v>
      </c>
      <c r="D697" s="8">
        <f>CHOOSE( CONTROL!$C$36, 19.2265, 19.2248) * CHOOSE( CONTROL!$C$19, $D$11, 100%, $F$11)</f>
        <v>19.226500000000001</v>
      </c>
      <c r="E697" s="12">
        <f>CHOOSE( CONTROL!$C$36, 19.22, 19.2183) * CHOOSE( CONTROL!$C$19, $D$11, 100%, $F$11)</f>
        <v>19.22</v>
      </c>
      <c r="F697" s="4">
        <f>CHOOSE( CONTROL!$C$36, 19.9369, 19.9353) * CHOOSE(CONTROL!$C$19, $D$11, 100%, $F$11)</f>
        <v>19.936900000000001</v>
      </c>
      <c r="G697" s="8">
        <f>CHOOSE( CONTROL!$C$36, 18.9885, 18.9869) * CHOOSE( CONTROL!$C$19, $D$11, 100%, $F$11)</f>
        <v>18.988499999999998</v>
      </c>
      <c r="H697" s="4">
        <f>CHOOSE( CONTROL!$C$36, 19.9326, 19.931) * CHOOSE(CONTROL!$C$19, $D$11, 100%, $F$11)</f>
        <v>19.932600000000001</v>
      </c>
      <c r="I697" s="8">
        <f>CHOOSE( CONTROL!$C$36, 18.7509, 18.7493) * CHOOSE(CONTROL!$C$19, $D$11, 100%, $F$11)</f>
        <v>18.750900000000001</v>
      </c>
      <c r="J697" s="4">
        <f>CHOOSE( CONTROL!$C$36, 18.6097, 18.6081) * CHOOSE(CONTROL!$C$19, $D$11, 100%, $F$11)</f>
        <v>18.6097</v>
      </c>
      <c r="K697" s="4"/>
      <c r="L697" s="9">
        <v>29.7257</v>
      </c>
      <c r="M697" s="9">
        <v>11.6745</v>
      </c>
      <c r="N697" s="9">
        <v>4.7850000000000001</v>
      </c>
      <c r="O697" s="9">
        <v>0.36199999999999999</v>
      </c>
      <c r="P697" s="9">
        <v>1.2509999999999999</v>
      </c>
      <c r="Q697" s="9">
        <v>19.053000000000001</v>
      </c>
      <c r="R697" s="9"/>
      <c r="S697" s="11"/>
    </row>
    <row r="698" spans="1:19" ht="15.75">
      <c r="A698" s="13">
        <v>62397</v>
      </c>
      <c r="B698" s="8">
        <f>CHOOSE( CONTROL!$C$36, 20.0553, 20.0542) * CHOOSE(CONTROL!$C$19, $D$11, 100%, $F$11)</f>
        <v>20.055299999999999</v>
      </c>
      <c r="C698" s="8">
        <f>CHOOSE( CONTROL!$C$36, 20.0607, 20.0596) * CHOOSE(CONTROL!$C$19, $D$11, 100%, $F$11)</f>
        <v>20.060700000000001</v>
      </c>
      <c r="D698" s="8">
        <f>CHOOSE( CONTROL!$C$36, 20.0812, 20.0801) * CHOOSE( CONTROL!$C$19, $D$11, 100%, $F$11)</f>
        <v>20.081199999999999</v>
      </c>
      <c r="E698" s="12">
        <f>CHOOSE( CONTROL!$C$36, 20.0739, 20.0728) * CHOOSE( CONTROL!$C$19, $D$11, 100%, $F$11)</f>
        <v>20.073899999999998</v>
      </c>
      <c r="F698" s="4">
        <f>CHOOSE( CONTROL!$C$36, 20.7901, 20.789) * CHOOSE(CONTROL!$C$19, $D$11, 100%, $F$11)</f>
        <v>20.790099999999999</v>
      </c>
      <c r="G698" s="8">
        <f>CHOOSE( CONTROL!$C$36, 19.8299, 19.8289) * CHOOSE( CONTROL!$C$19, $D$11, 100%, $F$11)</f>
        <v>19.829899999999999</v>
      </c>
      <c r="H698" s="4">
        <f>CHOOSE( CONTROL!$C$36, 20.7739, 20.7728) * CHOOSE(CONTROL!$C$19, $D$11, 100%, $F$11)</f>
        <v>20.773900000000001</v>
      </c>
      <c r="I698" s="8">
        <f>CHOOSE( CONTROL!$C$36, 19.5785, 19.5774) * CHOOSE(CONTROL!$C$19, $D$11, 100%, $F$11)</f>
        <v>19.578499999999998</v>
      </c>
      <c r="J698" s="4">
        <f>CHOOSE( CONTROL!$C$36, 19.4358, 19.4348) * CHOOSE(CONTROL!$C$19, $D$11, 100%, $F$11)</f>
        <v>19.4358</v>
      </c>
      <c r="K698" s="4"/>
      <c r="L698" s="9">
        <v>31.095300000000002</v>
      </c>
      <c r="M698" s="9">
        <v>12.063700000000001</v>
      </c>
      <c r="N698" s="9">
        <v>4.9444999999999997</v>
      </c>
      <c r="O698" s="9">
        <v>0.37409999999999999</v>
      </c>
      <c r="P698" s="9">
        <v>1.2927</v>
      </c>
      <c r="Q698" s="9">
        <v>19.688099999999999</v>
      </c>
      <c r="R698" s="9"/>
      <c r="S698" s="11"/>
    </row>
    <row r="699" spans="1:19" ht="15.75">
      <c r="A699" s="13">
        <v>62427</v>
      </c>
      <c r="B699" s="8">
        <f>CHOOSE( CONTROL!$C$36, 21.6307, 21.6296) * CHOOSE(CONTROL!$C$19, $D$11, 100%, $F$11)</f>
        <v>21.630700000000001</v>
      </c>
      <c r="C699" s="8">
        <f>CHOOSE( CONTROL!$C$36, 21.6358, 21.6347) * CHOOSE(CONTROL!$C$19, $D$11, 100%, $F$11)</f>
        <v>21.6358</v>
      </c>
      <c r="D699" s="8">
        <f>CHOOSE( CONTROL!$C$36, 21.615, 21.6139) * CHOOSE( CONTROL!$C$19, $D$11, 100%, $F$11)</f>
        <v>21.614999999999998</v>
      </c>
      <c r="E699" s="12">
        <f>CHOOSE( CONTROL!$C$36, 21.6221, 21.621) * CHOOSE( CONTROL!$C$19, $D$11, 100%, $F$11)</f>
        <v>21.6221</v>
      </c>
      <c r="F699" s="4">
        <f>CHOOSE( CONTROL!$C$36, 22.2899, 22.2888) * CHOOSE(CONTROL!$C$19, $D$11, 100%, $F$11)</f>
        <v>22.289899999999999</v>
      </c>
      <c r="G699" s="8">
        <f>CHOOSE( CONTROL!$C$36, 21.3636, 21.3626) * CHOOSE( CONTROL!$C$19, $D$11, 100%, $F$11)</f>
        <v>21.363600000000002</v>
      </c>
      <c r="H699" s="4">
        <f>CHOOSE( CONTROL!$C$36, 22.2528, 22.2517) * CHOOSE(CONTROL!$C$19, $D$11, 100%, $F$11)</f>
        <v>22.252800000000001</v>
      </c>
      <c r="I699" s="8">
        <f>CHOOSE( CONTROL!$C$36, 21.1542, 21.1531) * CHOOSE(CONTROL!$C$19, $D$11, 100%, $F$11)</f>
        <v>21.154199999999999</v>
      </c>
      <c r="J699" s="4">
        <f>CHOOSE( CONTROL!$C$36, 20.9616, 20.9606) * CHOOSE(CONTROL!$C$19, $D$11, 100%, $F$11)</f>
        <v>20.961600000000001</v>
      </c>
      <c r="K699" s="4"/>
      <c r="L699" s="9">
        <v>28.360600000000002</v>
      </c>
      <c r="M699" s="9">
        <v>11.6745</v>
      </c>
      <c r="N699" s="9">
        <v>4.7850000000000001</v>
      </c>
      <c r="O699" s="9">
        <v>0.36199999999999999</v>
      </c>
      <c r="P699" s="9">
        <v>1.2509999999999999</v>
      </c>
      <c r="Q699" s="9">
        <v>19.053000000000001</v>
      </c>
      <c r="R699" s="9"/>
      <c r="S699" s="11"/>
    </row>
    <row r="700" spans="1:19" ht="15.75">
      <c r="A700" s="13">
        <v>62458</v>
      </c>
      <c r="B700" s="8">
        <f>CHOOSE( CONTROL!$C$36, 21.5913, 21.5902) * CHOOSE(CONTROL!$C$19, $D$11, 100%, $F$11)</f>
        <v>21.5913</v>
      </c>
      <c r="C700" s="8">
        <f>CHOOSE( CONTROL!$C$36, 21.5964, 21.5953) * CHOOSE(CONTROL!$C$19, $D$11, 100%, $F$11)</f>
        <v>21.596399999999999</v>
      </c>
      <c r="D700" s="8">
        <f>CHOOSE( CONTROL!$C$36, 21.577, 21.5759) * CHOOSE( CONTROL!$C$19, $D$11, 100%, $F$11)</f>
        <v>21.577000000000002</v>
      </c>
      <c r="E700" s="12">
        <f>CHOOSE( CONTROL!$C$36, 21.5836, 21.5825) * CHOOSE( CONTROL!$C$19, $D$11, 100%, $F$11)</f>
        <v>21.583600000000001</v>
      </c>
      <c r="F700" s="4">
        <f>CHOOSE( CONTROL!$C$36, 22.2506, 22.2495) * CHOOSE(CONTROL!$C$19, $D$11, 100%, $F$11)</f>
        <v>22.250599999999999</v>
      </c>
      <c r="G700" s="8">
        <f>CHOOSE( CONTROL!$C$36, 21.3258, 21.3247) * CHOOSE( CONTROL!$C$19, $D$11, 100%, $F$11)</f>
        <v>21.325800000000001</v>
      </c>
      <c r="H700" s="4">
        <f>CHOOSE( CONTROL!$C$36, 22.214, 22.2129) * CHOOSE(CONTROL!$C$19, $D$11, 100%, $F$11)</f>
        <v>22.213999999999999</v>
      </c>
      <c r="I700" s="8">
        <f>CHOOSE( CONTROL!$C$36, 21.1203, 21.1193) * CHOOSE(CONTROL!$C$19, $D$11, 100%, $F$11)</f>
        <v>21.1203</v>
      </c>
      <c r="J700" s="4">
        <f>CHOOSE( CONTROL!$C$36, 20.9235, 20.9225) * CHOOSE(CONTROL!$C$19, $D$11, 100%, $F$11)</f>
        <v>20.923500000000001</v>
      </c>
      <c r="K700" s="4"/>
      <c r="L700" s="9">
        <v>29.306000000000001</v>
      </c>
      <c r="M700" s="9">
        <v>12.063700000000001</v>
      </c>
      <c r="N700" s="9">
        <v>4.9444999999999997</v>
      </c>
      <c r="O700" s="9">
        <v>0.37409999999999999</v>
      </c>
      <c r="P700" s="9">
        <v>1.2927</v>
      </c>
      <c r="Q700" s="9">
        <v>19.688099999999999</v>
      </c>
      <c r="R700" s="9"/>
      <c r="S700" s="11"/>
    </row>
    <row r="701" spans="1:19" ht="15.75">
      <c r="A701" s="13">
        <v>62489</v>
      </c>
      <c r="B701" s="8">
        <f>CHOOSE( CONTROL!$C$36, 22.2287, 22.2276) * CHOOSE(CONTROL!$C$19, $D$11, 100%, $F$11)</f>
        <v>22.2287</v>
      </c>
      <c r="C701" s="8">
        <f>CHOOSE( CONTROL!$C$36, 22.2338, 22.2327) * CHOOSE(CONTROL!$C$19, $D$11, 100%, $F$11)</f>
        <v>22.233799999999999</v>
      </c>
      <c r="D701" s="8">
        <f>CHOOSE( CONTROL!$C$36, 22.235, 22.234) * CHOOSE( CONTROL!$C$19, $D$11, 100%, $F$11)</f>
        <v>22.234999999999999</v>
      </c>
      <c r="E701" s="12">
        <f>CHOOSE( CONTROL!$C$36, 22.234, 22.233) * CHOOSE( CONTROL!$C$19, $D$11, 100%, $F$11)</f>
        <v>22.234000000000002</v>
      </c>
      <c r="F701" s="4">
        <f>CHOOSE( CONTROL!$C$36, 22.8879, 22.8868) * CHOOSE(CONTROL!$C$19, $D$11, 100%, $F$11)</f>
        <v>22.887899999999998</v>
      </c>
      <c r="G701" s="8">
        <f>CHOOSE( CONTROL!$C$36, 21.9653, 21.9643) * CHOOSE( CONTROL!$C$19, $D$11, 100%, $F$11)</f>
        <v>21.965299999999999</v>
      </c>
      <c r="H701" s="4">
        <f>CHOOSE( CONTROL!$C$36, 22.8424, 22.8414) * CHOOSE(CONTROL!$C$19, $D$11, 100%, $F$11)</f>
        <v>22.842400000000001</v>
      </c>
      <c r="I701" s="8">
        <f>CHOOSE( CONTROL!$C$36, 21.7153, 21.7142) * CHOOSE(CONTROL!$C$19, $D$11, 100%, $F$11)</f>
        <v>21.715299999999999</v>
      </c>
      <c r="J701" s="4">
        <f>CHOOSE( CONTROL!$C$36, 21.5407, 21.5396) * CHOOSE(CONTROL!$C$19, $D$11, 100%, $F$11)</f>
        <v>21.540700000000001</v>
      </c>
      <c r="K701" s="4"/>
      <c r="L701" s="9">
        <v>29.306000000000001</v>
      </c>
      <c r="M701" s="9">
        <v>12.063700000000001</v>
      </c>
      <c r="N701" s="9">
        <v>4.9444999999999997</v>
      </c>
      <c r="O701" s="9">
        <v>0.37409999999999999</v>
      </c>
      <c r="P701" s="9">
        <v>1.2927</v>
      </c>
      <c r="Q701" s="9">
        <v>19.688099999999999</v>
      </c>
      <c r="R701" s="9"/>
      <c r="S701" s="11"/>
    </row>
    <row r="702" spans="1:19" ht="15.75">
      <c r="A702" s="13">
        <v>62517</v>
      </c>
      <c r="B702" s="8">
        <f>CHOOSE( CONTROL!$C$36, 20.7906, 20.7895) * CHOOSE(CONTROL!$C$19, $D$11, 100%, $F$11)</f>
        <v>20.790600000000001</v>
      </c>
      <c r="C702" s="8">
        <f>CHOOSE( CONTROL!$C$36, 20.7957, 20.7946) * CHOOSE(CONTROL!$C$19, $D$11, 100%, $F$11)</f>
        <v>20.7957</v>
      </c>
      <c r="D702" s="8">
        <f>CHOOSE( CONTROL!$C$36, 20.7968, 20.7957) * CHOOSE( CONTROL!$C$19, $D$11, 100%, $F$11)</f>
        <v>20.796800000000001</v>
      </c>
      <c r="E702" s="12">
        <f>CHOOSE( CONTROL!$C$36, 20.7959, 20.7948) * CHOOSE( CONTROL!$C$19, $D$11, 100%, $F$11)</f>
        <v>20.7959</v>
      </c>
      <c r="F702" s="4">
        <f>CHOOSE( CONTROL!$C$36, 21.4498, 21.4487) * CHOOSE(CONTROL!$C$19, $D$11, 100%, $F$11)</f>
        <v>21.4498</v>
      </c>
      <c r="G702" s="8">
        <f>CHOOSE( CONTROL!$C$36, 20.5472, 20.5461) * CHOOSE( CONTROL!$C$19, $D$11, 100%, $F$11)</f>
        <v>20.5472</v>
      </c>
      <c r="H702" s="4">
        <f>CHOOSE( CONTROL!$C$36, 21.4244, 21.4233) * CHOOSE(CONTROL!$C$19, $D$11, 100%, $F$11)</f>
        <v>21.424399999999999</v>
      </c>
      <c r="I702" s="8">
        <f>CHOOSE( CONTROL!$C$36, 20.3217, 20.3206) * CHOOSE(CONTROL!$C$19, $D$11, 100%, $F$11)</f>
        <v>20.3217</v>
      </c>
      <c r="J702" s="4">
        <f>CHOOSE( CONTROL!$C$36, 20.1482, 20.1471) * CHOOSE(CONTROL!$C$19, $D$11, 100%, $F$11)</f>
        <v>20.148199999999999</v>
      </c>
      <c r="K702" s="4"/>
      <c r="L702" s="9">
        <v>26.469899999999999</v>
      </c>
      <c r="M702" s="9">
        <v>10.8962</v>
      </c>
      <c r="N702" s="9">
        <v>4.4660000000000002</v>
      </c>
      <c r="O702" s="9">
        <v>0.33789999999999998</v>
      </c>
      <c r="P702" s="9">
        <v>1.1676</v>
      </c>
      <c r="Q702" s="9">
        <v>17.782800000000002</v>
      </c>
      <c r="R702" s="9"/>
      <c r="S702" s="11"/>
    </row>
    <row r="703" spans="1:19" ht="15.75">
      <c r="A703" s="13">
        <v>62548</v>
      </c>
      <c r="B703" s="8">
        <f>CHOOSE( CONTROL!$C$36, 20.3476, 20.3466) * CHOOSE(CONTROL!$C$19, $D$11, 100%, $F$11)</f>
        <v>20.3476</v>
      </c>
      <c r="C703" s="8">
        <f>CHOOSE( CONTROL!$C$36, 20.3527, 20.3517) * CHOOSE(CONTROL!$C$19, $D$11, 100%, $F$11)</f>
        <v>20.352699999999999</v>
      </c>
      <c r="D703" s="8">
        <f>CHOOSE( CONTROL!$C$36, 20.3533, 20.3522) * CHOOSE( CONTROL!$C$19, $D$11, 100%, $F$11)</f>
        <v>20.353300000000001</v>
      </c>
      <c r="E703" s="12">
        <f>CHOOSE( CONTROL!$C$36, 20.3525, 20.3515) * CHOOSE( CONTROL!$C$19, $D$11, 100%, $F$11)</f>
        <v>20.352499999999999</v>
      </c>
      <c r="F703" s="4">
        <f>CHOOSE( CONTROL!$C$36, 21.0069, 21.0058) * CHOOSE(CONTROL!$C$19, $D$11, 100%, $F$11)</f>
        <v>21.006900000000002</v>
      </c>
      <c r="G703" s="8">
        <f>CHOOSE( CONTROL!$C$36, 20.11, 20.1089) * CHOOSE( CONTROL!$C$19, $D$11, 100%, $F$11)</f>
        <v>20.11</v>
      </c>
      <c r="H703" s="4">
        <f>CHOOSE( CONTROL!$C$36, 20.9877, 20.9866) * CHOOSE(CONTROL!$C$19, $D$11, 100%, $F$11)</f>
        <v>20.9877</v>
      </c>
      <c r="I703" s="8">
        <f>CHOOSE( CONTROL!$C$36, 19.8906, 19.8895) * CHOOSE(CONTROL!$C$19, $D$11, 100%, $F$11)</f>
        <v>19.890599999999999</v>
      </c>
      <c r="J703" s="4">
        <f>CHOOSE( CONTROL!$C$36, 19.7193, 19.7182) * CHOOSE(CONTROL!$C$19, $D$11, 100%, $F$11)</f>
        <v>19.7193</v>
      </c>
      <c r="K703" s="4"/>
      <c r="L703" s="9">
        <v>29.306000000000001</v>
      </c>
      <c r="M703" s="9">
        <v>12.063700000000001</v>
      </c>
      <c r="N703" s="9">
        <v>4.9444999999999997</v>
      </c>
      <c r="O703" s="9">
        <v>0.37409999999999999</v>
      </c>
      <c r="P703" s="9">
        <v>1.2927</v>
      </c>
      <c r="Q703" s="9">
        <v>19.688099999999999</v>
      </c>
      <c r="R703" s="9"/>
      <c r="S703" s="11"/>
    </row>
    <row r="704" spans="1:19" ht="15.75">
      <c r="A704" s="13">
        <v>62578</v>
      </c>
      <c r="B704" s="8">
        <f>CHOOSE( CONTROL!$C$36, 20.6579, 20.6568) * CHOOSE(CONTROL!$C$19, $D$11, 100%, $F$11)</f>
        <v>20.657900000000001</v>
      </c>
      <c r="C704" s="8">
        <f>CHOOSE( CONTROL!$C$36, 20.6624, 20.6614) * CHOOSE(CONTROL!$C$19, $D$11, 100%, $F$11)</f>
        <v>20.662400000000002</v>
      </c>
      <c r="D704" s="8">
        <f>CHOOSE( CONTROL!$C$36, 20.6828, 20.6817) * CHOOSE( CONTROL!$C$19, $D$11, 100%, $F$11)</f>
        <v>20.6828</v>
      </c>
      <c r="E704" s="12">
        <f>CHOOSE( CONTROL!$C$36, 20.6755, 20.6745) * CHOOSE( CONTROL!$C$19, $D$11, 100%, $F$11)</f>
        <v>20.6755</v>
      </c>
      <c r="F704" s="4">
        <f>CHOOSE( CONTROL!$C$36, 21.3923, 21.3912) * CHOOSE(CONTROL!$C$19, $D$11, 100%, $F$11)</f>
        <v>21.392299999999999</v>
      </c>
      <c r="G704" s="8">
        <f>CHOOSE( CONTROL!$C$36, 20.4233, 20.4222) * CHOOSE( CONTROL!$C$19, $D$11, 100%, $F$11)</f>
        <v>20.423300000000001</v>
      </c>
      <c r="H704" s="4">
        <f>CHOOSE( CONTROL!$C$36, 21.3677, 21.3666) * CHOOSE(CONTROL!$C$19, $D$11, 100%, $F$11)</f>
        <v>21.367699999999999</v>
      </c>
      <c r="I704" s="8">
        <f>CHOOSE( CONTROL!$C$36, 20.1599, 20.1589) * CHOOSE(CONTROL!$C$19, $D$11, 100%, $F$11)</f>
        <v>20.1599</v>
      </c>
      <c r="J704" s="4">
        <f>CHOOSE( CONTROL!$C$36, 20.019, 20.0179) * CHOOSE(CONTROL!$C$19, $D$11, 100%, $F$11)</f>
        <v>20.018999999999998</v>
      </c>
      <c r="K704" s="4"/>
      <c r="L704" s="9">
        <v>30.092199999999998</v>
      </c>
      <c r="M704" s="9">
        <v>11.6745</v>
      </c>
      <c r="N704" s="9">
        <v>4.7850000000000001</v>
      </c>
      <c r="O704" s="9">
        <v>0.36199999999999999</v>
      </c>
      <c r="P704" s="9">
        <v>1.2509999999999999</v>
      </c>
      <c r="Q704" s="9">
        <v>19.053000000000001</v>
      </c>
      <c r="R704" s="9"/>
      <c r="S704" s="11"/>
    </row>
    <row r="705" spans="1:19" ht="15.75">
      <c r="A705" s="13">
        <v>62609</v>
      </c>
      <c r="B705" s="8">
        <f>CHOOSE( CONTROL!$C$36, 21.2107, 21.209) * CHOOSE(CONTROL!$C$19, $D$11, 100%, $F$11)</f>
        <v>21.210699999999999</v>
      </c>
      <c r="C705" s="8">
        <f>CHOOSE( CONTROL!$C$36, 21.2187, 21.217) * CHOOSE(CONTROL!$C$19, $D$11, 100%, $F$11)</f>
        <v>21.218699999999998</v>
      </c>
      <c r="D705" s="8">
        <f>CHOOSE( CONTROL!$C$36, 21.2329, 21.2312) * CHOOSE( CONTROL!$C$19, $D$11, 100%, $F$11)</f>
        <v>21.232900000000001</v>
      </c>
      <c r="E705" s="12">
        <f>CHOOSE( CONTROL!$C$36, 21.2265, 21.2248) * CHOOSE( CONTROL!$C$19, $D$11, 100%, $F$11)</f>
        <v>21.226500000000001</v>
      </c>
      <c r="F705" s="4">
        <f>CHOOSE( CONTROL!$C$36, 21.9437, 21.9421) * CHOOSE(CONTROL!$C$19, $D$11, 100%, $F$11)</f>
        <v>21.9437</v>
      </c>
      <c r="G705" s="8">
        <f>CHOOSE( CONTROL!$C$36, 20.967, 20.9653) * CHOOSE( CONTROL!$C$19, $D$11, 100%, $F$11)</f>
        <v>20.966999999999999</v>
      </c>
      <c r="H705" s="4">
        <f>CHOOSE( CONTROL!$C$36, 21.9114, 21.9098) * CHOOSE(CONTROL!$C$19, $D$11, 100%, $F$11)</f>
        <v>21.9114</v>
      </c>
      <c r="I705" s="8">
        <f>CHOOSE( CONTROL!$C$36, 20.6937, 20.6921) * CHOOSE(CONTROL!$C$19, $D$11, 100%, $F$11)</f>
        <v>20.6937</v>
      </c>
      <c r="J705" s="4">
        <f>CHOOSE( CONTROL!$C$36, 20.5529, 20.5513) * CHOOSE(CONTROL!$C$19, $D$11, 100%, $F$11)</f>
        <v>20.552900000000001</v>
      </c>
      <c r="K705" s="4"/>
      <c r="L705" s="9">
        <v>30.7165</v>
      </c>
      <c r="M705" s="9">
        <v>12.063700000000001</v>
      </c>
      <c r="N705" s="9">
        <v>4.9444999999999997</v>
      </c>
      <c r="O705" s="9">
        <v>0.37409999999999999</v>
      </c>
      <c r="P705" s="9">
        <v>1.2927</v>
      </c>
      <c r="Q705" s="9">
        <v>19.688099999999999</v>
      </c>
      <c r="R705" s="9"/>
      <c r="S705" s="11"/>
    </row>
    <row r="706" spans="1:19" ht="15.75">
      <c r="A706" s="13">
        <v>62639</v>
      </c>
      <c r="B706" s="8">
        <f>CHOOSE( CONTROL!$C$36, 20.8695, 20.8678) * CHOOSE(CONTROL!$C$19, $D$11, 100%, $F$11)</f>
        <v>20.869499999999999</v>
      </c>
      <c r="C706" s="8">
        <f>CHOOSE( CONTROL!$C$36, 20.8775, 20.8758) * CHOOSE(CONTROL!$C$19, $D$11, 100%, $F$11)</f>
        <v>20.877500000000001</v>
      </c>
      <c r="D706" s="8">
        <f>CHOOSE( CONTROL!$C$36, 20.8919, 20.8902) * CHOOSE( CONTROL!$C$19, $D$11, 100%, $F$11)</f>
        <v>20.8919</v>
      </c>
      <c r="E706" s="12">
        <f>CHOOSE( CONTROL!$C$36, 20.8855, 20.8838) * CHOOSE( CONTROL!$C$19, $D$11, 100%, $F$11)</f>
        <v>20.8855</v>
      </c>
      <c r="F706" s="4">
        <f>CHOOSE( CONTROL!$C$36, 21.6025, 21.6008) * CHOOSE(CONTROL!$C$19, $D$11, 100%, $F$11)</f>
        <v>21.602499999999999</v>
      </c>
      <c r="G706" s="8">
        <f>CHOOSE( CONTROL!$C$36, 20.6306, 20.629) * CHOOSE( CONTROL!$C$19, $D$11, 100%, $F$11)</f>
        <v>20.630600000000001</v>
      </c>
      <c r="H706" s="4">
        <f>CHOOSE( CONTROL!$C$36, 21.575, 21.5733) * CHOOSE(CONTROL!$C$19, $D$11, 100%, $F$11)</f>
        <v>21.574999999999999</v>
      </c>
      <c r="I706" s="8">
        <f>CHOOSE( CONTROL!$C$36, 20.3638, 20.3622) * CHOOSE(CONTROL!$C$19, $D$11, 100%, $F$11)</f>
        <v>20.363800000000001</v>
      </c>
      <c r="J706" s="4">
        <f>CHOOSE( CONTROL!$C$36, 20.2225, 20.2209) * CHOOSE(CONTROL!$C$19, $D$11, 100%, $F$11)</f>
        <v>20.2225</v>
      </c>
      <c r="K706" s="4"/>
      <c r="L706" s="9">
        <v>29.7257</v>
      </c>
      <c r="M706" s="9">
        <v>11.6745</v>
      </c>
      <c r="N706" s="9">
        <v>4.7850000000000001</v>
      </c>
      <c r="O706" s="9">
        <v>0.36199999999999999</v>
      </c>
      <c r="P706" s="9">
        <v>1.2509999999999999</v>
      </c>
      <c r="Q706" s="9">
        <v>19.053000000000001</v>
      </c>
      <c r="R706" s="9"/>
      <c r="S706" s="11"/>
    </row>
    <row r="707" spans="1:19" ht="15.75">
      <c r="A707" s="13">
        <v>62670</v>
      </c>
      <c r="B707" s="8">
        <f>CHOOSE( CONTROL!$C$36, 21.7681, 21.7664) * CHOOSE(CONTROL!$C$19, $D$11, 100%, $F$11)</f>
        <v>21.7681</v>
      </c>
      <c r="C707" s="8">
        <f>CHOOSE( CONTROL!$C$36, 21.7761, 21.7744) * CHOOSE(CONTROL!$C$19, $D$11, 100%, $F$11)</f>
        <v>21.7761</v>
      </c>
      <c r="D707" s="8">
        <f>CHOOSE( CONTROL!$C$36, 21.7907, 21.789) * CHOOSE( CONTROL!$C$19, $D$11, 100%, $F$11)</f>
        <v>21.790700000000001</v>
      </c>
      <c r="E707" s="12">
        <f>CHOOSE( CONTROL!$C$36, 21.7842, 21.7825) * CHOOSE( CONTROL!$C$19, $D$11, 100%, $F$11)</f>
        <v>21.784199999999998</v>
      </c>
      <c r="F707" s="4">
        <f>CHOOSE( CONTROL!$C$36, 22.5011, 22.4994) * CHOOSE(CONTROL!$C$19, $D$11, 100%, $F$11)</f>
        <v>22.501100000000001</v>
      </c>
      <c r="G707" s="8">
        <f>CHOOSE( CONTROL!$C$36, 21.5169, 21.5153) * CHOOSE( CONTROL!$C$19, $D$11, 100%, $F$11)</f>
        <v>21.5169</v>
      </c>
      <c r="H707" s="4">
        <f>CHOOSE( CONTROL!$C$36, 22.461, 22.4594) * CHOOSE(CONTROL!$C$19, $D$11, 100%, $F$11)</f>
        <v>22.460999999999999</v>
      </c>
      <c r="I707" s="8">
        <f>CHOOSE( CONTROL!$C$36, 21.2352, 21.2336) * CHOOSE(CONTROL!$C$19, $D$11, 100%, $F$11)</f>
        <v>21.235199999999999</v>
      </c>
      <c r="J707" s="4">
        <f>CHOOSE( CONTROL!$C$36, 21.0926, 21.091) * CHOOSE(CONTROL!$C$19, $D$11, 100%, $F$11)</f>
        <v>21.092600000000001</v>
      </c>
      <c r="K707" s="4"/>
      <c r="L707" s="9">
        <v>30.7165</v>
      </c>
      <c r="M707" s="9">
        <v>12.063700000000001</v>
      </c>
      <c r="N707" s="9">
        <v>4.9444999999999997</v>
      </c>
      <c r="O707" s="9">
        <v>0.37409999999999999</v>
      </c>
      <c r="P707" s="9">
        <v>1.2927</v>
      </c>
      <c r="Q707" s="9">
        <v>19.688099999999999</v>
      </c>
      <c r="R707" s="9"/>
      <c r="S707" s="11"/>
    </row>
    <row r="708" spans="1:19" ht="15.75">
      <c r="A708" s="13">
        <v>62701</v>
      </c>
      <c r="B708" s="8">
        <f>CHOOSE( CONTROL!$C$36, 20.0867, 20.085) * CHOOSE(CONTROL!$C$19, $D$11, 100%, $F$11)</f>
        <v>20.0867</v>
      </c>
      <c r="C708" s="8">
        <f>CHOOSE( CONTROL!$C$36, 20.0947, 20.093) * CHOOSE(CONTROL!$C$19, $D$11, 100%, $F$11)</f>
        <v>20.0947</v>
      </c>
      <c r="D708" s="8">
        <f>CHOOSE( CONTROL!$C$36, 20.1094, 20.1077) * CHOOSE( CONTROL!$C$19, $D$11, 100%, $F$11)</f>
        <v>20.109400000000001</v>
      </c>
      <c r="E708" s="12">
        <f>CHOOSE( CONTROL!$C$36, 20.1029, 20.1012) * CHOOSE( CONTROL!$C$19, $D$11, 100%, $F$11)</f>
        <v>20.102900000000002</v>
      </c>
      <c r="F708" s="4">
        <f>CHOOSE( CONTROL!$C$36, 20.8197, 20.8181) * CHOOSE(CONTROL!$C$19, $D$11, 100%, $F$11)</f>
        <v>20.819700000000001</v>
      </c>
      <c r="G708" s="8">
        <f>CHOOSE( CONTROL!$C$36, 19.859, 19.8574) * CHOOSE( CONTROL!$C$19, $D$11, 100%, $F$11)</f>
        <v>19.859000000000002</v>
      </c>
      <c r="H708" s="4">
        <f>CHOOSE( CONTROL!$C$36, 20.8031, 20.8015) * CHOOSE(CONTROL!$C$19, $D$11, 100%, $F$11)</f>
        <v>20.803100000000001</v>
      </c>
      <c r="I708" s="8">
        <f>CHOOSE( CONTROL!$C$36, 19.6065, 19.6049) * CHOOSE(CONTROL!$C$19, $D$11, 100%, $F$11)</f>
        <v>19.6065</v>
      </c>
      <c r="J708" s="4">
        <f>CHOOSE( CONTROL!$C$36, 19.4645, 19.4629) * CHOOSE(CONTROL!$C$19, $D$11, 100%, $F$11)</f>
        <v>19.464500000000001</v>
      </c>
      <c r="K708" s="4"/>
      <c r="L708" s="9">
        <v>30.7165</v>
      </c>
      <c r="M708" s="9">
        <v>12.063700000000001</v>
      </c>
      <c r="N708" s="9">
        <v>4.9444999999999997</v>
      </c>
      <c r="O708" s="9">
        <v>0.37409999999999999</v>
      </c>
      <c r="P708" s="9">
        <v>1.2927</v>
      </c>
      <c r="Q708" s="9">
        <v>19.688099999999999</v>
      </c>
      <c r="R708" s="9"/>
      <c r="S708" s="11"/>
    </row>
    <row r="709" spans="1:19" ht="15.75">
      <c r="A709" s="13">
        <v>62731</v>
      </c>
      <c r="B709" s="8">
        <f>CHOOSE( CONTROL!$C$36, 19.6657, 19.664) * CHOOSE(CONTROL!$C$19, $D$11, 100%, $F$11)</f>
        <v>19.665700000000001</v>
      </c>
      <c r="C709" s="8">
        <f>CHOOSE( CONTROL!$C$36, 19.6737, 19.672) * CHOOSE(CONTROL!$C$19, $D$11, 100%, $F$11)</f>
        <v>19.6737</v>
      </c>
      <c r="D709" s="8">
        <f>CHOOSE( CONTROL!$C$36, 19.6882, 19.6866) * CHOOSE( CONTROL!$C$19, $D$11, 100%, $F$11)</f>
        <v>19.688199999999998</v>
      </c>
      <c r="E709" s="12">
        <f>CHOOSE( CONTROL!$C$36, 19.6817, 19.6801) * CHOOSE( CONTROL!$C$19, $D$11, 100%, $F$11)</f>
        <v>19.681699999999999</v>
      </c>
      <c r="F709" s="4">
        <f>CHOOSE( CONTROL!$C$36, 20.3987, 20.397) * CHOOSE(CONTROL!$C$19, $D$11, 100%, $F$11)</f>
        <v>20.398700000000002</v>
      </c>
      <c r="G709" s="8">
        <f>CHOOSE( CONTROL!$C$36, 19.4438, 19.4422) * CHOOSE( CONTROL!$C$19, $D$11, 100%, $F$11)</f>
        <v>19.4438</v>
      </c>
      <c r="H709" s="4">
        <f>CHOOSE( CONTROL!$C$36, 20.3879, 20.3863) * CHOOSE(CONTROL!$C$19, $D$11, 100%, $F$11)</f>
        <v>20.387899999999998</v>
      </c>
      <c r="I709" s="8">
        <f>CHOOSE( CONTROL!$C$36, 19.1983, 19.1967) * CHOOSE(CONTROL!$C$19, $D$11, 100%, $F$11)</f>
        <v>19.1983</v>
      </c>
      <c r="J709" s="4">
        <f>CHOOSE( CONTROL!$C$36, 19.0569, 19.0552) * CHOOSE(CONTROL!$C$19, $D$11, 100%, $F$11)</f>
        <v>19.056899999999999</v>
      </c>
      <c r="K709" s="4"/>
      <c r="L709" s="9">
        <v>29.7257</v>
      </c>
      <c r="M709" s="9">
        <v>11.6745</v>
      </c>
      <c r="N709" s="9">
        <v>4.7850000000000001</v>
      </c>
      <c r="O709" s="9">
        <v>0.36199999999999999</v>
      </c>
      <c r="P709" s="9">
        <v>1.2509999999999999</v>
      </c>
      <c r="Q709" s="9">
        <v>19.053000000000001</v>
      </c>
      <c r="R709" s="9"/>
      <c r="S709" s="11"/>
    </row>
    <row r="710" spans="1:19" ht="15.75">
      <c r="A710" s="13">
        <v>62762</v>
      </c>
      <c r="B710" s="8">
        <f>CHOOSE( CONTROL!$C$36, 20.5376, 20.5365) * CHOOSE(CONTROL!$C$19, $D$11, 100%, $F$11)</f>
        <v>20.537600000000001</v>
      </c>
      <c r="C710" s="8">
        <f>CHOOSE( CONTROL!$C$36, 20.5429, 20.5418) * CHOOSE(CONTROL!$C$19, $D$11, 100%, $F$11)</f>
        <v>20.542899999999999</v>
      </c>
      <c r="D710" s="8">
        <f>CHOOSE( CONTROL!$C$36, 20.5634, 20.5623) * CHOOSE( CONTROL!$C$19, $D$11, 100%, $F$11)</f>
        <v>20.563400000000001</v>
      </c>
      <c r="E710" s="12">
        <f>CHOOSE( CONTROL!$C$36, 20.5561, 20.555) * CHOOSE( CONTROL!$C$19, $D$11, 100%, $F$11)</f>
        <v>20.556100000000001</v>
      </c>
      <c r="F710" s="4">
        <f>CHOOSE( CONTROL!$C$36, 21.2723, 21.2712) * CHOOSE(CONTROL!$C$19, $D$11, 100%, $F$11)</f>
        <v>21.272300000000001</v>
      </c>
      <c r="G710" s="8">
        <f>CHOOSE( CONTROL!$C$36, 20.3055, 20.3044) * CHOOSE( CONTROL!$C$19, $D$11, 100%, $F$11)</f>
        <v>20.305499999999999</v>
      </c>
      <c r="H710" s="4">
        <f>CHOOSE( CONTROL!$C$36, 21.2494, 21.2483) * CHOOSE(CONTROL!$C$19, $D$11, 100%, $F$11)</f>
        <v>21.249400000000001</v>
      </c>
      <c r="I710" s="8">
        <f>CHOOSE( CONTROL!$C$36, 20.0457, 20.0446) * CHOOSE(CONTROL!$C$19, $D$11, 100%, $F$11)</f>
        <v>20.0457</v>
      </c>
      <c r="J710" s="4">
        <f>CHOOSE( CONTROL!$C$36, 19.9028, 19.9017) * CHOOSE(CONTROL!$C$19, $D$11, 100%, $F$11)</f>
        <v>19.902799999999999</v>
      </c>
      <c r="K710" s="4"/>
      <c r="L710" s="9">
        <v>31.095300000000002</v>
      </c>
      <c r="M710" s="9">
        <v>12.063700000000001</v>
      </c>
      <c r="N710" s="9">
        <v>4.9444999999999997</v>
      </c>
      <c r="O710" s="9">
        <v>0.37409999999999999</v>
      </c>
      <c r="P710" s="9">
        <v>1.2927</v>
      </c>
      <c r="Q710" s="9">
        <v>19.688099999999999</v>
      </c>
      <c r="R710" s="9"/>
      <c r="S710" s="11"/>
    </row>
    <row r="711" spans="1:19" ht="15.75">
      <c r="A711" s="13">
        <v>62792</v>
      </c>
      <c r="B711" s="8">
        <f>CHOOSE( CONTROL!$C$36, 22.1508, 22.1497) * CHOOSE(CONTROL!$C$19, $D$11, 100%, $F$11)</f>
        <v>22.1508</v>
      </c>
      <c r="C711" s="8">
        <f>CHOOSE( CONTROL!$C$36, 22.1559, 22.1548) * CHOOSE(CONTROL!$C$19, $D$11, 100%, $F$11)</f>
        <v>22.155899999999999</v>
      </c>
      <c r="D711" s="8">
        <f>CHOOSE( CONTROL!$C$36, 22.1351, 22.134) * CHOOSE( CONTROL!$C$19, $D$11, 100%, $F$11)</f>
        <v>22.135100000000001</v>
      </c>
      <c r="E711" s="12">
        <f>CHOOSE( CONTROL!$C$36, 22.1422, 22.1411) * CHOOSE( CONTROL!$C$19, $D$11, 100%, $F$11)</f>
        <v>22.142199999999999</v>
      </c>
      <c r="F711" s="4">
        <f>CHOOSE( CONTROL!$C$36, 22.81, 22.809) * CHOOSE(CONTROL!$C$19, $D$11, 100%, $F$11)</f>
        <v>22.81</v>
      </c>
      <c r="G711" s="8">
        <f>CHOOSE( CONTROL!$C$36, 21.8765, 21.8754) * CHOOSE( CONTROL!$C$19, $D$11, 100%, $F$11)</f>
        <v>21.8765</v>
      </c>
      <c r="H711" s="4">
        <f>CHOOSE( CONTROL!$C$36, 22.7657, 22.7646) * CHOOSE(CONTROL!$C$19, $D$11, 100%, $F$11)</f>
        <v>22.765699999999999</v>
      </c>
      <c r="I711" s="8">
        <f>CHOOSE( CONTROL!$C$36, 21.658, 21.657) * CHOOSE(CONTROL!$C$19, $D$11, 100%, $F$11)</f>
        <v>21.658000000000001</v>
      </c>
      <c r="J711" s="4">
        <f>CHOOSE( CONTROL!$C$36, 21.4653, 21.4642) * CHOOSE(CONTROL!$C$19, $D$11, 100%, $F$11)</f>
        <v>21.465299999999999</v>
      </c>
      <c r="K711" s="4"/>
      <c r="L711" s="9">
        <v>28.360600000000002</v>
      </c>
      <c r="M711" s="9">
        <v>11.6745</v>
      </c>
      <c r="N711" s="9">
        <v>4.7850000000000001</v>
      </c>
      <c r="O711" s="9">
        <v>0.36199999999999999</v>
      </c>
      <c r="P711" s="9">
        <v>1.2509999999999999</v>
      </c>
      <c r="Q711" s="9">
        <v>19.053000000000001</v>
      </c>
      <c r="R711" s="9"/>
      <c r="S711" s="11"/>
    </row>
    <row r="712" spans="1:19" ht="15.75">
      <c r="A712" s="13">
        <v>62823</v>
      </c>
      <c r="B712" s="8">
        <f>CHOOSE( CONTROL!$C$36, 22.1105, 22.1094) * CHOOSE(CONTROL!$C$19, $D$11, 100%, $F$11)</f>
        <v>22.110499999999998</v>
      </c>
      <c r="C712" s="8">
        <f>CHOOSE( CONTROL!$C$36, 22.1156, 22.1145) * CHOOSE(CONTROL!$C$19, $D$11, 100%, $F$11)</f>
        <v>22.115600000000001</v>
      </c>
      <c r="D712" s="8">
        <f>CHOOSE( CONTROL!$C$36, 22.0962, 22.0951) * CHOOSE( CONTROL!$C$19, $D$11, 100%, $F$11)</f>
        <v>22.0962</v>
      </c>
      <c r="E712" s="12">
        <f>CHOOSE( CONTROL!$C$36, 22.1028, 22.1017) * CHOOSE( CONTROL!$C$19, $D$11, 100%, $F$11)</f>
        <v>22.102799999999998</v>
      </c>
      <c r="F712" s="4">
        <f>CHOOSE( CONTROL!$C$36, 22.7697, 22.7686) * CHOOSE(CONTROL!$C$19, $D$11, 100%, $F$11)</f>
        <v>22.7697</v>
      </c>
      <c r="G712" s="8">
        <f>CHOOSE( CONTROL!$C$36, 21.8377, 21.8367) * CHOOSE( CONTROL!$C$19, $D$11, 100%, $F$11)</f>
        <v>21.837700000000002</v>
      </c>
      <c r="H712" s="4">
        <f>CHOOSE( CONTROL!$C$36, 22.7259, 22.7248) * CHOOSE(CONTROL!$C$19, $D$11, 100%, $F$11)</f>
        <v>22.725899999999999</v>
      </c>
      <c r="I712" s="8">
        <f>CHOOSE( CONTROL!$C$36, 21.6233, 21.6222) * CHOOSE(CONTROL!$C$19, $D$11, 100%, $F$11)</f>
        <v>21.6233</v>
      </c>
      <c r="J712" s="4">
        <f>CHOOSE( CONTROL!$C$36, 21.4262, 21.4252) * CHOOSE(CONTROL!$C$19, $D$11, 100%, $F$11)</f>
        <v>21.426200000000001</v>
      </c>
      <c r="K712" s="4"/>
      <c r="L712" s="9">
        <v>29.306000000000001</v>
      </c>
      <c r="M712" s="9">
        <v>12.063700000000001</v>
      </c>
      <c r="N712" s="9">
        <v>4.9444999999999997</v>
      </c>
      <c r="O712" s="9">
        <v>0.37409999999999999</v>
      </c>
      <c r="P712" s="9">
        <v>1.2927</v>
      </c>
      <c r="Q712" s="9">
        <v>19.688099999999999</v>
      </c>
      <c r="R712" s="9"/>
      <c r="S712" s="11"/>
    </row>
    <row r="713" spans="1:19" ht="15.75">
      <c r="A713" s="13">
        <v>62854</v>
      </c>
      <c r="B713" s="8">
        <f>CHOOSE( CONTROL!$C$36, 22.7631, 22.7621) * CHOOSE(CONTROL!$C$19, $D$11, 100%, $F$11)</f>
        <v>22.763100000000001</v>
      </c>
      <c r="C713" s="8">
        <f>CHOOSE( CONTROL!$C$36, 22.7682, 22.7672) * CHOOSE(CONTROL!$C$19, $D$11, 100%, $F$11)</f>
        <v>22.7682</v>
      </c>
      <c r="D713" s="8">
        <f>CHOOSE( CONTROL!$C$36, 22.7695, 22.7684) * CHOOSE( CONTROL!$C$19, $D$11, 100%, $F$11)</f>
        <v>22.769500000000001</v>
      </c>
      <c r="E713" s="12">
        <f>CHOOSE( CONTROL!$C$36, 22.7685, 22.7674) * CHOOSE( CONTROL!$C$19, $D$11, 100%, $F$11)</f>
        <v>22.7685</v>
      </c>
      <c r="F713" s="4">
        <f>CHOOSE( CONTROL!$C$36, 23.4224, 23.4213) * CHOOSE(CONTROL!$C$19, $D$11, 100%, $F$11)</f>
        <v>23.4224</v>
      </c>
      <c r="G713" s="8">
        <f>CHOOSE( CONTROL!$C$36, 22.4924, 22.4913) * CHOOSE( CONTROL!$C$19, $D$11, 100%, $F$11)</f>
        <v>22.4924</v>
      </c>
      <c r="H713" s="4">
        <f>CHOOSE( CONTROL!$C$36, 23.3695, 23.3684) * CHOOSE(CONTROL!$C$19, $D$11, 100%, $F$11)</f>
        <v>23.369499999999999</v>
      </c>
      <c r="I713" s="8">
        <f>CHOOSE( CONTROL!$C$36, 22.2331, 22.232) * CHOOSE(CONTROL!$C$19, $D$11, 100%, $F$11)</f>
        <v>22.2331</v>
      </c>
      <c r="J713" s="4">
        <f>CHOOSE( CONTROL!$C$36, 22.0582, 22.0572) * CHOOSE(CONTROL!$C$19, $D$11, 100%, $F$11)</f>
        <v>22.058199999999999</v>
      </c>
      <c r="K713" s="4"/>
      <c r="L713" s="9">
        <v>29.306000000000001</v>
      </c>
      <c r="M713" s="9">
        <v>12.063700000000001</v>
      </c>
      <c r="N713" s="9">
        <v>4.9444999999999997</v>
      </c>
      <c r="O713" s="9">
        <v>0.37409999999999999</v>
      </c>
      <c r="P713" s="9">
        <v>1.2927</v>
      </c>
      <c r="Q713" s="9">
        <v>19.688099999999999</v>
      </c>
      <c r="R713" s="9"/>
      <c r="S713" s="11"/>
    </row>
    <row r="714" spans="1:19" ht="15.75">
      <c r="A714" s="13">
        <v>62883</v>
      </c>
      <c r="B714" s="8">
        <f>CHOOSE( CONTROL!$C$36, 21.2905, 21.2894) * CHOOSE(CONTROL!$C$19, $D$11, 100%, $F$11)</f>
        <v>21.290500000000002</v>
      </c>
      <c r="C714" s="8">
        <f>CHOOSE( CONTROL!$C$36, 21.2956, 21.2945) * CHOOSE(CONTROL!$C$19, $D$11, 100%, $F$11)</f>
        <v>21.2956</v>
      </c>
      <c r="D714" s="8">
        <f>CHOOSE( CONTROL!$C$36, 21.2968, 21.2957) * CHOOSE( CONTROL!$C$19, $D$11, 100%, $F$11)</f>
        <v>21.296800000000001</v>
      </c>
      <c r="E714" s="12">
        <f>CHOOSE( CONTROL!$C$36, 21.2958, 21.2947) * CHOOSE( CONTROL!$C$19, $D$11, 100%, $F$11)</f>
        <v>21.2958</v>
      </c>
      <c r="F714" s="4">
        <f>CHOOSE( CONTROL!$C$36, 21.9498, 21.9487) * CHOOSE(CONTROL!$C$19, $D$11, 100%, $F$11)</f>
        <v>21.9498</v>
      </c>
      <c r="G714" s="8">
        <f>CHOOSE( CONTROL!$C$36, 21.0402, 21.0391) * CHOOSE( CONTROL!$C$19, $D$11, 100%, $F$11)</f>
        <v>21.040199999999999</v>
      </c>
      <c r="H714" s="4">
        <f>CHOOSE( CONTROL!$C$36, 21.9174, 21.9163) * CHOOSE(CONTROL!$C$19, $D$11, 100%, $F$11)</f>
        <v>21.917400000000001</v>
      </c>
      <c r="I714" s="8">
        <f>CHOOSE( CONTROL!$C$36, 20.806, 20.8049) * CHOOSE(CONTROL!$C$19, $D$11, 100%, $F$11)</f>
        <v>20.806000000000001</v>
      </c>
      <c r="J714" s="4">
        <f>CHOOSE( CONTROL!$C$36, 20.6322, 20.6312) * CHOOSE(CONTROL!$C$19, $D$11, 100%, $F$11)</f>
        <v>20.632200000000001</v>
      </c>
      <c r="K714" s="4"/>
      <c r="L714" s="9">
        <v>27.415299999999998</v>
      </c>
      <c r="M714" s="9">
        <v>11.285299999999999</v>
      </c>
      <c r="N714" s="9">
        <v>4.6254999999999997</v>
      </c>
      <c r="O714" s="9">
        <v>0.34989999999999999</v>
      </c>
      <c r="P714" s="9">
        <v>1.2093</v>
      </c>
      <c r="Q714" s="9">
        <v>18.417899999999999</v>
      </c>
      <c r="R714" s="9"/>
      <c r="S714" s="11"/>
    </row>
    <row r="715" spans="1:19" ht="15.75">
      <c r="A715" s="13">
        <v>62914</v>
      </c>
      <c r="B715" s="8">
        <f>CHOOSE( CONTROL!$C$36, 20.8369, 20.8358) * CHOOSE(CONTROL!$C$19, $D$11, 100%, $F$11)</f>
        <v>20.8369</v>
      </c>
      <c r="C715" s="8">
        <f>CHOOSE( CONTROL!$C$36, 20.842, 20.8409) * CHOOSE(CONTROL!$C$19, $D$11, 100%, $F$11)</f>
        <v>20.841999999999999</v>
      </c>
      <c r="D715" s="8">
        <f>CHOOSE( CONTROL!$C$36, 20.8425, 20.8415) * CHOOSE( CONTROL!$C$19, $D$11, 100%, $F$11)</f>
        <v>20.842500000000001</v>
      </c>
      <c r="E715" s="12">
        <f>CHOOSE( CONTROL!$C$36, 20.8418, 20.8407) * CHOOSE( CONTROL!$C$19, $D$11, 100%, $F$11)</f>
        <v>20.841799999999999</v>
      </c>
      <c r="F715" s="4">
        <f>CHOOSE( CONTROL!$C$36, 21.4962, 21.4951) * CHOOSE(CONTROL!$C$19, $D$11, 100%, $F$11)</f>
        <v>21.496200000000002</v>
      </c>
      <c r="G715" s="8">
        <f>CHOOSE( CONTROL!$C$36, 20.5925, 20.5914) * CHOOSE( CONTROL!$C$19, $D$11, 100%, $F$11)</f>
        <v>20.592500000000001</v>
      </c>
      <c r="H715" s="4">
        <f>CHOOSE( CONTROL!$C$36, 21.4701, 21.4691) * CHOOSE(CONTROL!$C$19, $D$11, 100%, $F$11)</f>
        <v>21.470099999999999</v>
      </c>
      <c r="I715" s="8">
        <f>CHOOSE( CONTROL!$C$36, 20.3646, 20.3635) * CHOOSE(CONTROL!$C$19, $D$11, 100%, $F$11)</f>
        <v>20.364599999999999</v>
      </c>
      <c r="J715" s="4">
        <f>CHOOSE( CONTROL!$C$36, 20.1931, 20.192) * CHOOSE(CONTROL!$C$19, $D$11, 100%, $F$11)</f>
        <v>20.193100000000001</v>
      </c>
      <c r="K715" s="4"/>
      <c r="L715" s="9">
        <v>29.306000000000001</v>
      </c>
      <c r="M715" s="9">
        <v>12.063700000000001</v>
      </c>
      <c r="N715" s="9">
        <v>4.9444999999999997</v>
      </c>
      <c r="O715" s="9">
        <v>0.37409999999999999</v>
      </c>
      <c r="P715" s="9">
        <v>1.2927</v>
      </c>
      <c r="Q715" s="9">
        <v>19.688099999999999</v>
      </c>
      <c r="R715" s="9"/>
      <c r="S715" s="11"/>
    </row>
    <row r="716" spans="1:19" ht="15.75">
      <c r="A716" s="13">
        <v>62944</v>
      </c>
      <c r="B716" s="8">
        <f>CHOOSE( CONTROL!$C$36, 21.1546, 21.1536) * CHOOSE(CONTROL!$C$19, $D$11, 100%, $F$11)</f>
        <v>21.154599999999999</v>
      </c>
      <c r="C716" s="8">
        <f>CHOOSE( CONTROL!$C$36, 21.1592, 21.1581) * CHOOSE(CONTROL!$C$19, $D$11, 100%, $F$11)</f>
        <v>21.159199999999998</v>
      </c>
      <c r="D716" s="8">
        <f>CHOOSE( CONTROL!$C$36, 21.1796, 21.1785) * CHOOSE( CONTROL!$C$19, $D$11, 100%, $F$11)</f>
        <v>21.179600000000001</v>
      </c>
      <c r="E716" s="12">
        <f>CHOOSE( CONTROL!$C$36, 21.1723, 21.1712) * CHOOSE( CONTROL!$C$19, $D$11, 100%, $F$11)</f>
        <v>21.1723</v>
      </c>
      <c r="F716" s="4">
        <f>CHOOSE( CONTROL!$C$36, 21.889, 21.8879) * CHOOSE(CONTROL!$C$19, $D$11, 100%, $F$11)</f>
        <v>21.888999999999999</v>
      </c>
      <c r="G716" s="8">
        <f>CHOOSE( CONTROL!$C$36, 20.9131, 20.912) * CHOOSE( CONTROL!$C$19, $D$11, 100%, $F$11)</f>
        <v>20.9131</v>
      </c>
      <c r="H716" s="4">
        <f>CHOOSE( CONTROL!$C$36, 21.8575, 21.8564) * CHOOSE(CONTROL!$C$19, $D$11, 100%, $F$11)</f>
        <v>21.857500000000002</v>
      </c>
      <c r="I716" s="8">
        <f>CHOOSE( CONTROL!$C$36, 20.6411, 20.6401) * CHOOSE(CONTROL!$C$19, $D$11, 100%, $F$11)</f>
        <v>20.641100000000002</v>
      </c>
      <c r="J716" s="4">
        <f>CHOOSE( CONTROL!$C$36, 20.5, 20.4989) * CHOOSE(CONTROL!$C$19, $D$11, 100%, $F$11)</f>
        <v>20.5</v>
      </c>
      <c r="K716" s="4"/>
      <c r="L716" s="9">
        <v>30.092199999999998</v>
      </c>
      <c r="M716" s="9">
        <v>11.6745</v>
      </c>
      <c r="N716" s="9">
        <v>4.7850000000000001</v>
      </c>
      <c r="O716" s="9">
        <v>0.36199999999999999</v>
      </c>
      <c r="P716" s="9">
        <v>1.2509999999999999</v>
      </c>
      <c r="Q716" s="9">
        <v>19.053000000000001</v>
      </c>
      <c r="R716" s="9"/>
      <c r="S716" s="11"/>
    </row>
    <row r="717" spans="1:19" ht="15.75">
      <c r="A717" s="13">
        <v>62975</v>
      </c>
      <c r="B717" s="8">
        <f>CHOOSE( CONTROL!$C$36, 21.7207, 21.719) * CHOOSE(CONTROL!$C$19, $D$11, 100%, $F$11)</f>
        <v>21.720700000000001</v>
      </c>
      <c r="C717" s="8">
        <f>CHOOSE( CONTROL!$C$36, 21.7287, 21.727) * CHOOSE(CONTROL!$C$19, $D$11, 100%, $F$11)</f>
        <v>21.7287</v>
      </c>
      <c r="D717" s="8">
        <f>CHOOSE( CONTROL!$C$36, 21.7429, 21.7412) * CHOOSE( CONTROL!$C$19, $D$11, 100%, $F$11)</f>
        <v>21.742899999999999</v>
      </c>
      <c r="E717" s="12">
        <f>CHOOSE( CONTROL!$C$36, 21.7365, 21.7348) * CHOOSE( CONTROL!$C$19, $D$11, 100%, $F$11)</f>
        <v>21.736499999999999</v>
      </c>
      <c r="F717" s="4">
        <f>CHOOSE( CONTROL!$C$36, 22.4537, 22.452) * CHOOSE(CONTROL!$C$19, $D$11, 100%, $F$11)</f>
        <v>22.453700000000001</v>
      </c>
      <c r="G717" s="8">
        <f>CHOOSE( CONTROL!$C$36, 21.4698, 21.4682) * CHOOSE( CONTROL!$C$19, $D$11, 100%, $F$11)</f>
        <v>21.469799999999999</v>
      </c>
      <c r="H717" s="4">
        <f>CHOOSE( CONTROL!$C$36, 22.4143, 22.4126) * CHOOSE(CONTROL!$C$19, $D$11, 100%, $F$11)</f>
        <v>22.414300000000001</v>
      </c>
      <c r="I717" s="8">
        <f>CHOOSE( CONTROL!$C$36, 21.1878, 21.1862) * CHOOSE(CONTROL!$C$19, $D$11, 100%, $F$11)</f>
        <v>21.187799999999999</v>
      </c>
      <c r="J717" s="4">
        <f>CHOOSE( CONTROL!$C$36, 21.0467, 21.0451) * CHOOSE(CONTROL!$C$19, $D$11, 100%, $F$11)</f>
        <v>21.046700000000001</v>
      </c>
      <c r="K717" s="4"/>
      <c r="L717" s="9">
        <v>30.7165</v>
      </c>
      <c r="M717" s="9">
        <v>12.063700000000001</v>
      </c>
      <c r="N717" s="9">
        <v>4.9444999999999997</v>
      </c>
      <c r="O717" s="9">
        <v>0.37409999999999999</v>
      </c>
      <c r="P717" s="9">
        <v>1.2927</v>
      </c>
      <c r="Q717" s="9">
        <v>19.688099999999999</v>
      </c>
      <c r="R717" s="9"/>
      <c r="S717" s="11"/>
    </row>
    <row r="718" spans="1:19" ht="15.75">
      <c r="A718" s="13">
        <v>63005</v>
      </c>
      <c r="B718" s="8">
        <f>CHOOSE( CONTROL!$C$36, 21.3712, 21.3696) * CHOOSE(CONTROL!$C$19, $D$11, 100%, $F$11)</f>
        <v>21.371200000000002</v>
      </c>
      <c r="C718" s="8">
        <f>CHOOSE( CONTROL!$C$36, 21.3792, 21.3776) * CHOOSE(CONTROL!$C$19, $D$11, 100%, $F$11)</f>
        <v>21.379200000000001</v>
      </c>
      <c r="D718" s="8">
        <f>CHOOSE( CONTROL!$C$36, 21.3936, 21.392) * CHOOSE( CONTROL!$C$19, $D$11, 100%, $F$11)</f>
        <v>21.393599999999999</v>
      </c>
      <c r="E718" s="12">
        <f>CHOOSE( CONTROL!$C$36, 21.3872, 21.3856) * CHOOSE( CONTROL!$C$19, $D$11, 100%, $F$11)</f>
        <v>21.3872</v>
      </c>
      <c r="F718" s="4">
        <f>CHOOSE( CONTROL!$C$36, 22.1043, 22.1026) * CHOOSE(CONTROL!$C$19, $D$11, 100%, $F$11)</f>
        <v>22.104299999999999</v>
      </c>
      <c r="G718" s="8">
        <f>CHOOSE( CONTROL!$C$36, 21.1254, 21.1238) * CHOOSE( CONTROL!$C$19, $D$11, 100%, $F$11)</f>
        <v>21.125399999999999</v>
      </c>
      <c r="H718" s="4">
        <f>CHOOSE( CONTROL!$C$36, 22.0697, 22.0681) * CHOOSE(CONTROL!$C$19, $D$11, 100%, $F$11)</f>
        <v>22.069700000000001</v>
      </c>
      <c r="I718" s="8">
        <f>CHOOSE( CONTROL!$C$36, 20.8499, 20.8483) * CHOOSE(CONTROL!$C$19, $D$11, 100%, $F$11)</f>
        <v>20.849900000000002</v>
      </c>
      <c r="J718" s="4">
        <f>CHOOSE( CONTROL!$C$36, 20.7084, 20.7068) * CHOOSE(CONTROL!$C$19, $D$11, 100%, $F$11)</f>
        <v>20.708400000000001</v>
      </c>
      <c r="K718" s="4"/>
      <c r="L718" s="9">
        <v>29.7257</v>
      </c>
      <c r="M718" s="9">
        <v>11.6745</v>
      </c>
      <c r="N718" s="9">
        <v>4.7850000000000001</v>
      </c>
      <c r="O718" s="9">
        <v>0.36199999999999999</v>
      </c>
      <c r="P718" s="9">
        <v>1.2509999999999999</v>
      </c>
      <c r="Q718" s="9">
        <v>19.053000000000001</v>
      </c>
      <c r="R718" s="9"/>
      <c r="S718" s="11"/>
    </row>
    <row r="719" spans="1:19" ht="15.75">
      <c r="A719" s="13">
        <v>63036</v>
      </c>
      <c r="B719" s="8">
        <f>CHOOSE( CONTROL!$C$36, 22.2914, 22.2898) * CHOOSE(CONTROL!$C$19, $D$11, 100%, $F$11)</f>
        <v>22.291399999999999</v>
      </c>
      <c r="C719" s="8">
        <f>CHOOSE( CONTROL!$C$36, 22.2994, 22.2978) * CHOOSE(CONTROL!$C$19, $D$11, 100%, $F$11)</f>
        <v>22.299399999999999</v>
      </c>
      <c r="D719" s="8">
        <f>CHOOSE( CONTROL!$C$36, 22.314, 22.3124) * CHOOSE( CONTROL!$C$19, $D$11, 100%, $F$11)</f>
        <v>22.314</v>
      </c>
      <c r="E719" s="12">
        <f>CHOOSE( CONTROL!$C$36, 22.3075, 22.3059) * CHOOSE( CONTROL!$C$19, $D$11, 100%, $F$11)</f>
        <v>22.307500000000001</v>
      </c>
      <c r="F719" s="4">
        <f>CHOOSE( CONTROL!$C$36, 23.0245, 23.0228) * CHOOSE(CONTROL!$C$19, $D$11, 100%, $F$11)</f>
        <v>23.0245</v>
      </c>
      <c r="G719" s="8">
        <f>CHOOSE( CONTROL!$C$36, 22.033, 22.0313) * CHOOSE( CONTROL!$C$19, $D$11, 100%, $F$11)</f>
        <v>22.033000000000001</v>
      </c>
      <c r="H719" s="4">
        <f>CHOOSE( CONTROL!$C$36, 22.9771, 22.9754) * CHOOSE(CONTROL!$C$19, $D$11, 100%, $F$11)</f>
        <v>22.9771</v>
      </c>
      <c r="I719" s="8">
        <f>CHOOSE( CONTROL!$C$36, 21.7422, 21.7406) * CHOOSE(CONTROL!$C$19, $D$11, 100%, $F$11)</f>
        <v>21.7422</v>
      </c>
      <c r="J719" s="4">
        <f>CHOOSE( CONTROL!$C$36, 21.5994, 21.5978) * CHOOSE(CONTROL!$C$19, $D$11, 100%, $F$11)</f>
        <v>21.599399999999999</v>
      </c>
      <c r="K719" s="4"/>
      <c r="L719" s="9">
        <v>30.7165</v>
      </c>
      <c r="M719" s="9">
        <v>12.063700000000001</v>
      </c>
      <c r="N719" s="9">
        <v>4.9444999999999997</v>
      </c>
      <c r="O719" s="9">
        <v>0.37409999999999999</v>
      </c>
      <c r="P719" s="9">
        <v>1.2927</v>
      </c>
      <c r="Q719" s="9">
        <v>19.688099999999999</v>
      </c>
      <c r="R719" s="9"/>
      <c r="S719" s="11"/>
    </row>
    <row r="720" spans="1:19" ht="15.75">
      <c r="A720" s="13">
        <v>63067</v>
      </c>
      <c r="B720" s="8">
        <f>CHOOSE( CONTROL!$C$36, 20.5697, 20.568) * CHOOSE(CONTROL!$C$19, $D$11, 100%, $F$11)</f>
        <v>20.569700000000001</v>
      </c>
      <c r="C720" s="8">
        <f>CHOOSE( CONTROL!$C$36, 20.5776, 20.576) * CHOOSE(CONTROL!$C$19, $D$11, 100%, $F$11)</f>
        <v>20.5776</v>
      </c>
      <c r="D720" s="8">
        <f>CHOOSE( CONTROL!$C$36, 20.5923, 20.5907) * CHOOSE( CONTROL!$C$19, $D$11, 100%, $F$11)</f>
        <v>20.592300000000002</v>
      </c>
      <c r="E720" s="12">
        <f>CHOOSE( CONTROL!$C$36, 20.5858, 20.5842) * CHOOSE( CONTROL!$C$19, $D$11, 100%, $F$11)</f>
        <v>20.585799999999999</v>
      </c>
      <c r="F720" s="4">
        <f>CHOOSE( CONTROL!$C$36, 21.3027, 21.301) * CHOOSE(CONTROL!$C$19, $D$11, 100%, $F$11)</f>
        <v>21.302700000000002</v>
      </c>
      <c r="G720" s="8">
        <f>CHOOSE( CONTROL!$C$36, 20.3353, 20.3336) * CHOOSE( CONTROL!$C$19, $D$11, 100%, $F$11)</f>
        <v>20.3353</v>
      </c>
      <c r="H720" s="4">
        <f>CHOOSE( CONTROL!$C$36, 21.2793, 21.2777) * CHOOSE(CONTROL!$C$19, $D$11, 100%, $F$11)</f>
        <v>21.279299999999999</v>
      </c>
      <c r="I720" s="8">
        <f>CHOOSE( CONTROL!$C$36, 20.0744, 20.0728) * CHOOSE(CONTROL!$C$19, $D$11, 100%, $F$11)</f>
        <v>20.074400000000001</v>
      </c>
      <c r="J720" s="4">
        <f>CHOOSE( CONTROL!$C$36, 19.9322, 19.9306) * CHOOSE(CONTROL!$C$19, $D$11, 100%, $F$11)</f>
        <v>19.932200000000002</v>
      </c>
      <c r="K720" s="4"/>
      <c r="L720" s="9">
        <v>30.7165</v>
      </c>
      <c r="M720" s="9">
        <v>12.063700000000001</v>
      </c>
      <c r="N720" s="9">
        <v>4.9444999999999997</v>
      </c>
      <c r="O720" s="9">
        <v>0.37409999999999999</v>
      </c>
      <c r="P720" s="9">
        <v>1.2927</v>
      </c>
      <c r="Q720" s="9">
        <v>19.688099999999999</v>
      </c>
      <c r="R720" s="9"/>
      <c r="S720" s="11"/>
    </row>
    <row r="721" spans="1:19" ht="15.75">
      <c r="A721" s="13">
        <v>63097</v>
      </c>
      <c r="B721" s="8">
        <f>CHOOSE( CONTROL!$C$36, 20.1385, 20.1368) * CHOOSE(CONTROL!$C$19, $D$11, 100%, $F$11)</f>
        <v>20.138500000000001</v>
      </c>
      <c r="C721" s="8">
        <f>CHOOSE( CONTROL!$C$36, 20.1465, 20.1448) * CHOOSE(CONTROL!$C$19, $D$11, 100%, $F$11)</f>
        <v>20.1465</v>
      </c>
      <c r="D721" s="8">
        <f>CHOOSE( CONTROL!$C$36, 20.1611, 20.1594) * CHOOSE( CONTROL!$C$19, $D$11, 100%, $F$11)</f>
        <v>20.161100000000001</v>
      </c>
      <c r="E721" s="12">
        <f>CHOOSE( CONTROL!$C$36, 20.1546, 20.1529) * CHOOSE( CONTROL!$C$19, $D$11, 100%, $F$11)</f>
        <v>20.154599999999999</v>
      </c>
      <c r="F721" s="4">
        <f>CHOOSE( CONTROL!$C$36, 20.8715, 20.8699) * CHOOSE(CONTROL!$C$19, $D$11, 100%, $F$11)</f>
        <v>20.871500000000001</v>
      </c>
      <c r="G721" s="8">
        <f>CHOOSE( CONTROL!$C$36, 19.91, 19.9084) * CHOOSE( CONTROL!$C$19, $D$11, 100%, $F$11)</f>
        <v>19.91</v>
      </c>
      <c r="H721" s="4">
        <f>CHOOSE( CONTROL!$C$36, 20.8542, 20.8526) * CHOOSE(CONTROL!$C$19, $D$11, 100%, $F$11)</f>
        <v>20.854199999999999</v>
      </c>
      <c r="I721" s="8">
        <f>CHOOSE( CONTROL!$C$36, 19.6563, 19.6547) * CHOOSE(CONTROL!$C$19, $D$11, 100%, $F$11)</f>
        <v>19.656300000000002</v>
      </c>
      <c r="J721" s="4">
        <f>CHOOSE( CONTROL!$C$36, 19.5147, 19.5131) * CHOOSE(CONTROL!$C$19, $D$11, 100%, $F$11)</f>
        <v>19.514700000000001</v>
      </c>
      <c r="K721" s="4"/>
      <c r="L721" s="9">
        <v>29.7257</v>
      </c>
      <c r="M721" s="9">
        <v>11.6745</v>
      </c>
      <c r="N721" s="9">
        <v>4.7850000000000001</v>
      </c>
      <c r="O721" s="9">
        <v>0.36199999999999999</v>
      </c>
      <c r="P721" s="9">
        <v>1.2509999999999999</v>
      </c>
      <c r="Q721" s="9">
        <v>19.053000000000001</v>
      </c>
      <c r="R721" s="9"/>
      <c r="S721" s="11"/>
    </row>
    <row r="722" spans="1:19" ht="15.75">
      <c r="A722" s="13">
        <v>63128</v>
      </c>
      <c r="B722" s="8">
        <f>CHOOSE( CONTROL!$C$36, 21.0314, 21.0303) * CHOOSE(CONTROL!$C$19, $D$11, 100%, $F$11)</f>
        <v>21.031400000000001</v>
      </c>
      <c r="C722" s="8">
        <f>CHOOSE( CONTROL!$C$36, 21.0368, 21.0357) * CHOOSE(CONTROL!$C$19, $D$11, 100%, $F$11)</f>
        <v>21.036799999999999</v>
      </c>
      <c r="D722" s="8">
        <f>CHOOSE( CONTROL!$C$36, 21.0573, 21.0562) * CHOOSE( CONTROL!$C$19, $D$11, 100%, $F$11)</f>
        <v>21.057300000000001</v>
      </c>
      <c r="E722" s="12">
        <f>CHOOSE( CONTROL!$C$36, 21.05, 21.0489) * CHOOSE( CONTROL!$C$19, $D$11, 100%, $F$11)</f>
        <v>21.05</v>
      </c>
      <c r="F722" s="4">
        <f>CHOOSE( CONTROL!$C$36, 21.7662, 21.7651) * CHOOSE(CONTROL!$C$19, $D$11, 100%, $F$11)</f>
        <v>21.766200000000001</v>
      </c>
      <c r="G722" s="8">
        <f>CHOOSE( CONTROL!$C$36, 20.7924, 20.7913) * CHOOSE( CONTROL!$C$19, $D$11, 100%, $F$11)</f>
        <v>20.792400000000001</v>
      </c>
      <c r="H722" s="4">
        <f>CHOOSE( CONTROL!$C$36, 21.7364, 21.7353) * CHOOSE(CONTROL!$C$19, $D$11, 100%, $F$11)</f>
        <v>21.7364</v>
      </c>
      <c r="I722" s="8">
        <f>CHOOSE( CONTROL!$C$36, 20.5241, 20.523) * CHOOSE(CONTROL!$C$19, $D$11, 100%, $F$11)</f>
        <v>20.524100000000001</v>
      </c>
      <c r="J722" s="4">
        <f>CHOOSE( CONTROL!$C$36, 20.381, 20.3799) * CHOOSE(CONTROL!$C$19, $D$11, 100%, $F$11)</f>
        <v>20.381</v>
      </c>
      <c r="K722" s="4"/>
      <c r="L722" s="9">
        <v>31.095300000000002</v>
      </c>
      <c r="M722" s="9">
        <v>12.063700000000001</v>
      </c>
      <c r="N722" s="9">
        <v>4.9444999999999997</v>
      </c>
      <c r="O722" s="9">
        <v>0.37409999999999999</v>
      </c>
      <c r="P722" s="9">
        <v>1.2927</v>
      </c>
      <c r="Q722" s="9">
        <v>19.688099999999999</v>
      </c>
      <c r="R722" s="9"/>
      <c r="S722" s="11"/>
    </row>
    <row r="723" spans="1:19" ht="15.75">
      <c r="A723" s="13">
        <v>63158</v>
      </c>
      <c r="B723" s="8">
        <f>CHOOSE( CONTROL!$C$36, 22.6834, 22.6823) * CHOOSE(CONTROL!$C$19, $D$11, 100%, $F$11)</f>
        <v>22.683399999999999</v>
      </c>
      <c r="C723" s="8">
        <f>CHOOSE( CONTROL!$C$36, 22.6885, 22.6874) * CHOOSE(CONTROL!$C$19, $D$11, 100%, $F$11)</f>
        <v>22.688500000000001</v>
      </c>
      <c r="D723" s="8">
        <f>CHOOSE( CONTROL!$C$36, 22.6677, 22.6666) * CHOOSE( CONTROL!$C$19, $D$11, 100%, $F$11)</f>
        <v>22.6677</v>
      </c>
      <c r="E723" s="12">
        <f>CHOOSE( CONTROL!$C$36, 22.6748, 22.6737) * CHOOSE( CONTROL!$C$19, $D$11, 100%, $F$11)</f>
        <v>22.674800000000001</v>
      </c>
      <c r="F723" s="4">
        <f>CHOOSE( CONTROL!$C$36, 23.3427, 23.3416) * CHOOSE(CONTROL!$C$19, $D$11, 100%, $F$11)</f>
        <v>23.342700000000001</v>
      </c>
      <c r="G723" s="8">
        <f>CHOOSE( CONTROL!$C$36, 22.4017, 22.4006) * CHOOSE( CONTROL!$C$19, $D$11, 100%, $F$11)</f>
        <v>22.401700000000002</v>
      </c>
      <c r="H723" s="4">
        <f>CHOOSE( CONTROL!$C$36, 23.2908, 23.2898) * CHOOSE(CONTROL!$C$19, $D$11, 100%, $F$11)</f>
        <v>23.290800000000001</v>
      </c>
      <c r="I723" s="8">
        <f>CHOOSE( CONTROL!$C$36, 22.174, 22.173) * CHOOSE(CONTROL!$C$19, $D$11, 100%, $F$11)</f>
        <v>22.173999999999999</v>
      </c>
      <c r="J723" s="4">
        <f>CHOOSE( CONTROL!$C$36, 21.981, 21.9799) * CHOOSE(CONTROL!$C$19, $D$11, 100%, $F$11)</f>
        <v>21.981000000000002</v>
      </c>
      <c r="K723" s="4"/>
      <c r="L723" s="9">
        <v>28.360600000000002</v>
      </c>
      <c r="M723" s="9">
        <v>11.6745</v>
      </c>
      <c r="N723" s="9">
        <v>4.7850000000000001</v>
      </c>
      <c r="O723" s="9">
        <v>0.36199999999999999</v>
      </c>
      <c r="P723" s="9">
        <v>1.2509999999999999</v>
      </c>
      <c r="Q723" s="9">
        <v>19.053000000000001</v>
      </c>
      <c r="R723" s="9"/>
      <c r="S723" s="11"/>
    </row>
    <row r="724" spans="1:19" ht="15.75">
      <c r="A724" s="13">
        <v>63189</v>
      </c>
      <c r="B724" s="8">
        <f>CHOOSE( CONTROL!$C$36, 22.6421, 22.641) * CHOOSE(CONTROL!$C$19, $D$11, 100%, $F$11)</f>
        <v>22.642099999999999</v>
      </c>
      <c r="C724" s="8">
        <f>CHOOSE( CONTROL!$C$36, 22.6472, 22.6461) * CHOOSE(CONTROL!$C$19, $D$11, 100%, $F$11)</f>
        <v>22.647200000000002</v>
      </c>
      <c r="D724" s="8">
        <f>CHOOSE( CONTROL!$C$36, 22.6278, 22.6267) * CHOOSE( CONTROL!$C$19, $D$11, 100%, $F$11)</f>
        <v>22.627800000000001</v>
      </c>
      <c r="E724" s="12">
        <f>CHOOSE( CONTROL!$C$36, 22.6344, 22.6333) * CHOOSE( CONTROL!$C$19, $D$11, 100%, $F$11)</f>
        <v>22.634399999999999</v>
      </c>
      <c r="F724" s="4">
        <f>CHOOSE( CONTROL!$C$36, 23.3014, 23.3003) * CHOOSE(CONTROL!$C$19, $D$11, 100%, $F$11)</f>
        <v>23.301400000000001</v>
      </c>
      <c r="G724" s="8">
        <f>CHOOSE( CONTROL!$C$36, 22.362, 22.3609) * CHOOSE( CONTROL!$C$19, $D$11, 100%, $F$11)</f>
        <v>22.361999999999998</v>
      </c>
      <c r="H724" s="4">
        <f>CHOOSE( CONTROL!$C$36, 23.2501, 23.2491) * CHOOSE(CONTROL!$C$19, $D$11, 100%, $F$11)</f>
        <v>23.2501</v>
      </c>
      <c r="I724" s="8">
        <f>CHOOSE( CONTROL!$C$36, 22.1383, 22.1373) * CHOOSE(CONTROL!$C$19, $D$11, 100%, $F$11)</f>
        <v>22.138300000000001</v>
      </c>
      <c r="J724" s="4">
        <f>CHOOSE( CONTROL!$C$36, 21.941, 21.94) * CHOOSE(CONTROL!$C$19, $D$11, 100%, $F$11)</f>
        <v>21.940999999999999</v>
      </c>
      <c r="K724" s="4"/>
      <c r="L724" s="9">
        <v>29.306000000000001</v>
      </c>
      <c r="M724" s="9">
        <v>12.063700000000001</v>
      </c>
      <c r="N724" s="9">
        <v>4.9444999999999997</v>
      </c>
      <c r="O724" s="9">
        <v>0.37409999999999999</v>
      </c>
      <c r="P724" s="9">
        <v>1.2927</v>
      </c>
      <c r="Q724" s="9">
        <v>19.688099999999999</v>
      </c>
      <c r="R724" s="9"/>
      <c r="S724" s="11"/>
    </row>
    <row r="725" spans="1:19" ht="15.75">
      <c r="A725" s="13">
        <v>63220</v>
      </c>
      <c r="B725" s="8">
        <f>CHOOSE( CONTROL!$C$36, 23.3105, 23.3094) * CHOOSE(CONTROL!$C$19, $D$11, 100%, $F$11)</f>
        <v>23.310500000000001</v>
      </c>
      <c r="C725" s="8">
        <f>CHOOSE( CONTROL!$C$36, 23.3156, 23.3145) * CHOOSE(CONTROL!$C$19, $D$11, 100%, $F$11)</f>
        <v>23.3156</v>
      </c>
      <c r="D725" s="8">
        <f>CHOOSE( CONTROL!$C$36, 23.3169, 23.3158) * CHOOSE( CONTROL!$C$19, $D$11, 100%, $F$11)</f>
        <v>23.3169</v>
      </c>
      <c r="E725" s="12">
        <f>CHOOSE( CONTROL!$C$36, 23.3159, 23.3148) * CHOOSE( CONTROL!$C$19, $D$11, 100%, $F$11)</f>
        <v>23.315899999999999</v>
      </c>
      <c r="F725" s="4">
        <f>CHOOSE( CONTROL!$C$36, 23.9697, 23.9686) * CHOOSE(CONTROL!$C$19, $D$11, 100%, $F$11)</f>
        <v>23.9697</v>
      </c>
      <c r="G725" s="8">
        <f>CHOOSE( CONTROL!$C$36, 23.032, 23.031) * CHOOSE( CONTROL!$C$19, $D$11, 100%, $F$11)</f>
        <v>23.032</v>
      </c>
      <c r="H725" s="4">
        <f>CHOOSE( CONTROL!$C$36, 23.9092, 23.9081) * CHOOSE(CONTROL!$C$19, $D$11, 100%, $F$11)</f>
        <v>23.909199999999998</v>
      </c>
      <c r="I725" s="8">
        <f>CHOOSE( CONTROL!$C$36, 22.7633, 22.7622) * CHOOSE(CONTROL!$C$19, $D$11, 100%, $F$11)</f>
        <v>22.763300000000001</v>
      </c>
      <c r="J725" s="4">
        <f>CHOOSE( CONTROL!$C$36, 22.5882, 22.5871) * CHOOSE(CONTROL!$C$19, $D$11, 100%, $F$11)</f>
        <v>22.588200000000001</v>
      </c>
      <c r="K725" s="4"/>
      <c r="L725" s="9">
        <v>29.306000000000001</v>
      </c>
      <c r="M725" s="9">
        <v>12.063700000000001</v>
      </c>
      <c r="N725" s="9">
        <v>4.9444999999999997</v>
      </c>
      <c r="O725" s="9">
        <v>0.37409999999999999</v>
      </c>
      <c r="P725" s="9">
        <v>1.2927</v>
      </c>
      <c r="Q725" s="9">
        <v>19.688099999999999</v>
      </c>
      <c r="R725" s="9"/>
      <c r="S725" s="11"/>
    </row>
    <row r="726" spans="1:19" ht="15.75">
      <c r="A726" s="13">
        <v>63248</v>
      </c>
      <c r="B726" s="8">
        <f>CHOOSE( CONTROL!$C$36, 21.8024, 21.8014) * CHOOSE(CONTROL!$C$19, $D$11, 100%, $F$11)</f>
        <v>21.802399999999999</v>
      </c>
      <c r="C726" s="8">
        <f>CHOOSE( CONTROL!$C$36, 21.8075, 21.8065) * CHOOSE(CONTROL!$C$19, $D$11, 100%, $F$11)</f>
        <v>21.807500000000001</v>
      </c>
      <c r="D726" s="8">
        <f>CHOOSE( CONTROL!$C$36, 21.8087, 21.8076) * CHOOSE( CONTROL!$C$19, $D$11, 100%, $F$11)</f>
        <v>21.808700000000002</v>
      </c>
      <c r="E726" s="12">
        <f>CHOOSE( CONTROL!$C$36, 21.8077, 21.8067) * CHOOSE( CONTROL!$C$19, $D$11, 100%, $F$11)</f>
        <v>21.807700000000001</v>
      </c>
      <c r="F726" s="4">
        <f>CHOOSE( CONTROL!$C$36, 22.4617, 22.4606) * CHOOSE(CONTROL!$C$19, $D$11, 100%, $F$11)</f>
        <v>22.4617</v>
      </c>
      <c r="G726" s="8">
        <f>CHOOSE( CONTROL!$C$36, 21.545, 21.5439) * CHOOSE( CONTROL!$C$19, $D$11, 100%, $F$11)</f>
        <v>21.545000000000002</v>
      </c>
      <c r="H726" s="4">
        <f>CHOOSE( CONTROL!$C$36, 22.4222, 22.4211) * CHOOSE(CONTROL!$C$19, $D$11, 100%, $F$11)</f>
        <v>22.4222</v>
      </c>
      <c r="I726" s="8">
        <f>CHOOSE( CONTROL!$C$36, 21.3019, 21.3009) * CHOOSE(CONTROL!$C$19, $D$11, 100%, $F$11)</f>
        <v>21.3019</v>
      </c>
      <c r="J726" s="4">
        <f>CHOOSE( CONTROL!$C$36, 21.128, 21.1269) * CHOOSE(CONTROL!$C$19, $D$11, 100%, $F$11)</f>
        <v>21.128</v>
      </c>
      <c r="K726" s="4"/>
      <c r="L726" s="9">
        <v>26.469899999999999</v>
      </c>
      <c r="M726" s="9">
        <v>10.8962</v>
      </c>
      <c r="N726" s="9">
        <v>4.4660000000000002</v>
      </c>
      <c r="O726" s="9">
        <v>0.33789999999999998</v>
      </c>
      <c r="P726" s="9">
        <v>1.1676</v>
      </c>
      <c r="Q726" s="9">
        <v>17.782800000000002</v>
      </c>
      <c r="R726" s="9"/>
      <c r="S726" s="11"/>
    </row>
    <row r="727" spans="1:19" ht="15.75">
      <c r="A727" s="13">
        <v>63279</v>
      </c>
      <c r="B727" s="8">
        <f>CHOOSE( CONTROL!$C$36, 21.338, 21.3369) * CHOOSE(CONTROL!$C$19, $D$11, 100%, $F$11)</f>
        <v>21.338000000000001</v>
      </c>
      <c r="C727" s="8">
        <f>CHOOSE( CONTROL!$C$36, 21.3431, 21.342) * CHOOSE(CONTROL!$C$19, $D$11, 100%, $F$11)</f>
        <v>21.3431</v>
      </c>
      <c r="D727" s="8">
        <f>CHOOSE( CONTROL!$C$36, 21.3436, 21.3425) * CHOOSE( CONTROL!$C$19, $D$11, 100%, $F$11)</f>
        <v>21.343599999999999</v>
      </c>
      <c r="E727" s="12">
        <f>CHOOSE( CONTROL!$C$36, 21.3429, 21.3418) * CHOOSE( CONTROL!$C$19, $D$11, 100%, $F$11)</f>
        <v>21.3429</v>
      </c>
      <c r="F727" s="4">
        <f>CHOOSE( CONTROL!$C$36, 21.9972, 21.9961) * CHOOSE(CONTROL!$C$19, $D$11, 100%, $F$11)</f>
        <v>21.997199999999999</v>
      </c>
      <c r="G727" s="8">
        <f>CHOOSE( CONTROL!$C$36, 21.0865, 21.0854) * CHOOSE( CONTROL!$C$19, $D$11, 100%, $F$11)</f>
        <v>21.086500000000001</v>
      </c>
      <c r="H727" s="4">
        <f>CHOOSE( CONTROL!$C$36, 21.9642, 21.9631) * CHOOSE(CONTROL!$C$19, $D$11, 100%, $F$11)</f>
        <v>21.964200000000002</v>
      </c>
      <c r="I727" s="8">
        <f>CHOOSE( CONTROL!$C$36, 20.85, 20.8489) * CHOOSE(CONTROL!$C$19, $D$11, 100%, $F$11)</f>
        <v>20.85</v>
      </c>
      <c r="J727" s="4">
        <f>CHOOSE( CONTROL!$C$36, 20.6782, 20.6772) * CHOOSE(CONTROL!$C$19, $D$11, 100%, $F$11)</f>
        <v>20.6782</v>
      </c>
      <c r="K727" s="4"/>
      <c r="L727" s="9">
        <v>29.306000000000001</v>
      </c>
      <c r="M727" s="9">
        <v>12.063700000000001</v>
      </c>
      <c r="N727" s="9">
        <v>4.9444999999999997</v>
      </c>
      <c r="O727" s="9">
        <v>0.37409999999999999</v>
      </c>
      <c r="P727" s="9">
        <v>1.2927</v>
      </c>
      <c r="Q727" s="9">
        <v>19.688099999999999</v>
      </c>
      <c r="R727" s="9"/>
      <c r="S727" s="11"/>
    </row>
    <row r="728" spans="1:19" ht="15.75">
      <c r="A728" s="13">
        <v>63309</v>
      </c>
      <c r="B728" s="8">
        <f>CHOOSE( CONTROL!$C$36, 21.6633, 21.6622) * CHOOSE(CONTROL!$C$19, $D$11, 100%, $F$11)</f>
        <v>21.6633</v>
      </c>
      <c r="C728" s="8">
        <f>CHOOSE( CONTROL!$C$36, 21.6678, 21.6667) * CHOOSE(CONTROL!$C$19, $D$11, 100%, $F$11)</f>
        <v>21.6678</v>
      </c>
      <c r="D728" s="8">
        <f>CHOOSE( CONTROL!$C$36, 21.6882, 21.6871) * CHOOSE( CONTROL!$C$19, $D$11, 100%, $F$11)</f>
        <v>21.688199999999998</v>
      </c>
      <c r="E728" s="12">
        <f>CHOOSE( CONTROL!$C$36, 21.6809, 21.6798) * CHOOSE( CONTROL!$C$19, $D$11, 100%, $F$11)</f>
        <v>21.680900000000001</v>
      </c>
      <c r="F728" s="4">
        <f>CHOOSE( CONTROL!$C$36, 22.3977, 22.3966) * CHOOSE(CONTROL!$C$19, $D$11, 100%, $F$11)</f>
        <v>22.3977</v>
      </c>
      <c r="G728" s="8">
        <f>CHOOSE( CONTROL!$C$36, 21.4147, 21.4136) * CHOOSE( CONTROL!$C$19, $D$11, 100%, $F$11)</f>
        <v>21.4147</v>
      </c>
      <c r="H728" s="4">
        <f>CHOOSE( CONTROL!$C$36, 22.3591, 22.358) * CHOOSE(CONTROL!$C$19, $D$11, 100%, $F$11)</f>
        <v>22.359100000000002</v>
      </c>
      <c r="I728" s="8">
        <f>CHOOSE( CONTROL!$C$36, 21.1339, 21.1329) * CHOOSE(CONTROL!$C$19, $D$11, 100%, $F$11)</f>
        <v>21.133900000000001</v>
      </c>
      <c r="J728" s="4">
        <f>CHOOSE( CONTROL!$C$36, 20.9925, 20.9914) * CHOOSE(CONTROL!$C$19, $D$11, 100%, $F$11)</f>
        <v>20.9925</v>
      </c>
      <c r="K728" s="4"/>
      <c r="L728" s="9">
        <v>30.092199999999998</v>
      </c>
      <c r="M728" s="9">
        <v>11.6745</v>
      </c>
      <c r="N728" s="9">
        <v>4.7850000000000001</v>
      </c>
      <c r="O728" s="9">
        <v>0.36199999999999999</v>
      </c>
      <c r="P728" s="9">
        <v>1.2509999999999999</v>
      </c>
      <c r="Q728" s="9">
        <v>19.053000000000001</v>
      </c>
      <c r="R728" s="9"/>
      <c r="S728" s="11"/>
    </row>
    <row r="729" spans="1:19" ht="15.75">
      <c r="A729" s="13">
        <v>63340</v>
      </c>
      <c r="B729" s="8">
        <f>CHOOSE( CONTROL!$C$36, 22.2429, 22.2412) * CHOOSE(CONTROL!$C$19, $D$11, 100%, $F$11)</f>
        <v>22.242899999999999</v>
      </c>
      <c r="C729" s="8">
        <f>CHOOSE( CONTROL!$C$36, 22.2509, 22.2492) * CHOOSE(CONTROL!$C$19, $D$11, 100%, $F$11)</f>
        <v>22.250900000000001</v>
      </c>
      <c r="D729" s="8">
        <f>CHOOSE( CONTROL!$C$36, 22.2651, 22.2634) * CHOOSE( CONTROL!$C$19, $D$11, 100%, $F$11)</f>
        <v>22.2651</v>
      </c>
      <c r="E729" s="12">
        <f>CHOOSE( CONTROL!$C$36, 22.2587, 22.257) * CHOOSE( CONTROL!$C$19, $D$11, 100%, $F$11)</f>
        <v>22.258700000000001</v>
      </c>
      <c r="F729" s="4">
        <f>CHOOSE( CONTROL!$C$36, 22.9759, 22.9742) * CHOOSE(CONTROL!$C$19, $D$11, 100%, $F$11)</f>
        <v>22.975899999999999</v>
      </c>
      <c r="G729" s="8">
        <f>CHOOSE( CONTROL!$C$36, 21.9847, 21.9831) * CHOOSE( CONTROL!$C$19, $D$11, 100%, $F$11)</f>
        <v>21.9847</v>
      </c>
      <c r="H729" s="4">
        <f>CHOOSE( CONTROL!$C$36, 22.9292, 22.9276) * CHOOSE(CONTROL!$C$19, $D$11, 100%, $F$11)</f>
        <v>22.929200000000002</v>
      </c>
      <c r="I729" s="8">
        <f>CHOOSE( CONTROL!$C$36, 21.6937, 21.6921) * CHOOSE(CONTROL!$C$19, $D$11, 100%, $F$11)</f>
        <v>21.6937</v>
      </c>
      <c r="J729" s="4">
        <f>CHOOSE( CONTROL!$C$36, 21.5524, 21.5508) * CHOOSE(CONTROL!$C$19, $D$11, 100%, $F$11)</f>
        <v>21.552399999999999</v>
      </c>
      <c r="K729" s="4"/>
      <c r="L729" s="9">
        <v>30.7165</v>
      </c>
      <c r="M729" s="9">
        <v>12.063700000000001</v>
      </c>
      <c r="N729" s="9">
        <v>4.9444999999999997</v>
      </c>
      <c r="O729" s="9">
        <v>0.37409999999999999</v>
      </c>
      <c r="P729" s="9">
        <v>1.2927</v>
      </c>
      <c r="Q729" s="9">
        <v>19.688099999999999</v>
      </c>
      <c r="R729" s="9"/>
      <c r="S729" s="11"/>
    </row>
    <row r="730" spans="1:19" ht="15.75">
      <c r="A730" s="13">
        <v>63370</v>
      </c>
      <c r="B730" s="8">
        <f>CHOOSE( CONTROL!$C$36, 21.8851, 21.8834) * CHOOSE(CONTROL!$C$19, $D$11, 100%, $F$11)</f>
        <v>21.885100000000001</v>
      </c>
      <c r="C730" s="8">
        <f>CHOOSE( CONTROL!$C$36, 21.893, 21.8914) * CHOOSE(CONTROL!$C$19, $D$11, 100%, $F$11)</f>
        <v>21.893000000000001</v>
      </c>
      <c r="D730" s="8">
        <f>CHOOSE( CONTROL!$C$36, 21.9074, 21.9058) * CHOOSE( CONTROL!$C$19, $D$11, 100%, $F$11)</f>
        <v>21.907399999999999</v>
      </c>
      <c r="E730" s="12">
        <f>CHOOSE( CONTROL!$C$36, 21.901, 21.8994) * CHOOSE( CONTROL!$C$19, $D$11, 100%, $F$11)</f>
        <v>21.901</v>
      </c>
      <c r="F730" s="4">
        <f>CHOOSE( CONTROL!$C$36, 22.6181, 22.6164) * CHOOSE(CONTROL!$C$19, $D$11, 100%, $F$11)</f>
        <v>22.618099999999998</v>
      </c>
      <c r="G730" s="8">
        <f>CHOOSE( CONTROL!$C$36, 21.6321, 21.6304) * CHOOSE( CONTROL!$C$19, $D$11, 100%, $F$11)</f>
        <v>21.632100000000001</v>
      </c>
      <c r="H730" s="4">
        <f>CHOOSE( CONTROL!$C$36, 22.5764, 22.5747) * CHOOSE(CONTROL!$C$19, $D$11, 100%, $F$11)</f>
        <v>22.5764</v>
      </c>
      <c r="I730" s="8">
        <f>CHOOSE( CONTROL!$C$36, 21.3477, 21.3461) * CHOOSE(CONTROL!$C$19, $D$11, 100%, $F$11)</f>
        <v>21.3477</v>
      </c>
      <c r="J730" s="4">
        <f>CHOOSE( CONTROL!$C$36, 21.2059, 21.2043) * CHOOSE(CONTROL!$C$19, $D$11, 100%, $F$11)</f>
        <v>21.2059</v>
      </c>
      <c r="K730" s="4"/>
      <c r="L730" s="9">
        <v>29.7257</v>
      </c>
      <c r="M730" s="9">
        <v>11.6745</v>
      </c>
      <c r="N730" s="9">
        <v>4.7850000000000001</v>
      </c>
      <c r="O730" s="9">
        <v>0.36199999999999999</v>
      </c>
      <c r="P730" s="9">
        <v>1.2509999999999999</v>
      </c>
      <c r="Q730" s="9">
        <v>19.053000000000001</v>
      </c>
      <c r="R730" s="9"/>
      <c r="S730" s="11"/>
    </row>
    <row r="731" spans="1:19" ht="15.75">
      <c r="A731" s="13">
        <v>63401</v>
      </c>
      <c r="B731" s="8">
        <f>CHOOSE( CONTROL!$C$36, 22.8273, 22.8257) * CHOOSE(CONTROL!$C$19, $D$11, 100%, $F$11)</f>
        <v>22.827300000000001</v>
      </c>
      <c r="C731" s="8">
        <f>CHOOSE( CONTROL!$C$36, 22.8353, 22.8337) * CHOOSE(CONTROL!$C$19, $D$11, 100%, $F$11)</f>
        <v>22.8353</v>
      </c>
      <c r="D731" s="8">
        <f>CHOOSE( CONTROL!$C$36, 22.85, 22.8483) * CHOOSE( CONTROL!$C$19, $D$11, 100%, $F$11)</f>
        <v>22.85</v>
      </c>
      <c r="E731" s="12">
        <f>CHOOSE( CONTROL!$C$36, 22.8435, 22.8418) * CHOOSE( CONTROL!$C$19, $D$11, 100%, $F$11)</f>
        <v>22.843499999999999</v>
      </c>
      <c r="F731" s="4">
        <f>CHOOSE( CONTROL!$C$36, 23.5604, 23.5587) * CHOOSE(CONTROL!$C$19, $D$11, 100%, $F$11)</f>
        <v>23.560400000000001</v>
      </c>
      <c r="G731" s="8">
        <f>CHOOSE( CONTROL!$C$36, 22.5614, 22.5598) * CHOOSE( CONTROL!$C$19, $D$11, 100%, $F$11)</f>
        <v>22.561399999999999</v>
      </c>
      <c r="H731" s="4">
        <f>CHOOSE( CONTROL!$C$36, 23.5055, 23.5039) * CHOOSE(CONTROL!$C$19, $D$11, 100%, $F$11)</f>
        <v>23.505500000000001</v>
      </c>
      <c r="I731" s="8">
        <f>CHOOSE( CONTROL!$C$36, 22.2614, 22.2598) * CHOOSE(CONTROL!$C$19, $D$11, 100%, $F$11)</f>
        <v>22.261399999999998</v>
      </c>
      <c r="J731" s="4">
        <f>CHOOSE( CONTROL!$C$36, 22.1183, 22.1167) * CHOOSE(CONTROL!$C$19, $D$11, 100%, $F$11)</f>
        <v>22.118300000000001</v>
      </c>
      <c r="K731" s="4"/>
      <c r="L731" s="9">
        <v>30.7165</v>
      </c>
      <c r="M731" s="9">
        <v>12.063700000000001</v>
      </c>
      <c r="N731" s="9">
        <v>4.9444999999999997</v>
      </c>
      <c r="O731" s="9">
        <v>0.37409999999999999</v>
      </c>
      <c r="P731" s="9">
        <v>1.2927</v>
      </c>
      <c r="Q731" s="9">
        <v>19.688099999999999</v>
      </c>
      <c r="R731" s="9"/>
      <c r="S731" s="11"/>
    </row>
    <row r="732" spans="1:19" ht="15.75">
      <c r="A732" s="13">
        <v>63432</v>
      </c>
      <c r="B732" s="8">
        <f>CHOOSE( CONTROL!$C$36, 21.0642, 21.0625) * CHOOSE(CONTROL!$C$19, $D$11, 100%, $F$11)</f>
        <v>21.0642</v>
      </c>
      <c r="C732" s="8">
        <f>CHOOSE( CONTROL!$C$36, 21.0722, 21.0705) * CHOOSE(CONTROL!$C$19, $D$11, 100%, $F$11)</f>
        <v>21.072199999999999</v>
      </c>
      <c r="D732" s="8">
        <f>CHOOSE( CONTROL!$C$36, 21.0869, 21.0852) * CHOOSE( CONTROL!$C$19, $D$11, 100%, $F$11)</f>
        <v>21.0869</v>
      </c>
      <c r="E732" s="12">
        <f>CHOOSE( CONTROL!$C$36, 21.0804, 21.0787) * CHOOSE( CONTROL!$C$19, $D$11, 100%, $F$11)</f>
        <v>21.080400000000001</v>
      </c>
      <c r="F732" s="4">
        <f>CHOOSE( CONTROL!$C$36, 21.7972, 21.7956) * CHOOSE(CONTROL!$C$19, $D$11, 100%, $F$11)</f>
        <v>21.7972</v>
      </c>
      <c r="G732" s="8">
        <f>CHOOSE( CONTROL!$C$36, 20.8229, 20.8213) * CHOOSE( CONTROL!$C$19, $D$11, 100%, $F$11)</f>
        <v>20.822900000000001</v>
      </c>
      <c r="H732" s="4">
        <f>CHOOSE( CONTROL!$C$36, 21.767, 21.7653) * CHOOSE(CONTROL!$C$19, $D$11, 100%, $F$11)</f>
        <v>21.766999999999999</v>
      </c>
      <c r="I732" s="8">
        <f>CHOOSE( CONTROL!$C$36, 20.5535, 20.5519) * CHOOSE(CONTROL!$C$19, $D$11, 100%, $F$11)</f>
        <v>20.5535</v>
      </c>
      <c r="J732" s="4">
        <f>CHOOSE( CONTROL!$C$36, 20.4111, 20.4095) * CHOOSE(CONTROL!$C$19, $D$11, 100%, $F$11)</f>
        <v>20.411100000000001</v>
      </c>
      <c r="K732" s="4"/>
      <c r="L732" s="9">
        <v>30.7165</v>
      </c>
      <c r="M732" s="9">
        <v>12.063700000000001</v>
      </c>
      <c r="N732" s="9">
        <v>4.9444999999999997</v>
      </c>
      <c r="O732" s="9">
        <v>0.37409999999999999</v>
      </c>
      <c r="P732" s="9">
        <v>1.2927</v>
      </c>
      <c r="Q732" s="9">
        <v>19.688099999999999</v>
      </c>
      <c r="R732" s="9"/>
      <c r="S732" s="11"/>
    </row>
    <row r="733" spans="1:19" ht="15.75">
      <c r="A733" s="13">
        <v>63462</v>
      </c>
      <c r="B733" s="8">
        <f>CHOOSE( CONTROL!$C$36, 20.6227, 20.621) * CHOOSE(CONTROL!$C$19, $D$11, 100%, $F$11)</f>
        <v>20.622699999999998</v>
      </c>
      <c r="C733" s="8">
        <f>CHOOSE( CONTROL!$C$36, 20.6307, 20.629) * CHOOSE(CONTROL!$C$19, $D$11, 100%, $F$11)</f>
        <v>20.630700000000001</v>
      </c>
      <c r="D733" s="8">
        <f>CHOOSE( CONTROL!$C$36, 20.6453, 20.6436) * CHOOSE( CONTROL!$C$19, $D$11, 100%, $F$11)</f>
        <v>20.645299999999999</v>
      </c>
      <c r="E733" s="12">
        <f>CHOOSE( CONTROL!$C$36, 20.6388, 20.6371) * CHOOSE( CONTROL!$C$19, $D$11, 100%, $F$11)</f>
        <v>20.6388</v>
      </c>
      <c r="F733" s="4">
        <f>CHOOSE( CONTROL!$C$36, 21.3557, 21.3541) * CHOOSE(CONTROL!$C$19, $D$11, 100%, $F$11)</f>
        <v>21.355699999999999</v>
      </c>
      <c r="G733" s="8">
        <f>CHOOSE( CONTROL!$C$36, 20.3875, 20.3858) * CHOOSE( CONTROL!$C$19, $D$11, 100%, $F$11)</f>
        <v>20.387499999999999</v>
      </c>
      <c r="H733" s="4">
        <f>CHOOSE( CONTROL!$C$36, 21.3316, 21.33) * CHOOSE(CONTROL!$C$19, $D$11, 100%, $F$11)</f>
        <v>21.331600000000002</v>
      </c>
      <c r="I733" s="8">
        <f>CHOOSE( CONTROL!$C$36, 20.1254, 20.1238) * CHOOSE(CONTROL!$C$19, $D$11, 100%, $F$11)</f>
        <v>20.125399999999999</v>
      </c>
      <c r="J733" s="4">
        <f>CHOOSE( CONTROL!$C$36, 19.9836, 19.9819) * CHOOSE(CONTROL!$C$19, $D$11, 100%, $F$11)</f>
        <v>19.983599999999999</v>
      </c>
      <c r="K733" s="4"/>
      <c r="L733" s="9">
        <v>29.7257</v>
      </c>
      <c r="M733" s="9">
        <v>11.6745</v>
      </c>
      <c r="N733" s="9">
        <v>4.7850000000000001</v>
      </c>
      <c r="O733" s="9">
        <v>0.36199999999999999</v>
      </c>
      <c r="P733" s="9">
        <v>1.2509999999999999</v>
      </c>
      <c r="Q733" s="9">
        <v>19.053000000000001</v>
      </c>
      <c r="R733" s="9"/>
      <c r="S733" s="11"/>
    </row>
    <row r="734" spans="1:19" ht="15.75">
      <c r="A734" s="13">
        <v>63493</v>
      </c>
      <c r="B734" s="8">
        <f>CHOOSE( CONTROL!$C$36, 21.5371, 21.536) * CHOOSE(CONTROL!$C$19, $D$11, 100%, $F$11)</f>
        <v>21.537099999999999</v>
      </c>
      <c r="C734" s="8">
        <f>CHOOSE( CONTROL!$C$36, 21.5425, 21.5414) * CHOOSE(CONTROL!$C$19, $D$11, 100%, $F$11)</f>
        <v>21.5425</v>
      </c>
      <c r="D734" s="8">
        <f>CHOOSE( CONTROL!$C$36, 21.563, 21.5619) * CHOOSE( CONTROL!$C$19, $D$11, 100%, $F$11)</f>
        <v>21.562999999999999</v>
      </c>
      <c r="E734" s="12">
        <f>CHOOSE( CONTROL!$C$36, 21.5557, 21.5546) * CHOOSE( CONTROL!$C$19, $D$11, 100%, $F$11)</f>
        <v>21.555700000000002</v>
      </c>
      <c r="F734" s="4">
        <f>CHOOSE( CONTROL!$C$36, 22.2719, 22.2708) * CHOOSE(CONTROL!$C$19, $D$11, 100%, $F$11)</f>
        <v>22.271899999999999</v>
      </c>
      <c r="G734" s="8">
        <f>CHOOSE( CONTROL!$C$36, 21.2911, 21.29) * CHOOSE( CONTROL!$C$19, $D$11, 100%, $F$11)</f>
        <v>21.2911</v>
      </c>
      <c r="H734" s="4">
        <f>CHOOSE( CONTROL!$C$36, 22.235, 22.2339) * CHOOSE(CONTROL!$C$19, $D$11, 100%, $F$11)</f>
        <v>22.234999999999999</v>
      </c>
      <c r="I734" s="8">
        <f>CHOOSE( CONTROL!$C$36, 21.014, 21.013) * CHOOSE(CONTROL!$C$19, $D$11, 100%, $F$11)</f>
        <v>21.013999999999999</v>
      </c>
      <c r="J734" s="4">
        <f>CHOOSE( CONTROL!$C$36, 20.8707, 20.8696) * CHOOSE(CONTROL!$C$19, $D$11, 100%, $F$11)</f>
        <v>20.870699999999999</v>
      </c>
      <c r="K734" s="4"/>
      <c r="L734" s="9">
        <v>31.095300000000002</v>
      </c>
      <c r="M734" s="9">
        <v>12.063700000000001</v>
      </c>
      <c r="N734" s="9">
        <v>4.9444999999999997</v>
      </c>
      <c r="O734" s="9">
        <v>0.37409999999999999</v>
      </c>
      <c r="P734" s="9">
        <v>1.2927</v>
      </c>
      <c r="Q734" s="9">
        <v>19.688099999999999</v>
      </c>
      <c r="R734" s="9"/>
      <c r="S734" s="11"/>
    </row>
    <row r="735" spans="1:19" ht="15.75">
      <c r="A735" s="13">
        <v>63523</v>
      </c>
      <c r="B735" s="8">
        <f>CHOOSE( CONTROL!$C$36, 23.2288, 23.2277) * CHOOSE(CONTROL!$C$19, $D$11, 100%, $F$11)</f>
        <v>23.2288</v>
      </c>
      <c r="C735" s="8">
        <f>CHOOSE( CONTROL!$C$36, 23.2339, 23.2328) * CHOOSE(CONTROL!$C$19, $D$11, 100%, $F$11)</f>
        <v>23.233899999999998</v>
      </c>
      <c r="D735" s="8">
        <f>CHOOSE( CONTROL!$C$36, 23.2131, 23.2121) * CHOOSE( CONTROL!$C$19, $D$11, 100%, $F$11)</f>
        <v>23.213100000000001</v>
      </c>
      <c r="E735" s="12">
        <f>CHOOSE( CONTROL!$C$36, 23.2202, 23.2191) * CHOOSE( CONTROL!$C$19, $D$11, 100%, $F$11)</f>
        <v>23.220199999999998</v>
      </c>
      <c r="F735" s="4">
        <f>CHOOSE( CONTROL!$C$36, 23.8881, 23.887) * CHOOSE(CONTROL!$C$19, $D$11, 100%, $F$11)</f>
        <v>23.888100000000001</v>
      </c>
      <c r="G735" s="8">
        <f>CHOOSE( CONTROL!$C$36, 22.9395, 22.9384) * CHOOSE( CONTROL!$C$19, $D$11, 100%, $F$11)</f>
        <v>22.939499999999999</v>
      </c>
      <c r="H735" s="4">
        <f>CHOOSE( CONTROL!$C$36, 23.8286, 23.8276) * CHOOSE(CONTROL!$C$19, $D$11, 100%, $F$11)</f>
        <v>23.828600000000002</v>
      </c>
      <c r="I735" s="8">
        <f>CHOOSE( CONTROL!$C$36, 22.7024, 22.7014) * CHOOSE(CONTROL!$C$19, $D$11, 100%, $F$11)</f>
        <v>22.702400000000001</v>
      </c>
      <c r="J735" s="4">
        <f>CHOOSE( CONTROL!$C$36, 22.5091, 22.5081) * CHOOSE(CONTROL!$C$19, $D$11, 100%, $F$11)</f>
        <v>22.5091</v>
      </c>
      <c r="K735" s="4"/>
      <c r="L735" s="9">
        <v>28.360600000000002</v>
      </c>
      <c r="M735" s="9">
        <v>11.6745</v>
      </c>
      <c r="N735" s="9">
        <v>4.7850000000000001</v>
      </c>
      <c r="O735" s="9">
        <v>0.36199999999999999</v>
      </c>
      <c r="P735" s="9">
        <v>1.2509999999999999</v>
      </c>
      <c r="Q735" s="9">
        <v>19.053000000000001</v>
      </c>
      <c r="R735" s="9"/>
      <c r="S735" s="11"/>
    </row>
    <row r="736" spans="1:19" ht="15.75">
      <c r="A736" s="13">
        <v>63554</v>
      </c>
      <c r="B736" s="8">
        <f>CHOOSE( CONTROL!$C$36, 23.1865, 23.1855) * CHOOSE(CONTROL!$C$19, $D$11, 100%, $F$11)</f>
        <v>23.186499999999999</v>
      </c>
      <c r="C736" s="8">
        <f>CHOOSE( CONTROL!$C$36, 23.1916, 23.1906) * CHOOSE(CONTROL!$C$19, $D$11, 100%, $F$11)</f>
        <v>23.191600000000001</v>
      </c>
      <c r="D736" s="8">
        <f>CHOOSE( CONTROL!$C$36, 23.1722, 23.1712) * CHOOSE( CONTROL!$C$19, $D$11, 100%, $F$11)</f>
        <v>23.1722</v>
      </c>
      <c r="E736" s="12">
        <f>CHOOSE( CONTROL!$C$36, 23.1788, 23.1778) * CHOOSE( CONTROL!$C$19, $D$11, 100%, $F$11)</f>
        <v>23.178799999999999</v>
      </c>
      <c r="F736" s="4">
        <f>CHOOSE( CONTROL!$C$36, 23.8458, 23.8447) * CHOOSE(CONTROL!$C$19, $D$11, 100%, $F$11)</f>
        <v>23.845800000000001</v>
      </c>
      <c r="G736" s="8">
        <f>CHOOSE( CONTROL!$C$36, 22.8988, 22.8977) * CHOOSE( CONTROL!$C$19, $D$11, 100%, $F$11)</f>
        <v>22.898800000000001</v>
      </c>
      <c r="H736" s="4">
        <f>CHOOSE( CONTROL!$C$36, 23.787, 23.7859) * CHOOSE(CONTROL!$C$19, $D$11, 100%, $F$11)</f>
        <v>23.786999999999999</v>
      </c>
      <c r="I736" s="8">
        <f>CHOOSE( CONTROL!$C$36, 22.6657, 22.6647) * CHOOSE(CONTROL!$C$19, $D$11, 100%, $F$11)</f>
        <v>22.665700000000001</v>
      </c>
      <c r="J736" s="4">
        <f>CHOOSE( CONTROL!$C$36, 22.4682, 22.4671) * CHOOSE(CONTROL!$C$19, $D$11, 100%, $F$11)</f>
        <v>22.4682</v>
      </c>
      <c r="K736" s="4"/>
      <c r="L736" s="9">
        <v>29.306000000000001</v>
      </c>
      <c r="M736" s="9">
        <v>12.063700000000001</v>
      </c>
      <c r="N736" s="9">
        <v>4.9444999999999997</v>
      </c>
      <c r="O736" s="9">
        <v>0.37409999999999999</v>
      </c>
      <c r="P736" s="9">
        <v>1.2927</v>
      </c>
      <c r="Q736" s="9">
        <v>19.688099999999999</v>
      </c>
      <c r="R736" s="9"/>
      <c r="S736" s="11"/>
    </row>
    <row r="737" spans="1:19" ht="15.75">
      <c r="A737" s="13">
        <v>63585</v>
      </c>
      <c r="B737" s="8">
        <f>CHOOSE( CONTROL!$C$36, 23.8709, 23.8699) * CHOOSE(CONTROL!$C$19, $D$11, 100%, $F$11)</f>
        <v>23.870899999999999</v>
      </c>
      <c r="C737" s="8">
        <f>CHOOSE( CONTROL!$C$36, 23.876, 23.875) * CHOOSE(CONTROL!$C$19, $D$11, 100%, $F$11)</f>
        <v>23.876000000000001</v>
      </c>
      <c r="D737" s="8">
        <f>CHOOSE( CONTROL!$C$36, 23.8773, 23.8762) * CHOOSE( CONTROL!$C$19, $D$11, 100%, $F$11)</f>
        <v>23.877300000000002</v>
      </c>
      <c r="E737" s="12">
        <f>CHOOSE( CONTROL!$C$36, 23.8763, 23.8752) * CHOOSE( CONTROL!$C$19, $D$11, 100%, $F$11)</f>
        <v>23.876300000000001</v>
      </c>
      <c r="F737" s="4">
        <f>CHOOSE( CONTROL!$C$36, 24.5302, 24.5291) * CHOOSE(CONTROL!$C$19, $D$11, 100%, $F$11)</f>
        <v>24.530200000000001</v>
      </c>
      <c r="G737" s="8">
        <f>CHOOSE( CONTROL!$C$36, 23.5847, 23.5836) * CHOOSE( CONTROL!$C$19, $D$11, 100%, $F$11)</f>
        <v>23.584700000000002</v>
      </c>
      <c r="H737" s="4">
        <f>CHOOSE( CONTROL!$C$36, 24.4618, 24.4607) * CHOOSE(CONTROL!$C$19, $D$11, 100%, $F$11)</f>
        <v>24.4618</v>
      </c>
      <c r="I737" s="8">
        <f>CHOOSE( CONTROL!$C$36, 23.3063, 23.3052) * CHOOSE(CONTROL!$C$19, $D$11, 100%, $F$11)</f>
        <v>23.3063</v>
      </c>
      <c r="J737" s="4">
        <f>CHOOSE( CONTROL!$C$36, 23.1309, 23.1298) * CHOOSE(CONTROL!$C$19, $D$11, 100%, $F$11)</f>
        <v>23.1309</v>
      </c>
      <c r="K737" s="4"/>
      <c r="L737" s="9">
        <v>29.306000000000001</v>
      </c>
      <c r="M737" s="9">
        <v>12.063700000000001</v>
      </c>
      <c r="N737" s="9">
        <v>4.9444999999999997</v>
      </c>
      <c r="O737" s="9">
        <v>0.37409999999999999</v>
      </c>
      <c r="P737" s="9">
        <v>1.2927</v>
      </c>
      <c r="Q737" s="9">
        <v>19.688099999999999</v>
      </c>
      <c r="R737" s="9"/>
      <c r="S737" s="11"/>
    </row>
    <row r="738" spans="1:19" ht="15.75">
      <c r="A738" s="13">
        <v>63613</v>
      </c>
      <c r="B738" s="8">
        <f>CHOOSE( CONTROL!$C$36, 22.3267, 22.3256) * CHOOSE(CONTROL!$C$19, $D$11, 100%, $F$11)</f>
        <v>22.326699999999999</v>
      </c>
      <c r="C738" s="8">
        <f>CHOOSE( CONTROL!$C$36, 22.3318, 22.3307) * CHOOSE(CONTROL!$C$19, $D$11, 100%, $F$11)</f>
        <v>22.331800000000001</v>
      </c>
      <c r="D738" s="8">
        <f>CHOOSE( CONTROL!$C$36, 22.3329, 22.3319) * CHOOSE( CONTROL!$C$19, $D$11, 100%, $F$11)</f>
        <v>22.332899999999999</v>
      </c>
      <c r="E738" s="12">
        <f>CHOOSE( CONTROL!$C$36, 22.332, 22.3309) * CHOOSE( CONTROL!$C$19, $D$11, 100%, $F$11)</f>
        <v>22.332000000000001</v>
      </c>
      <c r="F738" s="4">
        <f>CHOOSE( CONTROL!$C$36, 22.9859, 22.9849) * CHOOSE(CONTROL!$C$19, $D$11, 100%, $F$11)</f>
        <v>22.985900000000001</v>
      </c>
      <c r="G738" s="8">
        <f>CHOOSE( CONTROL!$C$36, 22.0619, 22.0608) * CHOOSE( CONTROL!$C$19, $D$11, 100%, $F$11)</f>
        <v>22.061900000000001</v>
      </c>
      <c r="H738" s="4">
        <f>CHOOSE( CONTROL!$C$36, 22.9391, 22.938) * CHOOSE(CONTROL!$C$19, $D$11, 100%, $F$11)</f>
        <v>22.9391</v>
      </c>
      <c r="I738" s="8">
        <f>CHOOSE( CONTROL!$C$36, 21.8098, 21.8088) * CHOOSE(CONTROL!$C$19, $D$11, 100%, $F$11)</f>
        <v>21.809799999999999</v>
      </c>
      <c r="J738" s="4">
        <f>CHOOSE( CONTROL!$C$36, 21.6356, 21.6345) * CHOOSE(CONTROL!$C$19, $D$11, 100%, $F$11)</f>
        <v>21.6356</v>
      </c>
      <c r="K738" s="4"/>
      <c r="L738" s="9">
        <v>26.469899999999999</v>
      </c>
      <c r="M738" s="9">
        <v>10.8962</v>
      </c>
      <c r="N738" s="9">
        <v>4.4660000000000002</v>
      </c>
      <c r="O738" s="9">
        <v>0.33789999999999998</v>
      </c>
      <c r="P738" s="9">
        <v>1.1676</v>
      </c>
      <c r="Q738" s="9">
        <v>17.782800000000002</v>
      </c>
      <c r="R738" s="9"/>
      <c r="S738" s="11"/>
    </row>
    <row r="739" spans="1:19" ht="15.75">
      <c r="A739" s="13">
        <v>63644</v>
      </c>
      <c r="B739" s="8">
        <f>CHOOSE( CONTROL!$C$36, 21.8511, 21.85) * CHOOSE(CONTROL!$C$19, $D$11, 100%, $F$11)</f>
        <v>21.851099999999999</v>
      </c>
      <c r="C739" s="8">
        <f>CHOOSE( CONTROL!$C$36, 21.8562, 21.8551) * CHOOSE(CONTROL!$C$19, $D$11, 100%, $F$11)</f>
        <v>21.856200000000001</v>
      </c>
      <c r="D739" s="8">
        <f>CHOOSE( CONTROL!$C$36, 21.8567, 21.8556) * CHOOSE( CONTROL!$C$19, $D$11, 100%, $F$11)</f>
        <v>21.8567</v>
      </c>
      <c r="E739" s="12">
        <f>CHOOSE( CONTROL!$C$36, 21.856, 21.8549) * CHOOSE( CONTROL!$C$19, $D$11, 100%, $F$11)</f>
        <v>21.856000000000002</v>
      </c>
      <c r="F739" s="4">
        <f>CHOOSE( CONTROL!$C$36, 22.5103, 22.5092) * CHOOSE(CONTROL!$C$19, $D$11, 100%, $F$11)</f>
        <v>22.510300000000001</v>
      </c>
      <c r="G739" s="8">
        <f>CHOOSE( CONTROL!$C$36, 21.5924, 21.5914) * CHOOSE( CONTROL!$C$19, $D$11, 100%, $F$11)</f>
        <v>21.592400000000001</v>
      </c>
      <c r="H739" s="4">
        <f>CHOOSE( CONTROL!$C$36, 22.4701, 22.469) * CHOOSE(CONTROL!$C$19, $D$11, 100%, $F$11)</f>
        <v>22.470099999999999</v>
      </c>
      <c r="I739" s="8">
        <f>CHOOSE( CONTROL!$C$36, 21.3471, 21.346) * CHOOSE(CONTROL!$C$19, $D$11, 100%, $F$11)</f>
        <v>21.347100000000001</v>
      </c>
      <c r="J739" s="4">
        <f>CHOOSE( CONTROL!$C$36, 21.175, 21.174) * CHOOSE(CONTROL!$C$19, $D$11, 100%, $F$11)</f>
        <v>21.175000000000001</v>
      </c>
      <c r="K739" s="4"/>
      <c r="L739" s="9">
        <v>29.306000000000001</v>
      </c>
      <c r="M739" s="9">
        <v>12.063700000000001</v>
      </c>
      <c r="N739" s="9">
        <v>4.9444999999999997</v>
      </c>
      <c r="O739" s="9">
        <v>0.37409999999999999</v>
      </c>
      <c r="P739" s="9">
        <v>1.2927</v>
      </c>
      <c r="Q739" s="9">
        <v>19.688099999999999</v>
      </c>
      <c r="R739" s="9"/>
      <c r="S739" s="11"/>
    </row>
    <row r="740" spans="1:19" ht="15.75">
      <c r="A740" s="13">
        <v>63674</v>
      </c>
      <c r="B740" s="8">
        <f>CHOOSE( CONTROL!$C$36, 22.1842, 22.1831) * CHOOSE(CONTROL!$C$19, $D$11, 100%, $F$11)</f>
        <v>22.184200000000001</v>
      </c>
      <c r="C740" s="8">
        <f>CHOOSE( CONTROL!$C$36, 22.1887, 22.1876) * CHOOSE(CONTROL!$C$19, $D$11, 100%, $F$11)</f>
        <v>22.188700000000001</v>
      </c>
      <c r="D740" s="8">
        <f>CHOOSE( CONTROL!$C$36, 22.2091, 22.208) * CHOOSE( CONTROL!$C$19, $D$11, 100%, $F$11)</f>
        <v>22.209099999999999</v>
      </c>
      <c r="E740" s="12">
        <f>CHOOSE( CONTROL!$C$36, 22.2018, 22.2007) * CHOOSE( CONTROL!$C$19, $D$11, 100%, $F$11)</f>
        <v>22.201799999999999</v>
      </c>
      <c r="F740" s="4">
        <f>CHOOSE( CONTROL!$C$36, 22.9186, 22.9175) * CHOOSE(CONTROL!$C$19, $D$11, 100%, $F$11)</f>
        <v>22.918600000000001</v>
      </c>
      <c r="G740" s="8">
        <f>CHOOSE( CONTROL!$C$36, 21.9283, 21.9272) * CHOOSE( CONTROL!$C$19, $D$11, 100%, $F$11)</f>
        <v>21.9283</v>
      </c>
      <c r="H740" s="4">
        <f>CHOOSE( CONTROL!$C$36, 22.8727, 22.8716) * CHOOSE(CONTROL!$C$19, $D$11, 100%, $F$11)</f>
        <v>22.872699999999998</v>
      </c>
      <c r="I740" s="8">
        <f>CHOOSE( CONTROL!$C$36, 21.6385, 21.6375) * CHOOSE(CONTROL!$C$19, $D$11, 100%, $F$11)</f>
        <v>21.638500000000001</v>
      </c>
      <c r="J740" s="4">
        <f>CHOOSE( CONTROL!$C$36, 21.4969, 21.4958) * CHOOSE(CONTROL!$C$19, $D$11, 100%, $F$11)</f>
        <v>21.4969</v>
      </c>
      <c r="K740" s="4"/>
      <c r="L740" s="9">
        <v>30.092199999999998</v>
      </c>
      <c r="M740" s="9">
        <v>11.6745</v>
      </c>
      <c r="N740" s="9">
        <v>4.7850000000000001</v>
      </c>
      <c r="O740" s="9">
        <v>0.36199999999999999</v>
      </c>
      <c r="P740" s="9">
        <v>1.2509999999999999</v>
      </c>
      <c r="Q740" s="9">
        <v>19.053000000000001</v>
      </c>
      <c r="R740" s="9"/>
      <c r="S740" s="11"/>
    </row>
    <row r="741" spans="1:19" ht="15.75">
      <c r="A741" s="13">
        <v>63705</v>
      </c>
      <c r="B741" s="8">
        <f>CHOOSE( CONTROL!$C$36, 22.7776, 22.776) * CHOOSE(CONTROL!$C$19, $D$11, 100%, $F$11)</f>
        <v>22.7776</v>
      </c>
      <c r="C741" s="8">
        <f>CHOOSE( CONTROL!$C$36, 22.7856, 22.784) * CHOOSE(CONTROL!$C$19, $D$11, 100%, $F$11)</f>
        <v>22.785599999999999</v>
      </c>
      <c r="D741" s="8">
        <f>CHOOSE( CONTROL!$C$36, 22.7998, 22.7982) * CHOOSE( CONTROL!$C$19, $D$11, 100%, $F$11)</f>
        <v>22.799800000000001</v>
      </c>
      <c r="E741" s="12">
        <f>CHOOSE( CONTROL!$C$36, 22.7934, 22.7918) * CHOOSE( CONTROL!$C$19, $D$11, 100%, $F$11)</f>
        <v>22.793399999999998</v>
      </c>
      <c r="F741" s="4">
        <f>CHOOSE( CONTROL!$C$36, 23.5107, 23.509) * CHOOSE(CONTROL!$C$19, $D$11, 100%, $F$11)</f>
        <v>23.5107</v>
      </c>
      <c r="G741" s="8">
        <f>CHOOSE( CONTROL!$C$36, 22.512, 22.5104) * CHOOSE( CONTROL!$C$19, $D$11, 100%, $F$11)</f>
        <v>22.512</v>
      </c>
      <c r="H741" s="4">
        <f>CHOOSE( CONTROL!$C$36, 23.4565, 23.4549) * CHOOSE(CONTROL!$C$19, $D$11, 100%, $F$11)</f>
        <v>23.456499999999998</v>
      </c>
      <c r="I741" s="8">
        <f>CHOOSE( CONTROL!$C$36, 22.2117, 22.2101) * CHOOSE(CONTROL!$C$19, $D$11, 100%, $F$11)</f>
        <v>22.2117</v>
      </c>
      <c r="J741" s="4">
        <f>CHOOSE( CONTROL!$C$36, 22.0702, 22.0686) * CHOOSE(CONTROL!$C$19, $D$11, 100%, $F$11)</f>
        <v>22.0702</v>
      </c>
      <c r="K741" s="4"/>
      <c r="L741" s="9">
        <v>30.7165</v>
      </c>
      <c r="M741" s="9">
        <v>12.063700000000001</v>
      </c>
      <c r="N741" s="9">
        <v>4.9444999999999997</v>
      </c>
      <c r="O741" s="9">
        <v>0.37409999999999999</v>
      </c>
      <c r="P741" s="9">
        <v>1.2927</v>
      </c>
      <c r="Q741" s="9">
        <v>19.688099999999999</v>
      </c>
      <c r="R741" s="9"/>
      <c r="S741" s="11"/>
    </row>
    <row r="742" spans="1:19" ht="15.75">
      <c r="A742" s="13">
        <v>63735</v>
      </c>
      <c r="B742" s="8">
        <f>CHOOSE( CONTROL!$C$36, 22.4112, 22.4096) * CHOOSE(CONTROL!$C$19, $D$11, 100%, $F$11)</f>
        <v>22.411200000000001</v>
      </c>
      <c r="C742" s="8">
        <f>CHOOSE( CONTROL!$C$36, 22.4192, 22.4176) * CHOOSE(CONTROL!$C$19, $D$11, 100%, $F$11)</f>
        <v>22.4192</v>
      </c>
      <c r="D742" s="8">
        <f>CHOOSE( CONTROL!$C$36, 22.4336, 22.4319) * CHOOSE( CONTROL!$C$19, $D$11, 100%, $F$11)</f>
        <v>22.433599999999998</v>
      </c>
      <c r="E742" s="12">
        <f>CHOOSE( CONTROL!$C$36, 22.4272, 22.4255) * CHOOSE( CONTROL!$C$19, $D$11, 100%, $F$11)</f>
        <v>22.427199999999999</v>
      </c>
      <c r="F742" s="4">
        <f>CHOOSE( CONTROL!$C$36, 23.1442, 23.1426) * CHOOSE(CONTROL!$C$19, $D$11, 100%, $F$11)</f>
        <v>23.144200000000001</v>
      </c>
      <c r="G742" s="8">
        <f>CHOOSE( CONTROL!$C$36, 22.1509, 22.1492) * CHOOSE( CONTROL!$C$19, $D$11, 100%, $F$11)</f>
        <v>22.1509</v>
      </c>
      <c r="H742" s="4">
        <f>CHOOSE( CONTROL!$C$36, 23.0952, 23.0936) * CHOOSE(CONTROL!$C$19, $D$11, 100%, $F$11)</f>
        <v>23.095199999999998</v>
      </c>
      <c r="I742" s="8">
        <f>CHOOSE( CONTROL!$C$36, 21.8574, 21.8558) * CHOOSE(CONTROL!$C$19, $D$11, 100%, $F$11)</f>
        <v>21.857399999999998</v>
      </c>
      <c r="J742" s="4">
        <f>CHOOSE( CONTROL!$C$36, 21.7154, 21.7138) * CHOOSE(CONTROL!$C$19, $D$11, 100%, $F$11)</f>
        <v>21.715399999999999</v>
      </c>
      <c r="K742" s="4"/>
      <c r="L742" s="9">
        <v>29.7257</v>
      </c>
      <c r="M742" s="9">
        <v>11.6745</v>
      </c>
      <c r="N742" s="9">
        <v>4.7850000000000001</v>
      </c>
      <c r="O742" s="9">
        <v>0.36199999999999999</v>
      </c>
      <c r="P742" s="9">
        <v>1.2509999999999999</v>
      </c>
      <c r="Q742" s="9">
        <v>19.053000000000001</v>
      </c>
      <c r="R742" s="9"/>
      <c r="S742" s="11"/>
    </row>
    <row r="743" spans="1:19" ht="15.75">
      <c r="A743" s="13">
        <v>63766</v>
      </c>
      <c r="B743" s="8">
        <f>CHOOSE( CONTROL!$C$36, 23.3762, 23.3745) * CHOOSE(CONTROL!$C$19, $D$11, 100%, $F$11)</f>
        <v>23.376200000000001</v>
      </c>
      <c r="C743" s="8">
        <f>CHOOSE( CONTROL!$C$36, 23.3842, 23.3825) * CHOOSE(CONTROL!$C$19, $D$11, 100%, $F$11)</f>
        <v>23.3842</v>
      </c>
      <c r="D743" s="8">
        <f>CHOOSE( CONTROL!$C$36, 23.3988, 23.3971) * CHOOSE( CONTROL!$C$19, $D$11, 100%, $F$11)</f>
        <v>23.398800000000001</v>
      </c>
      <c r="E743" s="12">
        <f>CHOOSE( CONTROL!$C$36, 23.3923, 23.3906) * CHOOSE( CONTROL!$C$19, $D$11, 100%, $F$11)</f>
        <v>23.392299999999999</v>
      </c>
      <c r="F743" s="4">
        <f>CHOOSE( CONTROL!$C$36, 24.1092, 24.1075) * CHOOSE(CONTROL!$C$19, $D$11, 100%, $F$11)</f>
        <v>24.109200000000001</v>
      </c>
      <c r="G743" s="8">
        <f>CHOOSE( CONTROL!$C$36, 23.1026, 23.1009) * CHOOSE( CONTROL!$C$19, $D$11, 100%, $F$11)</f>
        <v>23.102599999999999</v>
      </c>
      <c r="H743" s="4">
        <f>CHOOSE( CONTROL!$C$36, 24.0467, 24.045) * CHOOSE(CONTROL!$C$19, $D$11, 100%, $F$11)</f>
        <v>24.046700000000001</v>
      </c>
      <c r="I743" s="8">
        <f>CHOOSE( CONTROL!$C$36, 22.7931, 22.7915) * CHOOSE(CONTROL!$C$19, $D$11, 100%, $F$11)</f>
        <v>22.793099999999999</v>
      </c>
      <c r="J743" s="4">
        <f>CHOOSE( CONTROL!$C$36, 22.6497, 22.6481) * CHOOSE(CONTROL!$C$19, $D$11, 100%, $F$11)</f>
        <v>22.649699999999999</v>
      </c>
      <c r="K743" s="4"/>
      <c r="L743" s="9">
        <v>30.7165</v>
      </c>
      <c r="M743" s="9">
        <v>12.063700000000001</v>
      </c>
      <c r="N743" s="9">
        <v>4.9444999999999997</v>
      </c>
      <c r="O743" s="9">
        <v>0.37409999999999999</v>
      </c>
      <c r="P743" s="9">
        <v>1.2927</v>
      </c>
      <c r="Q743" s="9">
        <v>19.688099999999999</v>
      </c>
      <c r="R743" s="9"/>
      <c r="S743" s="11"/>
    </row>
    <row r="744" spans="1:19" ht="15.75">
      <c r="A744" s="13">
        <v>63797</v>
      </c>
      <c r="B744" s="8">
        <f>CHOOSE( CONTROL!$C$36, 21.5707, 21.569) * CHOOSE(CONTROL!$C$19, $D$11, 100%, $F$11)</f>
        <v>21.570699999999999</v>
      </c>
      <c r="C744" s="8">
        <f>CHOOSE( CONTROL!$C$36, 21.5786, 21.577) * CHOOSE(CONTROL!$C$19, $D$11, 100%, $F$11)</f>
        <v>21.578600000000002</v>
      </c>
      <c r="D744" s="8">
        <f>CHOOSE( CONTROL!$C$36, 21.5933, 21.5917) * CHOOSE( CONTROL!$C$19, $D$11, 100%, $F$11)</f>
        <v>21.593299999999999</v>
      </c>
      <c r="E744" s="12">
        <f>CHOOSE( CONTROL!$C$36, 21.5868, 21.5852) * CHOOSE( CONTROL!$C$19, $D$11, 100%, $F$11)</f>
        <v>21.5868</v>
      </c>
      <c r="F744" s="4">
        <f>CHOOSE( CONTROL!$C$36, 22.3037, 22.302) * CHOOSE(CONTROL!$C$19, $D$11, 100%, $F$11)</f>
        <v>22.303699999999999</v>
      </c>
      <c r="G744" s="8">
        <f>CHOOSE( CONTROL!$C$36, 21.3223, 21.3207) * CHOOSE( CONTROL!$C$19, $D$11, 100%, $F$11)</f>
        <v>21.322299999999998</v>
      </c>
      <c r="H744" s="4">
        <f>CHOOSE( CONTROL!$C$36, 22.2664, 22.2647) * CHOOSE(CONTROL!$C$19, $D$11, 100%, $F$11)</f>
        <v>22.266400000000001</v>
      </c>
      <c r="I744" s="8">
        <f>CHOOSE( CONTROL!$C$36, 21.0441, 21.0425) * CHOOSE(CONTROL!$C$19, $D$11, 100%, $F$11)</f>
        <v>21.0441</v>
      </c>
      <c r="J744" s="4">
        <f>CHOOSE( CONTROL!$C$36, 20.9015, 20.8998) * CHOOSE(CONTROL!$C$19, $D$11, 100%, $F$11)</f>
        <v>20.901499999999999</v>
      </c>
      <c r="K744" s="4"/>
      <c r="L744" s="9">
        <v>30.7165</v>
      </c>
      <c r="M744" s="9">
        <v>12.063700000000001</v>
      </c>
      <c r="N744" s="9">
        <v>4.9444999999999997</v>
      </c>
      <c r="O744" s="9">
        <v>0.37409999999999999</v>
      </c>
      <c r="P744" s="9">
        <v>1.2927</v>
      </c>
      <c r="Q744" s="9">
        <v>19.688099999999999</v>
      </c>
      <c r="R744" s="9"/>
      <c r="S744" s="11"/>
    </row>
    <row r="745" spans="1:19" ht="15.75">
      <c r="A745" s="13">
        <v>63827</v>
      </c>
      <c r="B745" s="8">
        <f>CHOOSE( CONTROL!$C$36, 21.1185, 21.1169) * CHOOSE(CONTROL!$C$19, $D$11, 100%, $F$11)</f>
        <v>21.118500000000001</v>
      </c>
      <c r="C745" s="8">
        <f>CHOOSE( CONTROL!$C$36, 21.1265, 21.1249) * CHOOSE(CONTROL!$C$19, $D$11, 100%, $F$11)</f>
        <v>21.1265</v>
      </c>
      <c r="D745" s="8">
        <f>CHOOSE( CONTROL!$C$36, 21.1411, 21.1395) * CHOOSE( CONTROL!$C$19, $D$11, 100%, $F$11)</f>
        <v>21.141100000000002</v>
      </c>
      <c r="E745" s="12">
        <f>CHOOSE( CONTROL!$C$36, 21.1346, 21.133) * CHOOSE( CONTROL!$C$19, $D$11, 100%, $F$11)</f>
        <v>21.134599999999999</v>
      </c>
      <c r="F745" s="4">
        <f>CHOOSE( CONTROL!$C$36, 21.8516, 21.8499) * CHOOSE(CONTROL!$C$19, $D$11, 100%, $F$11)</f>
        <v>21.851600000000001</v>
      </c>
      <c r="G745" s="8">
        <f>CHOOSE( CONTROL!$C$36, 20.8764, 20.8748) * CHOOSE( CONTROL!$C$19, $D$11, 100%, $F$11)</f>
        <v>20.8764</v>
      </c>
      <c r="H745" s="4">
        <f>CHOOSE( CONTROL!$C$36, 21.8206, 21.8189) * CHOOSE(CONTROL!$C$19, $D$11, 100%, $F$11)</f>
        <v>21.820599999999999</v>
      </c>
      <c r="I745" s="8">
        <f>CHOOSE( CONTROL!$C$36, 20.6058, 20.6042) * CHOOSE(CONTROL!$C$19, $D$11, 100%, $F$11)</f>
        <v>20.605799999999999</v>
      </c>
      <c r="J745" s="4">
        <f>CHOOSE( CONTROL!$C$36, 20.4637, 20.4621) * CHOOSE(CONTROL!$C$19, $D$11, 100%, $F$11)</f>
        <v>20.463699999999999</v>
      </c>
      <c r="K745" s="4"/>
      <c r="L745" s="9">
        <v>29.7257</v>
      </c>
      <c r="M745" s="9">
        <v>11.6745</v>
      </c>
      <c r="N745" s="9">
        <v>4.7850000000000001</v>
      </c>
      <c r="O745" s="9">
        <v>0.36199999999999999</v>
      </c>
      <c r="P745" s="9">
        <v>1.2509999999999999</v>
      </c>
      <c r="Q745" s="9">
        <v>19.053000000000001</v>
      </c>
      <c r="R745" s="9"/>
      <c r="S745" s="11"/>
    </row>
    <row r="746" spans="1:19" ht="15.75">
      <c r="A746" s="13">
        <v>63858</v>
      </c>
      <c r="B746" s="8">
        <f>CHOOSE( CONTROL!$C$36, 22.055, 22.0539) * CHOOSE(CONTROL!$C$19, $D$11, 100%, $F$11)</f>
        <v>22.055</v>
      </c>
      <c r="C746" s="8">
        <f>CHOOSE( CONTROL!$C$36, 22.0603, 22.0593) * CHOOSE(CONTROL!$C$19, $D$11, 100%, $F$11)</f>
        <v>22.060300000000002</v>
      </c>
      <c r="D746" s="8">
        <f>CHOOSE( CONTROL!$C$36, 22.0808, 22.0797) * CHOOSE( CONTROL!$C$19, $D$11, 100%, $F$11)</f>
        <v>22.0808</v>
      </c>
      <c r="E746" s="12">
        <f>CHOOSE( CONTROL!$C$36, 22.0735, 22.0724) * CHOOSE( CONTROL!$C$19, $D$11, 100%, $F$11)</f>
        <v>22.073499999999999</v>
      </c>
      <c r="F746" s="4">
        <f>CHOOSE( CONTROL!$C$36, 22.7897, 22.7887) * CHOOSE(CONTROL!$C$19, $D$11, 100%, $F$11)</f>
        <v>22.7897</v>
      </c>
      <c r="G746" s="8">
        <f>CHOOSE( CONTROL!$C$36, 21.8017, 21.8006) * CHOOSE( CONTROL!$C$19, $D$11, 100%, $F$11)</f>
        <v>21.8017</v>
      </c>
      <c r="H746" s="4">
        <f>CHOOSE( CONTROL!$C$36, 22.7456, 22.7446) * CHOOSE(CONTROL!$C$19, $D$11, 100%, $F$11)</f>
        <v>22.7456</v>
      </c>
      <c r="I746" s="8">
        <f>CHOOSE( CONTROL!$C$36, 21.5157, 21.5147) * CHOOSE(CONTROL!$C$19, $D$11, 100%, $F$11)</f>
        <v>21.515699999999999</v>
      </c>
      <c r="J746" s="4">
        <f>CHOOSE( CONTROL!$C$36, 21.3721, 21.3711) * CHOOSE(CONTROL!$C$19, $D$11, 100%, $F$11)</f>
        <v>21.3721</v>
      </c>
      <c r="K746" s="4"/>
      <c r="L746" s="9">
        <v>31.095300000000002</v>
      </c>
      <c r="M746" s="9">
        <v>12.063700000000001</v>
      </c>
      <c r="N746" s="9">
        <v>4.9444999999999997</v>
      </c>
      <c r="O746" s="9">
        <v>0.37409999999999999</v>
      </c>
      <c r="P746" s="9">
        <v>1.2927</v>
      </c>
      <c r="Q746" s="9">
        <v>19.688099999999999</v>
      </c>
      <c r="R746" s="9"/>
      <c r="S746" s="11"/>
    </row>
    <row r="747" spans="1:19" ht="15.75">
      <c r="A747" s="13">
        <v>63888</v>
      </c>
      <c r="B747" s="8">
        <f>CHOOSE( CONTROL!$C$36, 23.7873, 23.7862) * CHOOSE(CONTROL!$C$19, $D$11, 100%, $F$11)</f>
        <v>23.787299999999998</v>
      </c>
      <c r="C747" s="8">
        <f>CHOOSE( CONTROL!$C$36, 23.7924, 23.7913) * CHOOSE(CONTROL!$C$19, $D$11, 100%, $F$11)</f>
        <v>23.792400000000001</v>
      </c>
      <c r="D747" s="8">
        <f>CHOOSE( CONTROL!$C$36, 23.7717, 23.7706) * CHOOSE( CONTROL!$C$19, $D$11, 100%, $F$11)</f>
        <v>23.771699999999999</v>
      </c>
      <c r="E747" s="12">
        <f>CHOOSE( CONTROL!$C$36, 23.7787, 23.7776) * CHOOSE( CONTROL!$C$19, $D$11, 100%, $F$11)</f>
        <v>23.778700000000001</v>
      </c>
      <c r="F747" s="4">
        <f>CHOOSE( CONTROL!$C$36, 24.4466, 24.4455) * CHOOSE(CONTROL!$C$19, $D$11, 100%, $F$11)</f>
        <v>24.4466</v>
      </c>
      <c r="G747" s="8">
        <f>CHOOSE( CONTROL!$C$36, 23.4902, 23.4891) * CHOOSE( CONTROL!$C$19, $D$11, 100%, $F$11)</f>
        <v>23.490200000000002</v>
      </c>
      <c r="H747" s="4">
        <f>CHOOSE( CONTROL!$C$36, 24.3794, 24.3783) * CHOOSE(CONTROL!$C$19, $D$11, 100%, $F$11)</f>
        <v>24.3794</v>
      </c>
      <c r="I747" s="8">
        <f>CHOOSE( CONTROL!$C$36, 23.2435, 23.2424) * CHOOSE(CONTROL!$C$19, $D$11, 100%, $F$11)</f>
        <v>23.243500000000001</v>
      </c>
      <c r="J747" s="4">
        <f>CHOOSE( CONTROL!$C$36, 23.0499, 23.0489) * CHOOSE(CONTROL!$C$19, $D$11, 100%, $F$11)</f>
        <v>23.049900000000001</v>
      </c>
      <c r="K747" s="4"/>
      <c r="L747" s="9">
        <v>28.360600000000002</v>
      </c>
      <c r="M747" s="9">
        <v>11.6745</v>
      </c>
      <c r="N747" s="9">
        <v>4.7850000000000001</v>
      </c>
      <c r="O747" s="9">
        <v>0.36199999999999999</v>
      </c>
      <c r="P747" s="9">
        <v>1.2509999999999999</v>
      </c>
      <c r="Q747" s="9">
        <v>19.053000000000001</v>
      </c>
      <c r="R747" s="9"/>
      <c r="S747" s="11"/>
    </row>
    <row r="748" spans="1:19" ht="15.75">
      <c r="A748" s="13">
        <v>63919</v>
      </c>
      <c r="B748" s="8">
        <f>CHOOSE( CONTROL!$C$36, 23.744, 23.743) * CHOOSE(CONTROL!$C$19, $D$11, 100%, $F$11)</f>
        <v>23.744</v>
      </c>
      <c r="C748" s="8">
        <f>CHOOSE( CONTROL!$C$36, 23.7491, 23.7481) * CHOOSE(CONTROL!$C$19, $D$11, 100%, $F$11)</f>
        <v>23.749099999999999</v>
      </c>
      <c r="D748" s="8">
        <f>CHOOSE( CONTROL!$C$36, 23.7297, 23.7287) * CHOOSE( CONTROL!$C$19, $D$11, 100%, $F$11)</f>
        <v>23.729700000000001</v>
      </c>
      <c r="E748" s="12">
        <f>CHOOSE( CONTROL!$C$36, 23.7363, 23.7353) * CHOOSE( CONTROL!$C$19, $D$11, 100%, $F$11)</f>
        <v>23.7363</v>
      </c>
      <c r="F748" s="4">
        <f>CHOOSE( CONTROL!$C$36, 24.4033, 24.4022) * CHOOSE(CONTROL!$C$19, $D$11, 100%, $F$11)</f>
        <v>24.403300000000002</v>
      </c>
      <c r="G748" s="8">
        <f>CHOOSE( CONTROL!$C$36, 23.4485, 23.4475) * CHOOSE( CONTROL!$C$19, $D$11, 100%, $F$11)</f>
        <v>23.448499999999999</v>
      </c>
      <c r="H748" s="4">
        <f>CHOOSE( CONTROL!$C$36, 24.3367, 24.3356) * CHOOSE(CONTROL!$C$19, $D$11, 100%, $F$11)</f>
        <v>24.3367</v>
      </c>
      <c r="I748" s="8">
        <f>CHOOSE( CONTROL!$C$36, 23.2058, 23.2048) * CHOOSE(CONTROL!$C$19, $D$11, 100%, $F$11)</f>
        <v>23.2058</v>
      </c>
      <c r="J748" s="4">
        <f>CHOOSE( CONTROL!$C$36, 23.008, 23.007) * CHOOSE(CONTROL!$C$19, $D$11, 100%, $F$11)</f>
        <v>23.007999999999999</v>
      </c>
      <c r="K748" s="4"/>
      <c r="L748" s="9">
        <v>29.306000000000001</v>
      </c>
      <c r="M748" s="9">
        <v>12.063700000000001</v>
      </c>
      <c r="N748" s="9">
        <v>4.9444999999999997</v>
      </c>
      <c r="O748" s="9">
        <v>0.37409999999999999</v>
      </c>
      <c r="P748" s="9">
        <v>1.2927</v>
      </c>
      <c r="Q748" s="9">
        <v>19.688099999999999</v>
      </c>
      <c r="R748" s="9"/>
      <c r="S748" s="11"/>
    </row>
    <row r="749" spans="1:19" ht="15.75">
      <c r="A749" s="13">
        <v>63950</v>
      </c>
      <c r="B749" s="8">
        <f>CHOOSE( CONTROL!$C$36, 24.4449, 24.4438) * CHOOSE(CONTROL!$C$19, $D$11, 100%, $F$11)</f>
        <v>24.444900000000001</v>
      </c>
      <c r="C749" s="8">
        <f>CHOOSE( CONTROL!$C$36, 24.45, 24.4489) * CHOOSE(CONTROL!$C$19, $D$11, 100%, $F$11)</f>
        <v>24.45</v>
      </c>
      <c r="D749" s="8">
        <f>CHOOSE( CONTROL!$C$36, 24.4513, 24.4502) * CHOOSE( CONTROL!$C$19, $D$11, 100%, $F$11)</f>
        <v>24.4513</v>
      </c>
      <c r="E749" s="12">
        <f>CHOOSE( CONTROL!$C$36, 24.4503, 24.4492) * CHOOSE( CONTROL!$C$19, $D$11, 100%, $F$11)</f>
        <v>24.450299999999999</v>
      </c>
      <c r="F749" s="4">
        <f>CHOOSE( CONTROL!$C$36, 25.1041, 25.1031) * CHOOSE(CONTROL!$C$19, $D$11, 100%, $F$11)</f>
        <v>25.104099999999999</v>
      </c>
      <c r="G749" s="8">
        <f>CHOOSE( CONTROL!$C$36, 24.1506, 24.1496) * CHOOSE( CONTROL!$C$19, $D$11, 100%, $F$11)</f>
        <v>24.150600000000001</v>
      </c>
      <c r="H749" s="4">
        <f>CHOOSE( CONTROL!$C$36, 25.0278, 25.0267) * CHOOSE(CONTROL!$C$19, $D$11, 100%, $F$11)</f>
        <v>25.027799999999999</v>
      </c>
      <c r="I749" s="8">
        <f>CHOOSE( CONTROL!$C$36, 23.8623, 23.8613) * CHOOSE(CONTROL!$C$19, $D$11, 100%, $F$11)</f>
        <v>23.862300000000001</v>
      </c>
      <c r="J749" s="4">
        <f>CHOOSE( CONTROL!$C$36, 23.6866, 23.6856) * CHOOSE(CONTROL!$C$19, $D$11, 100%, $F$11)</f>
        <v>23.686599999999999</v>
      </c>
      <c r="K749" s="4"/>
      <c r="L749" s="9">
        <v>29.306000000000001</v>
      </c>
      <c r="M749" s="9">
        <v>12.063700000000001</v>
      </c>
      <c r="N749" s="9">
        <v>4.9444999999999997</v>
      </c>
      <c r="O749" s="9">
        <v>0.37409999999999999</v>
      </c>
      <c r="P749" s="9">
        <v>1.2927</v>
      </c>
      <c r="Q749" s="9">
        <v>19.688099999999999</v>
      </c>
      <c r="R749" s="9"/>
      <c r="S749" s="11"/>
    </row>
    <row r="750" spans="1:19" ht="15.75">
      <c r="A750" s="13">
        <v>63978</v>
      </c>
      <c r="B750" s="8">
        <f>CHOOSE( CONTROL!$C$36, 22.8635, 22.8624) * CHOOSE(CONTROL!$C$19, $D$11, 100%, $F$11)</f>
        <v>22.863499999999998</v>
      </c>
      <c r="C750" s="8">
        <f>CHOOSE( CONTROL!$C$36, 22.8686, 22.8675) * CHOOSE(CONTROL!$C$19, $D$11, 100%, $F$11)</f>
        <v>22.868600000000001</v>
      </c>
      <c r="D750" s="8">
        <f>CHOOSE( CONTROL!$C$36, 22.8698, 22.8687) * CHOOSE( CONTROL!$C$19, $D$11, 100%, $F$11)</f>
        <v>22.869800000000001</v>
      </c>
      <c r="E750" s="12">
        <f>CHOOSE( CONTROL!$C$36, 22.8688, 22.8677) * CHOOSE( CONTROL!$C$19, $D$11, 100%, $F$11)</f>
        <v>22.8688</v>
      </c>
      <c r="F750" s="4">
        <f>CHOOSE( CONTROL!$C$36, 23.5228, 23.5217) * CHOOSE(CONTROL!$C$19, $D$11, 100%, $F$11)</f>
        <v>23.5228</v>
      </c>
      <c r="G750" s="8">
        <f>CHOOSE( CONTROL!$C$36, 22.5912, 22.5902) * CHOOSE( CONTROL!$C$19, $D$11, 100%, $F$11)</f>
        <v>22.591200000000001</v>
      </c>
      <c r="H750" s="4">
        <f>CHOOSE( CONTROL!$C$36, 23.4685, 23.4674) * CHOOSE(CONTROL!$C$19, $D$11, 100%, $F$11)</f>
        <v>23.468499999999999</v>
      </c>
      <c r="I750" s="8">
        <f>CHOOSE( CONTROL!$C$36, 22.3299, 22.3289) * CHOOSE(CONTROL!$C$19, $D$11, 100%, $F$11)</f>
        <v>22.329899999999999</v>
      </c>
      <c r="J750" s="4">
        <f>CHOOSE( CONTROL!$C$36, 22.1554, 22.1544) * CHOOSE(CONTROL!$C$19, $D$11, 100%, $F$11)</f>
        <v>22.1554</v>
      </c>
      <c r="K750" s="4"/>
      <c r="L750" s="9">
        <v>26.469899999999999</v>
      </c>
      <c r="M750" s="9">
        <v>10.8962</v>
      </c>
      <c r="N750" s="9">
        <v>4.4660000000000002</v>
      </c>
      <c r="O750" s="9">
        <v>0.33789999999999998</v>
      </c>
      <c r="P750" s="9">
        <v>1.1676</v>
      </c>
      <c r="Q750" s="9">
        <v>17.782800000000002</v>
      </c>
      <c r="R750" s="9"/>
      <c r="S750" s="11"/>
    </row>
    <row r="751" spans="1:19" ht="15.75">
      <c r="A751" s="13">
        <v>64009</v>
      </c>
      <c r="B751" s="8">
        <f>CHOOSE( CONTROL!$C$36, 22.3765, 22.3754) * CHOOSE(CONTROL!$C$19, $D$11, 100%, $F$11)</f>
        <v>22.3765</v>
      </c>
      <c r="C751" s="8">
        <f>CHOOSE( CONTROL!$C$36, 22.3816, 22.3805) * CHOOSE(CONTROL!$C$19, $D$11, 100%, $F$11)</f>
        <v>22.381599999999999</v>
      </c>
      <c r="D751" s="8">
        <f>CHOOSE( CONTROL!$C$36, 22.3821, 22.381) * CHOOSE( CONTROL!$C$19, $D$11, 100%, $F$11)</f>
        <v>22.382100000000001</v>
      </c>
      <c r="E751" s="12">
        <f>CHOOSE( CONTROL!$C$36, 22.3814, 22.3803) * CHOOSE( CONTROL!$C$19, $D$11, 100%, $F$11)</f>
        <v>22.381399999999999</v>
      </c>
      <c r="F751" s="4">
        <f>CHOOSE( CONTROL!$C$36, 23.0357, 23.0346) * CHOOSE(CONTROL!$C$19, $D$11, 100%, $F$11)</f>
        <v>23.035699999999999</v>
      </c>
      <c r="G751" s="8">
        <f>CHOOSE( CONTROL!$C$36, 22.1105, 22.1095) * CHOOSE( CONTROL!$C$19, $D$11, 100%, $F$11)</f>
        <v>22.110499999999998</v>
      </c>
      <c r="H751" s="4">
        <f>CHOOSE( CONTROL!$C$36, 22.9882, 22.9871) * CHOOSE(CONTROL!$C$19, $D$11, 100%, $F$11)</f>
        <v>22.988199999999999</v>
      </c>
      <c r="I751" s="8">
        <f>CHOOSE( CONTROL!$C$36, 21.8561, 21.855) * CHOOSE(CONTROL!$C$19, $D$11, 100%, $F$11)</f>
        <v>21.856100000000001</v>
      </c>
      <c r="J751" s="4">
        <f>CHOOSE( CONTROL!$C$36, 21.6838, 21.6827) * CHOOSE(CONTROL!$C$19, $D$11, 100%, $F$11)</f>
        <v>21.683800000000002</v>
      </c>
      <c r="K751" s="4"/>
      <c r="L751" s="9">
        <v>29.306000000000001</v>
      </c>
      <c r="M751" s="9">
        <v>12.063700000000001</v>
      </c>
      <c r="N751" s="9">
        <v>4.9444999999999997</v>
      </c>
      <c r="O751" s="9">
        <v>0.37409999999999999</v>
      </c>
      <c r="P751" s="9">
        <v>1.2927</v>
      </c>
      <c r="Q751" s="9">
        <v>19.688099999999999</v>
      </c>
      <c r="R751" s="9"/>
      <c r="S751" s="11"/>
    </row>
    <row r="752" spans="1:19" ht="15.75">
      <c r="A752" s="13">
        <v>64039</v>
      </c>
      <c r="B752" s="8">
        <f>CHOOSE( CONTROL!$C$36, 22.7176, 22.7165) * CHOOSE(CONTROL!$C$19, $D$11, 100%, $F$11)</f>
        <v>22.717600000000001</v>
      </c>
      <c r="C752" s="8">
        <f>CHOOSE( CONTROL!$C$36, 22.7221, 22.721) * CHOOSE(CONTROL!$C$19, $D$11, 100%, $F$11)</f>
        <v>22.722100000000001</v>
      </c>
      <c r="D752" s="8">
        <f>CHOOSE( CONTROL!$C$36, 22.7425, 22.7414) * CHOOSE( CONTROL!$C$19, $D$11, 100%, $F$11)</f>
        <v>22.7425</v>
      </c>
      <c r="E752" s="12">
        <f>CHOOSE( CONTROL!$C$36, 22.7352, 22.7341) * CHOOSE( CONTROL!$C$19, $D$11, 100%, $F$11)</f>
        <v>22.735199999999999</v>
      </c>
      <c r="F752" s="4">
        <f>CHOOSE( CONTROL!$C$36, 23.452, 23.4509) * CHOOSE(CONTROL!$C$19, $D$11, 100%, $F$11)</f>
        <v>23.452000000000002</v>
      </c>
      <c r="G752" s="8">
        <f>CHOOSE( CONTROL!$C$36, 22.4542, 22.4532) * CHOOSE( CONTROL!$C$19, $D$11, 100%, $F$11)</f>
        <v>22.4542</v>
      </c>
      <c r="H752" s="4">
        <f>CHOOSE( CONTROL!$C$36, 23.3986, 23.3976) * CHOOSE(CONTROL!$C$19, $D$11, 100%, $F$11)</f>
        <v>23.398599999999998</v>
      </c>
      <c r="I752" s="8">
        <f>CHOOSE( CONTROL!$C$36, 22.1553, 22.1542) * CHOOSE(CONTROL!$C$19, $D$11, 100%, $F$11)</f>
        <v>22.1553</v>
      </c>
      <c r="J752" s="4">
        <f>CHOOSE( CONTROL!$C$36, 22.0134, 22.0123) * CHOOSE(CONTROL!$C$19, $D$11, 100%, $F$11)</f>
        <v>22.013400000000001</v>
      </c>
      <c r="K752" s="4"/>
      <c r="L752" s="9">
        <v>30.092199999999998</v>
      </c>
      <c r="M752" s="9">
        <v>11.6745</v>
      </c>
      <c r="N752" s="9">
        <v>4.7850000000000001</v>
      </c>
      <c r="O752" s="9">
        <v>0.36199999999999999</v>
      </c>
      <c r="P752" s="9">
        <v>1.2509999999999999</v>
      </c>
      <c r="Q752" s="9">
        <v>19.053000000000001</v>
      </c>
      <c r="R752" s="9"/>
      <c r="S752" s="11"/>
    </row>
    <row r="753" spans="1:19" ht="15.75">
      <c r="A753" s="13">
        <v>64070</v>
      </c>
      <c r="B753" s="8">
        <f>CHOOSE( CONTROL!$C$36, 23.3253, 23.3236) * CHOOSE(CONTROL!$C$19, $D$11, 100%, $F$11)</f>
        <v>23.325299999999999</v>
      </c>
      <c r="C753" s="8">
        <f>CHOOSE( CONTROL!$C$36, 23.3333, 23.3316) * CHOOSE(CONTROL!$C$19, $D$11, 100%, $F$11)</f>
        <v>23.333300000000001</v>
      </c>
      <c r="D753" s="8">
        <f>CHOOSE( CONTROL!$C$36, 23.3474, 23.3458) * CHOOSE( CONTROL!$C$19, $D$11, 100%, $F$11)</f>
        <v>23.3474</v>
      </c>
      <c r="E753" s="12">
        <f>CHOOSE( CONTROL!$C$36, 23.3411, 23.3394) * CHOOSE( CONTROL!$C$19, $D$11, 100%, $F$11)</f>
        <v>23.341100000000001</v>
      </c>
      <c r="F753" s="4">
        <f>CHOOSE( CONTROL!$C$36, 24.0583, 24.0566) * CHOOSE(CONTROL!$C$19, $D$11, 100%, $F$11)</f>
        <v>24.058299999999999</v>
      </c>
      <c r="G753" s="8">
        <f>CHOOSE( CONTROL!$C$36, 23.052, 23.0504) * CHOOSE( CONTROL!$C$19, $D$11, 100%, $F$11)</f>
        <v>23.052</v>
      </c>
      <c r="H753" s="4">
        <f>CHOOSE( CONTROL!$C$36, 23.9965, 23.9948) * CHOOSE(CONTROL!$C$19, $D$11, 100%, $F$11)</f>
        <v>23.996500000000001</v>
      </c>
      <c r="I753" s="8">
        <f>CHOOSE( CONTROL!$C$36, 22.7423, 22.7407) * CHOOSE(CONTROL!$C$19, $D$11, 100%, $F$11)</f>
        <v>22.7423</v>
      </c>
      <c r="J753" s="4">
        <f>CHOOSE( CONTROL!$C$36, 22.6004, 22.5988) * CHOOSE(CONTROL!$C$19, $D$11, 100%, $F$11)</f>
        <v>22.6004</v>
      </c>
      <c r="K753" s="4"/>
      <c r="L753" s="9">
        <v>30.7165</v>
      </c>
      <c r="M753" s="9">
        <v>12.063700000000001</v>
      </c>
      <c r="N753" s="9">
        <v>4.9444999999999997</v>
      </c>
      <c r="O753" s="9">
        <v>0.37409999999999999</v>
      </c>
      <c r="P753" s="9">
        <v>1.2927</v>
      </c>
      <c r="Q753" s="9">
        <v>19.688099999999999</v>
      </c>
      <c r="R753" s="9"/>
      <c r="S753" s="11"/>
    </row>
    <row r="754" spans="1:19" ht="15.75">
      <c r="A754" s="13">
        <v>64100</v>
      </c>
      <c r="B754" s="8">
        <f>CHOOSE( CONTROL!$C$36, 22.95, 22.9484) * CHOOSE(CONTROL!$C$19, $D$11, 100%, $F$11)</f>
        <v>22.95</v>
      </c>
      <c r="C754" s="8">
        <f>CHOOSE( CONTROL!$C$36, 22.958, 22.9564) * CHOOSE(CONTROL!$C$19, $D$11, 100%, $F$11)</f>
        <v>22.957999999999998</v>
      </c>
      <c r="D754" s="8">
        <f>CHOOSE( CONTROL!$C$36, 22.9724, 22.9707) * CHOOSE( CONTROL!$C$19, $D$11, 100%, $F$11)</f>
        <v>22.9724</v>
      </c>
      <c r="E754" s="12">
        <f>CHOOSE( CONTROL!$C$36, 22.966, 22.9643) * CHOOSE( CONTROL!$C$19, $D$11, 100%, $F$11)</f>
        <v>22.966000000000001</v>
      </c>
      <c r="F754" s="4">
        <f>CHOOSE( CONTROL!$C$36, 23.6831, 23.6814) * CHOOSE(CONTROL!$C$19, $D$11, 100%, $F$11)</f>
        <v>23.6831</v>
      </c>
      <c r="G754" s="8">
        <f>CHOOSE( CONTROL!$C$36, 22.6822, 22.6805) * CHOOSE( CONTROL!$C$19, $D$11, 100%, $F$11)</f>
        <v>22.682200000000002</v>
      </c>
      <c r="H754" s="4">
        <f>CHOOSE( CONTROL!$C$36, 23.6265, 23.6249) * CHOOSE(CONTROL!$C$19, $D$11, 100%, $F$11)</f>
        <v>23.6265</v>
      </c>
      <c r="I754" s="8">
        <f>CHOOSE( CONTROL!$C$36, 22.3794, 22.3778) * CHOOSE(CONTROL!$C$19, $D$11, 100%, $F$11)</f>
        <v>22.3794</v>
      </c>
      <c r="J754" s="4">
        <f>CHOOSE( CONTROL!$C$36, 22.2371, 22.2355) * CHOOSE(CONTROL!$C$19, $D$11, 100%, $F$11)</f>
        <v>22.237100000000002</v>
      </c>
      <c r="K754" s="4"/>
      <c r="L754" s="9">
        <v>29.7257</v>
      </c>
      <c r="M754" s="9">
        <v>11.6745</v>
      </c>
      <c r="N754" s="9">
        <v>4.7850000000000001</v>
      </c>
      <c r="O754" s="9">
        <v>0.36199999999999999</v>
      </c>
      <c r="P754" s="9">
        <v>1.2509999999999999</v>
      </c>
      <c r="Q754" s="9">
        <v>19.053000000000001</v>
      </c>
      <c r="R754" s="9"/>
      <c r="S754" s="11"/>
    </row>
    <row r="755" spans="1:19" ht="15.75">
      <c r="A755" s="13">
        <v>64131</v>
      </c>
      <c r="B755" s="8">
        <f>CHOOSE( CONTROL!$C$36, 23.9381, 23.9365) * CHOOSE(CONTROL!$C$19, $D$11, 100%, $F$11)</f>
        <v>23.938099999999999</v>
      </c>
      <c r="C755" s="8">
        <f>CHOOSE( CONTROL!$C$36, 23.9461, 23.9445) * CHOOSE(CONTROL!$C$19, $D$11, 100%, $F$11)</f>
        <v>23.946100000000001</v>
      </c>
      <c r="D755" s="8">
        <f>CHOOSE( CONTROL!$C$36, 23.9608, 23.9591) * CHOOSE( CONTROL!$C$19, $D$11, 100%, $F$11)</f>
        <v>23.960799999999999</v>
      </c>
      <c r="E755" s="12">
        <f>CHOOSE( CONTROL!$C$36, 23.9543, 23.9526) * CHOOSE( CONTROL!$C$19, $D$11, 100%, $F$11)</f>
        <v>23.9543</v>
      </c>
      <c r="F755" s="4">
        <f>CHOOSE( CONTROL!$C$36, 24.6712, 24.6695) * CHOOSE(CONTROL!$C$19, $D$11, 100%, $F$11)</f>
        <v>24.671199999999999</v>
      </c>
      <c r="G755" s="8">
        <f>CHOOSE( CONTROL!$C$36, 23.6567, 23.6551) * CHOOSE( CONTROL!$C$19, $D$11, 100%, $F$11)</f>
        <v>23.656700000000001</v>
      </c>
      <c r="H755" s="4">
        <f>CHOOSE( CONTROL!$C$36, 24.6008, 24.5992) * CHOOSE(CONTROL!$C$19, $D$11, 100%, $F$11)</f>
        <v>24.6008</v>
      </c>
      <c r="I755" s="8">
        <f>CHOOSE( CONTROL!$C$36, 23.3375, 23.3359) * CHOOSE(CONTROL!$C$19, $D$11, 100%, $F$11)</f>
        <v>23.337499999999999</v>
      </c>
      <c r="J755" s="4">
        <f>CHOOSE( CONTROL!$C$36, 23.1939, 23.1923) * CHOOSE(CONTROL!$C$19, $D$11, 100%, $F$11)</f>
        <v>23.193899999999999</v>
      </c>
      <c r="K755" s="4"/>
      <c r="L755" s="9">
        <v>30.7165</v>
      </c>
      <c r="M755" s="9">
        <v>12.063700000000001</v>
      </c>
      <c r="N755" s="9">
        <v>4.9444999999999997</v>
      </c>
      <c r="O755" s="9">
        <v>0.37409999999999999</v>
      </c>
      <c r="P755" s="9">
        <v>1.2927</v>
      </c>
      <c r="Q755" s="9">
        <v>19.688099999999999</v>
      </c>
      <c r="R755" s="9"/>
      <c r="S755" s="11"/>
    </row>
    <row r="756" spans="1:19" ht="15.75">
      <c r="A756" s="13">
        <v>64162</v>
      </c>
      <c r="B756" s="8">
        <f>CHOOSE( CONTROL!$C$36, 22.0893, 22.0876) * CHOOSE(CONTROL!$C$19, $D$11, 100%, $F$11)</f>
        <v>22.089300000000001</v>
      </c>
      <c r="C756" s="8">
        <f>CHOOSE( CONTROL!$C$36, 22.0973, 22.0956) * CHOOSE(CONTROL!$C$19, $D$11, 100%, $F$11)</f>
        <v>22.097300000000001</v>
      </c>
      <c r="D756" s="8">
        <f>CHOOSE( CONTROL!$C$36, 22.1119, 22.1103) * CHOOSE( CONTROL!$C$19, $D$11, 100%, $F$11)</f>
        <v>22.111899999999999</v>
      </c>
      <c r="E756" s="12">
        <f>CHOOSE( CONTROL!$C$36, 22.1054, 22.1038) * CHOOSE( CONTROL!$C$19, $D$11, 100%, $F$11)</f>
        <v>22.105399999999999</v>
      </c>
      <c r="F756" s="4">
        <f>CHOOSE( CONTROL!$C$36, 22.8223, 22.8206) * CHOOSE(CONTROL!$C$19, $D$11, 100%, $F$11)</f>
        <v>22.822299999999998</v>
      </c>
      <c r="G756" s="8">
        <f>CHOOSE( CONTROL!$C$36, 21.8337, 21.832) * CHOOSE( CONTROL!$C$19, $D$11, 100%, $F$11)</f>
        <v>21.8337</v>
      </c>
      <c r="H756" s="4">
        <f>CHOOSE( CONTROL!$C$36, 22.7777, 22.7761) * CHOOSE(CONTROL!$C$19, $D$11, 100%, $F$11)</f>
        <v>22.777699999999999</v>
      </c>
      <c r="I756" s="8">
        <f>CHOOSE( CONTROL!$C$36, 21.5466, 21.5449) * CHOOSE(CONTROL!$C$19, $D$11, 100%, $F$11)</f>
        <v>21.546600000000002</v>
      </c>
      <c r="J756" s="4">
        <f>CHOOSE( CONTROL!$C$36, 21.4036, 21.402) * CHOOSE(CONTROL!$C$19, $D$11, 100%, $F$11)</f>
        <v>21.403600000000001</v>
      </c>
      <c r="K756" s="4"/>
      <c r="L756" s="9">
        <v>30.7165</v>
      </c>
      <c r="M756" s="9">
        <v>12.063700000000001</v>
      </c>
      <c r="N756" s="9">
        <v>4.9444999999999997</v>
      </c>
      <c r="O756" s="9">
        <v>0.37409999999999999</v>
      </c>
      <c r="P756" s="9">
        <v>1.2927</v>
      </c>
      <c r="Q756" s="9">
        <v>19.688099999999999</v>
      </c>
      <c r="R756" s="9"/>
      <c r="S756" s="11"/>
    </row>
    <row r="757" spans="1:19" ht="15.75">
      <c r="A757" s="13">
        <v>64192</v>
      </c>
      <c r="B757" s="8">
        <f>CHOOSE( CONTROL!$C$36, 21.6263, 21.6246) * CHOOSE(CONTROL!$C$19, $D$11, 100%, $F$11)</f>
        <v>21.626300000000001</v>
      </c>
      <c r="C757" s="8">
        <f>CHOOSE( CONTROL!$C$36, 21.6343, 21.6326) * CHOOSE(CONTROL!$C$19, $D$11, 100%, $F$11)</f>
        <v>21.6343</v>
      </c>
      <c r="D757" s="8">
        <f>CHOOSE( CONTROL!$C$36, 21.6489, 21.6472) * CHOOSE( CONTROL!$C$19, $D$11, 100%, $F$11)</f>
        <v>21.648900000000001</v>
      </c>
      <c r="E757" s="12">
        <f>CHOOSE( CONTROL!$C$36, 21.6424, 21.6407) * CHOOSE( CONTROL!$C$19, $D$11, 100%, $F$11)</f>
        <v>21.642399999999999</v>
      </c>
      <c r="F757" s="4">
        <f>CHOOSE( CONTROL!$C$36, 22.3593, 22.3576) * CHOOSE(CONTROL!$C$19, $D$11, 100%, $F$11)</f>
        <v>22.359300000000001</v>
      </c>
      <c r="G757" s="8">
        <f>CHOOSE( CONTROL!$C$36, 21.3771, 21.3754) * CHOOSE( CONTROL!$C$19, $D$11, 100%, $F$11)</f>
        <v>21.377099999999999</v>
      </c>
      <c r="H757" s="4">
        <f>CHOOSE( CONTROL!$C$36, 22.3212, 22.3196) * CHOOSE(CONTROL!$C$19, $D$11, 100%, $F$11)</f>
        <v>22.321200000000001</v>
      </c>
      <c r="I757" s="8">
        <f>CHOOSE( CONTROL!$C$36, 21.0977, 21.0961) * CHOOSE(CONTROL!$C$19, $D$11, 100%, $F$11)</f>
        <v>21.0977</v>
      </c>
      <c r="J757" s="4">
        <f>CHOOSE( CONTROL!$C$36, 20.9553, 20.9537) * CHOOSE(CONTROL!$C$19, $D$11, 100%, $F$11)</f>
        <v>20.955300000000001</v>
      </c>
      <c r="K757" s="4"/>
      <c r="L757" s="9">
        <v>29.7257</v>
      </c>
      <c r="M757" s="9">
        <v>11.6745</v>
      </c>
      <c r="N757" s="9">
        <v>4.7850000000000001</v>
      </c>
      <c r="O757" s="9">
        <v>0.36199999999999999</v>
      </c>
      <c r="P757" s="9">
        <v>1.2509999999999999</v>
      </c>
      <c r="Q757" s="9">
        <v>19.053000000000001</v>
      </c>
      <c r="R757" s="9"/>
      <c r="S757" s="11"/>
    </row>
    <row r="758" spans="1:19" ht="15.75">
      <c r="A758" s="13">
        <v>64223</v>
      </c>
      <c r="B758" s="8">
        <f>CHOOSE( CONTROL!$C$36, 22.5853, 22.5842) * CHOOSE(CONTROL!$C$19, $D$11, 100%, $F$11)</f>
        <v>22.5853</v>
      </c>
      <c r="C758" s="8">
        <f>CHOOSE( CONTROL!$C$36, 22.5906, 22.5896) * CHOOSE(CONTROL!$C$19, $D$11, 100%, $F$11)</f>
        <v>22.590599999999998</v>
      </c>
      <c r="D758" s="8">
        <f>CHOOSE( CONTROL!$C$36, 22.6111, 22.61) * CHOOSE( CONTROL!$C$19, $D$11, 100%, $F$11)</f>
        <v>22.6111</v>
      </c>
      <c r="E758" s="12">
        <f>CHOOSE( CONTROL!$C$36, 22.6038, 22.6027) * CHOOSE( CONTROL!$C$19, $D$11, 100%, $F$11)</f>
        <v>22.6038</v>
      </c>
      <c r="F758" s="4">
        <f>CHOOSE( CONTROL!$C$36, 23.32, 23.319) * CHOOSE(CONTROL!$C$19, $D$11, 100%, $F$11)</f>
        <v>23.32</v>
      </c>
      <c r="G758" s="8">
        <f>CHOOSE( CONTROL!$C$36, 22.3246, 22.3235) * CHOOSE( CONTROL!$C$19, $D$11, 100%, $F$11)</f>
        <v>22.3246</v>
      </c>
      <c r="H758" s="4">
        <f>CHOOSE( CONTROL!$C$36, 23.2685, 23.2675) * CHOOSE(CONTROL!$C$19, $D$11, 100%, $F$11)</f>
        <v>23.2685</v>
      </c>
      <c r="I758" s="8">
        <f>CHOOSE( CONTROL!$C$36, 22.0295, 22.0284) * CHOOSE(CONTROL!$C$19, $D$11, 100%, $F$11)</f>
        <v>22.029499999999999</v>
      </c>
      <c r="J758" s="4">
        <f>CHOOSE( CONTROL!$C$36, 21.8856, 21.8845) * CHOOSE(CONTROL!$C$19, $D$11, 100%, $F$11)</f>
        <v>21.8856</v>
      </c>
      <c r="K758" s="4"/>
      <c r="L758" s="9">
        <v>31.095300000000002</v>
      </c>
      <c r="M758" s="9">
        <v>12.063700000000001</v>
      </c>
      <c r="N758" s="9">
        <v>4.9444999999999997</v>
      </c>
      <c r="O758" s="9">
        <v>0.37409999999999999</v>
      </c>
      <c r="P758" s="9">
        <v>1.2927</v>
      </c>
      <c r="Q758" s="9">
        <v>19.688099999999999</v>
      </c>
      <c r="R758" s="9"/>
      <c r="S758" s="11"/>
    </row>
    <row r="759" spans="1:19" ht="15.75">
      <c r="A759" s="13">
        <v>64253</v>
      </c>
      <c r="B759" s="8">
        <f>CHOOSE( CONTROL!$C$36, 24.3593, 24.3582) * CHOOSE(CONTROL!$C$19, $D$11, 100%, $F$11)</f>
        <v>24.359300000000001</v>
      </c>
      <c r="C759" s="8">
        <f>CHOOSE( CONTROL!$C$36, 24.3644, 24.3633) * CHOOSE(CONTROL!$C$19, $D$11, 100%, $F$11)</f>
        <v>24.3644</v>
      </c>
      <c r="D759" s="8">
        <f>CHOOSE( CONTROL!$C$36, 24.3436, 24.3425) * CHOOSE( CONTROL!$C$19, $D$11, 100%, $F$11)</f>
        <v>24.343599999999999</v>
      </c>
      <c r="E759" s="12">
        <f>CHOOSE( CONTROL!$C$36, 24.3507, 24.3496) * CHOOSE( CONTROL!$C$19, $D$11, 100%, $F$11)</f>
        <v>24.3507</v>
      </c>
      <c r="F759" s="4">
        <f>CHOOSE( CONTROL!$C$36, 25.0185, 25.0174) * CHOOSE(CONTROL!$C$19, $D$11, 100%, $F$11)</f>
        <v>25.0185</v>
      </c>
      <c r="G759" s="8">
        <f>CHOOSE( CONTROL!$C$36, 24.0542, 24.0531) * CHOOSE( CONTROL!$C$19, $D$11, 100%, $F$11)</f>
        <v>24.054200000000002</v>
      </c>
      <c r="H759" s="4">
        <f>CHOOSE( CONTROL!$C$36, 24.9433, 24.9423) * CHOOSE(CONTROL!$C$19, $D$11, 100%, $F$11)</f>
        <v>24.943300000000001</v>
      </c>
      <c r="I759" s="8">
        <f>CHOOSE( CONTROL!$C$36, 23.7976, 23.7965) * CHOOSE(CONTROL!$C$19, $D$11, 100%, $F$11)</f>
        <v>23.797599999999999</v>
      </c>
      <c r="J759" s="4">
        <f>CHOOSE( CONTROL!$C$36, 23.6037, 23.6027) * CHOOSE(CONTROL!$C$19, $D$11, 100%, $F$11)</f>
        <v>23.6037</v>
      </c>
      <c r="K759" s="4"/>
      <c r="L759" s="9">
        <v>28.360600000000002</v>
      </c>
      <c r="M759" s="9">
        <v>11.6745</v>
      </c>
      <c r="N759" s="9">
        <v>4.7850000000000001</v>
      </c>
      <c r="O759" s="9">
        <v>0.36199999999999999</v>
      </c>
      <c r="P759" s="9">
        <v>1.2509999999999999</v>
      </c>
      <c r="Q759" s="9">
        <v>19.053000000000001</v>
      </c>
      <c r="R759" s="9"/>
      <c r="S759" s="11"/>
    </row>
    <row r="760" spans="1:19" ht="15.75">
      <c r="A760" s="13">
        <v>64284</v>
      </c>
      <c r="B760" s="8">
        <f>CHOOSE( CONTROL!$C$36, 24.3149, 24.3139) * CHOOSE(CONTROL!$C$19, $D$11, 100%, $F$11)</f>
        <v>24.314900000000002</v>
      </c>
      <c r="C760" s="8">
        <f>CHOOSE( CONTROL!$C$36, 24.32, 24.319) * CHOOSE(CONTROL!$C$19, $D$11, 100%, $F$11)</f>
        <v>24.32</v>
      </c>
      <c r="D760" s="8">
        <f>CHOOSE( CONTROL!$C$36, 24.3006, 24.2996) * CHOOSE( CONTROL!$C$19, $D$11, 100%, $F$11)</f>
        <v>24.300599999999999</v>
      </c>
      <c r="E760" s="12">
        <f>CHOOSE( CONTROL!$C$36, 24.3072, 24.3062) * CHOOSE( CONTROL!$C$19, $D$11, 100%, $F$11)</f>
        <v>24.307200000000002</v>
      </c>
      <c r="F760" s="4">
        <f>CHOOSE( CONTROL!$C$36, 24.9742, 24.9731) * CHOOSE(CONTROL!$C$19, $D$11, 100%, $F$11)</f>
        <v>24.9742</v>
      </c>
      <c r="G760" s="8">
        <f>CHOOSE( CONTROL!$C$36, 24.0115, 24.0104) * CHOOSE( CONTROL!$C$19, $D$11, 100%, $F$11)</f>
        <v>24.011500000000002</v>
      </c>
      <c r="H760" s="4">
        <f>CHOOSE( CONTROL!$C$36, 24.8996, 24.8985) * CHOOSE(CONTROL!$C$19, $D$11, 100%, $F$11)</f>
        <v>24.8996</v>
      </c>
      <c r="I760" s="8">
        <f>CHOOSE( CONTROL!$C$36, 23.7589, 23.7579) * CHOOSE(CONTROL!$C$19, $D$11, 100%, $F$11)</f>
        <v>23.758900000000001</v>
      </c>
      <c r="J760" s="4">
        <f>CHOOSE( CONTROL!$C$36, 23.5608, 23.5598) * CHOOSE(CONTROL!$C$19, $D$11, 100%, $F$11)</f>
        <v>23.5608</v>
      </c>
      <c r="K760" s="4"/>
      <c r="L760" s="9">
        <v>29.306000000000001</v>
      </c>
      <c r="M760" s="9">
        <v>12.063700000000001</v>
      </c>
      <c r="N760" s="9">
        <v>4.9444999999999997</v>
      </c>
      <c r="O760" s="9">
        <v>0.37409999999999999</v>
      </c>
      <c r="P760" s="9">
        <v>1.2927</v>
      </c>
      <c r="Q760" s="9">
        <v>19.688099999999999</v>
      </c>
      <c r="R760" s="9"/>
      <c r="S760" s="11"/>
    </row>
    <row r="761" spans="1:19" ht="15.75">
      <c r="A761" s="13">
        <v>64315</v>
      </c>
      <c r="B761" s="8">
        <f>CHOOSE( CONTROL!$C$36, 25.0326, 25.0315) * CHOOSE(CONTROL!$C$19, $D$11, 100%, $F$11)</f>
        <v>25.032599999999999</v>
      </c>
      <c r="C761" s="8">
        <f>CHOOSE( CONTROL!$C$36, 25.0377, 25.0366) * CHOOSE(CONTROL!$C$19, $D$11, 100%, $F$11)</f>
        <v>25.037700000000001</v>
      </c>
      <c r="D761" s="8">
        <f>CHOOSE( CONTROL!$C$36, 25.039, 25.0379) * CHOOSE( CONTROL!$C$19, $D$11, 100%, $F$11)</f>
        <v>25.039000000000001</v>
      </c>
      <c r="E761" s="12">
        <f>CHOOSE( CONTROL!$C$36, 25.038, 25.0369) * CHOOSE( CONTROL!$C$19, $D$11, 100%, $F$11)</f>
        <v>25.038</v>
      </c>
      <c r="F761" s="4">
        <f>CHOOSE( CONTROL!$C$36, 25.6919, 25.6908) * CHOOSE(CONTROL!$C$19, $D$11, 100%, $F$11)</f>
        <v>25.6919</v>
      </c>
      <c r="G761" s="8">
        <f>CHOOSE( CONTROL!$C$36, 24.7302, 24.7291) * CHOOSE( CONTROL!$C$19, $D$11, 100%, $F$11)</f>
        <v>24.7302</v>
      </c>
      <c r="H761" s="4">
        <f>CHOOSE( CONTROL!$C$36, 25.6073, 25.6062) * CHOOSE(CONTROL!$C$19, $D$11, 100%, $F$11)</f>
        <v>25.607299999999999</v>
      </c>
      <c r="I761" s="8">
        <f>CHOOSE( CONTROL!$C$36, 24.4317, 24.4307) * CHOOSE(CONTROL!$C$19, $D$11, 100%, $F$11)</f>
        <v>24.431699999999999</v>
      </c>
      <c r="J761" s="4">
        <f>CHOOSE( CONTROL!$C$36, 24.2557, 24.2547) * CHOOSE(CONTROL!$C$19, $D$11, 100%, $F$11)</f>
        <v>24.255700000000001</v>
      </c>
      <c r="K761" s="4"/>
      <c r="L761" s="9">
        <v>29.306000000000001</v>
      </c>
      <c r="M761" s="9">
        <v>12.063700000000001</v>
      </c>
      <c r="N761" s="9">
        <v>4.9444999999999997</v>
      </c>
      <c r="O761" s="9">
        <v>0.37409999999999999</v>
      </c>
      <c r="P761" s="9">
        <v>1.2927</v>
      </c>
      <c r="Q761" s="9">
        <v>19.688099999999999</v>
      </c>
      <c r="R761" s="9"/>
      <c r="S761" s="11"/>
    </row>
    <row r="762" spans="1:19" ht="15.75">
      <c r="A762" s="13">
        <v>64344</v>
      </c>
      <c r="B762" s="8">
        <f>CHOOSE( CONTROL!$C$36, 23.4133, 23.4122) * CHOOSE(CONTROL!$C$19, $D$11, 100%, $F$11)</f>
        <v>23.4133</v>
      </c>
      <c r="C762" s="8">
        <f>CHOOSE( CONTROL!$C$36, 23.4184, 23.4173) * CHOOSE(CONTROL!$C$19, $D$11, 100%, $F$11)</f>
        <v>23.418399999999998</v>
      </c>
      <c r="D762" s="8">
        <f>CHOOSE( CONTROL!$C$36, 23.4195, 23.4184) * CHOOSE( CONTROL!$C$19, $D$11, 100%, $F$11)</f>
        <v>23.419499999999999</v>
      </c>
      <c r="E762" s="12">
        <f>CHOOSE( CONTROL!$C$36, 23.4186, 23.4175) * CHOOSE( CONTROL!$C$19, $D$11, 100%, $F$11)</f>
        <v>23.418600000000001</v>
      </c>
      <c r="F762" s="4">
        <f>CHOOSE( CONTROL!$C$36, 24.0725, 24.0714) * CHOOSE(CONTROL!$C$19, $D$11, 100%, $F$11)</f>
        <v>24.072500000000002</v>
      </c>
      <c r="G762" s="8">
        <f>CHOOSE( CONTROL!$C$36, 23.1333, 23.1322) * CHOOSE( CONTROL!$C$19, $D$11, 100%, $F$11)</f>
        <v>23.133299999999998</v>
      </c>
      <c r="H762" s="4">
        <f>CHOOSE( CONTROL!$C$36, 24.0105, 24.0095) * CHOOSE(CONTROL!$C$19, $D$11, 100%, $F$11)</f>
        <v>24.0105</v>
      </c>
      <c r="I762" s="8">
        <f>CHOOSE( CONTROL!$C$36, 22.8625, 22.8614) * CHOOSE(CONTROL!$C$19, $D$11, 100%, $F$11)</f>
        <v>22.862500000000001</v>
      </c>
      <c r="J762" s="4">
        <f>CHOOSE( CONTROL!$C$36, 22.6877, 22.6867) * CHOOSE(CONTROL!$C$19, $D$11, 100%, $F$11)</f>
        <v>22.6877</v>
      </c>
      <c r="K762" s="4"/>
      <c r="L762" s="9">
        <v>27.415299999999998</v>
      </c>
      <c r="M762" s="9">
        <v>11.285299999999999</v>
      </c>
      <c r="N762" s="9">
        <v>4.6254999999999997</v>
      </c>
      <c r="O762" s="9">
        <v>0.34989999999999999</v>
      </c>
      <c r="P762" s="9">
        <v>1.2093</v>
      </c>
      <c r="Q762" s="9">
        <v>18.417899999999999</v>
      </c>
      <c r="R762" s="9"/>
      <c r="S762" s="11"/>
    </row>
    <row r="763" spans="1:19" ht="15.75">
      <c r="A763" s="13">
        <v>64375</v>
      </c>
      <c r="B763" s="8">
        <f>CHOOSE( CONTROL!$C$36, 22.9145, 22.9134) * CHOOSE(CONTROL!$C$19, $D$11, 100%, $F$11)</f>
        <v>22.9145</v>
      </c>
      <c r="C763" s="8">
        <f>CHOOSE( CONTROL!$C$36, 22.9196, 22.9185) * CHOOSE(CONTROL!$C$19, $D$11, 100%, $F$11)</f>
        <v>22.919599999999999</v>
      </c>
      <c r="D763" s="8">
        <f>CHOOSE( CONTROL!$C$36, 22.9201, 22.919) * CHOOSE( CONTROL!$C$19, $D$11, 100%, $F$11)</f>
        <v>22.920100000000001</v>
      </c>
      <c r="E763" s="12">
        <f>CHOOSE( CONTROL!$C$36, 22.9194, 22.9183) * CHOOSE( CONTROL!$C$19, $D$11, 100%, $F$11)</f>
        <v>22.9194</v>
      </c>
      <c r="F763" s="4">
        <f>CHOOSE( CONTROL!$C$36, 23.5738, 23.5727) * CHOOSE(CONTROL!$C$19, $D$11, 100%, $F$11)</f>
        <v>23.573799999999999</v>
      </c>
      <c r="G763" s="8">
        <f>CHOOSE( CONTROL!$C$36, 22.6411, 22.64) * CHOOSE( CONTROL!$C$19, $D$11, 100%, $F$11)</f>
        <v>22.641100000000002</v>
      </c>
      <c r="H763" s="4">
        <f>CHOOSE( CONTROL!$C$36, 23.5187, 23.5177) * CHOOSE(CONTROL!$C$19, $D$11, 100%, $F$11)</f>
        <v>23.518699999999999</v>
      </c>
      <c r="I763" s="8">
        <f>CHOOSE( CONTROL!$C$36, 22.3773, 22.3763) * CHOOSE(CONTROL!$C$19, $D$11, 100%, $F$11)</f>
        <v>22.377300000000002</v>
      </c>
      <c r="J763" s="4">
        <f>CHOOSE( CONTROL!$C$36, 22.2048, 22.2037) * CHOOSE(CONTROL!$C$19, $D$11, 100%, $F$11)</f>
        <v>22.204799999999999</v>
      </c>
      <c r="K763" s="4"/>
      <c r="L763" s="9">
        <v>29.306000000000001</v>
      </c>
      <c r="M763" s="9">
        <v>12.063700000000001</v>
      </c>
      <c r="N763" s="9">
        <v>4.9444999999999997</v>
      </c>
      <c r="O763" s="9">
        <v>0.37409999999999999</v>
      </c>
      <c r="P763" s="9">
        <v>1.2927</v>
      </c>
      <c r="Q763" s="9">
        <v>19.688099999999999</v>
      </c>
      <c r="R763" s="9"/>
      <c r="S763" s="11"/>
    </row>
    <row r="764" spans="1:19" ht="15.75">
      <c r="A764" s="13">
        <v>64405</v>
      </c>
      <c r="B764" s="8">
        <f>CHOOSE( CONTROL!$C$36, 23.2638, 23.2627) * CHOOSE(CONTROL!$C$19, $D$11, 100%, $F$11)</f>
        <v>23.2638</v>
      </c>
      <c r="C764" s="8">
        <f>CHOOSE( CONTROL!$C$36, 23.2683, 23.2672) * CHOOSE(CONTROL!$C$19, $D$11, 100%, $F$11)</f>
        <v>23.2683</v>
      </c>
      <c r="D764" s="8">
        <f>CHOOSE( CONTROL!$C$36, 23.2887, 23.2876) * CHOOSE( CONTROL!$C$19, $D$11, 100%, $F$11)</f>
        <v>23.288699999999999</v>
      </c>
      <c r="E764" s="12">
        <f>CHOOSE( CONTROL!$C$36, 23.2814, 23.2803) * CHOOSE( CONTROL!$C$19, $D$11, 100%, $F$11)</f>
        <v>23.281400000000001</v>
      </c>
      <c r="F764" s="4">
        <f>CHOOSE( CONTROL!$C$36, 23.9982, 23.9971) * CHOOSE(CONTROL!$C$19, $D$11, 100%, $F$11)</f>
        <v>23.998200000000001</v>
      </c>
      <c r="G764" s="8">
        <f>CHOOSE( CONTROL!$C$36, 22.9928, 22.9918) * CHOOSE( CONTROL!$C$19, $D$11, 100%, $F$11)</f>
        <v>22.992799999999999</v>
      </c>
      <c r="H764" s="4">
        <f>CHOOSE( CONTROL!$C$36, 23.9372, 23.9362) * CHOOSE(CONTROL!$C$19, $D$11, 100%, $F$11)</f>
        <v>23.937200000000001</v>
      </c>
      <c r="I764" s="8">
        <f>CHOOSE( CONTROL!$C$36, 22.6845, 22.6834) * CHOOSE(CONTROL!$C$19, $D$11, 100%, $F$11)</f>
        <v>22.6845</v>
      </c>
      <c r="J764" s="4">
        <f>CHOOSE( CONTROL!$C$36, 22.5423, 22.5412) * CHOOSE(CONTROL!$C$19, $D$11, 100%, $F$11)</f>
        <v>22.542300000000001</v>
      </c>
      <c r="K764" s="4"/>
      <c r="L764" s="9">
        <v>30.092199999999998</v>
      </c>
      <c r="M764" s="9">
        <v>11.6745</v>
      </c>
      <c r="N764" s="9">
        <v>4.7850000000000001</v>
      </c>
      <c r="O764" s="9">
        <v>0.36199999999999999</v>
      </c>
      <c r="P764" s="9">
        <v>1.2509999999999999</v>
      </c>
      <c r="Q764" s="9">
        <v>19.053000000000001</v>
      </c>
      <c r="R764" s="9"/>
      <c r="S764" s="11"/>
    </row>
    <row r="765" spans="1:19" ht="15.75">
      <c r="A765" s="13">
        <v>64436</v>
      </c>
      <c r="B765" s="8">
        <f>CHOOSE( CONTROL!$C$36, 23.886, 23.8844) * CHOOSE(CONTROL!$C$19, $D$11, 100%, $F$11)</f>
        <v>23.885999999999999</v>
      </c>
      <c r="C765" s="8">
        <f>CHOOSE( CONTROL!$C$36, 23.894, 23.8924) * CHOOSE(CONTROL!$C$19, $D$11, 100%, $F$11)</f>
        <v>23.893999999999998</v>
      </c>
      <c r="D765" s="8">
        <f>CHOOSE( CONTROL!$C$36, 23.9082, 23.9066) * CHOOSE( CONTROL!$C$19, $D$11, 100%, $F$11)</f>
        <v>23.908200000000001</v>
      </c>
      <c r="E765" s="12">
        <f>CHOOSE( CONTROL!$C$36, 23.9018, 23.9002) * CHOOSE( CONTROL!$C$19, $D$11, 100%, $F$11)</f>
        <v>23.901800000000001</v>
      </c>
      <c r="F765" s="4">
        <f>CHOOSE( CONTROL!$C$36, 24.6191, 24.6174) * CHOOSE(CONTROL!$C$19, $D$11, 100%, $F$11)</f>
        <v>24.6191</v>
      </c>
      <c r="G765" s="8">
        <f>CHOOSE( CONTROL!$C$36, 23.605, 23.6033) * CHOOSE( CONTROL!$C$19, $D$11, 100%, $F$11)</f>
        <v>23.605</v>
      </c>
      <c r="H765" s="4">
        <f>CHOOSE( CONTROL!$C$36, 24.5494, 24.5478) * CHOOSE(CONTROL!$C$19, $D$11, 100%, $F$11)</f>
        <v>24.549399999999999</v>
      </c>
      <c r="I765" s="8">
        <f>CHOOSE( CONTROL!$C$36, 23.2855, 23.2839) * CHOOSE(CONTROL!$C$19, $D$11, 100%, $F$11)</f>
        <v>23.285499999999999</v>
      </c>
      <c r="J765" s="4">
        <f>CHOOSE( CONTROL!$C$36, 23.1434, 23.1418) * CHOOSE(CONTROL!$C$19, $D$11, 100%, $F$11)</f>
        <v>23.1434</v>
      </c>
      <c r="K765" s="4"/>
      <c r="L765" s="9">
        <v>30.7165</v>
      </c>
      <c r="M765" s="9">
        <v>12.063700000000001</v>
      </c>
      <c r="N765" s="9">
        <v>4.9444999999999997</v>
      </c>
      <c r="O765" s="9">
        <v>0.37409999999999999</v>
      </c>
      <c r="P765" s="9">
        <v>1.2927</v>
      </c>
      <c r="Q765" s="9">
        <v>19.688099999999999</v>
      </c>
      <c r="R765" s="9"/>
      <c r="S765" s="11"/>
    </row>
    <row r="766" spans="1:19" ht="15.75">
      <c r="A766" s="13">
        <v>64466</v>
      </c>
      <c r="B766" s="8">
        <f>CHOOSE( CONTROL!$C$36, 23.5018, 23.5001) * CHOOSE(CONTROL!$C$19, $D$11, 100%, $F$11)</f>
        <v>23.501799999999999</v>
      </c>
      <c r="C766" s="8">
        <f>CHOOSE( CONTROL!$C$36, 23.5098, 23.5081) * CHOOSE(CONTROL!$C$19, $D$11, 100%, $F$11)</f>
        <v>23.509799999999998</v>
      </c>
      <c r="D766" s="8">
        <f>CHOOSE( CONTROL!$C$36, 23.5242, 23.5225) * CHOOSE( CONTROL!$C$19, $D$11, 100%, $F$11)</f>
        <v>23.5242</v>
      </c>
      <c r="E766" s="12">
        <f>CHOOSE( CONTROL!$C$36, 23.5178, 23.5161) * CHOOSE( CONTROL!$C$19, $D$11, 100%, $F$11)</f>
        <v>23.517800000000001</v>
      </c>
      <c r="F766" s="4">
        <f>CHOOSE( CONTROL!$C$36, 24.2348, 24.2331) * CHOOSE(CONTROL!$C$19, $D$11, 100%, $F$11)</f>
        <v>24.2348</v>
      </c>
      <c r="G766" s="8">
        <f>CHOOSE( CONTROL!$C$36, 23.2262, 23.2246) * CHOOSE( CONTROL!$C$19, $D$11, 100%, $F$11)</f>
        <v>23.226199999999999</v>
      </c>
      <c r="H766" s="4">
        <f>CHOOSE( CONTROL!$C$36, 24.1705, 24.1689) * CHOOSE(CONTROL!$C$19, $D$11, 100%, $F$11)</f>
        <v>24.170500000000001</v>
      </c>
      <c r="I766" s="8">
        <f>CHOOSE( CONTROL!$C$36, 22.9139, 22.9123) * CHOOSE(CONTROL!$C$19, $D$11, 100%, $F$11)</f>
        <v>22.913900000000002</v>
      </c>
      <c r="J766" s="4">
        <f>CHOOSE( CONTROL!$C$36, 22.7714, 22.7698) * CHOOSE(CONTROL!$C$19, $D$11, 100%, $F$11)</f>
        <v>22.7714</v>
      </c>
      <c r="K766" s="4"/>
      <c r="L766" s="9">
        <v>29.7257</v>
      </c>
      <c r="M766" s="9">
        <v>11.6745</v>
      </c>
      <c r="N766" s="9">
        <v>4.7850000000000001</v>
      </c>
      <c r="O766" s="9">
        <v>0.36199999999999999</v>
      </c>
      <c r="P766" s="9">
        <v>1.2509999999999999</v>
      </c>
      <c r="Q766" s="9">
        <v>19.053000000000001</v>
      </c>
      <c r="R766" s="9"/>
      <c r="S766" s="11"/>
    </row>
    <row r="767" spans="1:19" ht="15.75">
      <c r="A767" s="13">
        <v>64497</v>
      </c>
      <c r="B767" s="8">
        <f>CHOOSE( CONTROL!$C$36, 24.5136, 24.512) * CHOOSE(CONTROL!$C$19, $D$11, 100%, $F$11)</f>
        <v>24.5136</v>
      </c>
      <c r="C767" s="8">
        <f>CHOOSE( CONTROL!$C$36, 24.5216, 24.52) * CHOOSE(CONTROL!$C$19, $D$11, 100%, $F$11)</f>
        <v>24.521599999999999</v>
      </c>
      <c r="D767" s="8">
        <f>CHOOSE( CONTROL!$C$36, 24.5363, 24.5346) * CHOOSE( CONTROL!$C$19, $D$11, 100%, $F$11)</f>
        <v>24.536300000000001</v>
      </c>
      <c r="E767" s="12">
        <f>CHOOSE( CONTROL!$C$36, 24.5298, 24.5281) * CHOOSE( CONTROL!$C$19, $D$11, 100%, $F$11)</f>
        <v>24.529800000000002</v>
      </c>
      <c r="F767" s="4">
        <f>CHOOSE( CONTROL!$C$36, 25.2467, 25.245) * CHOOSE(CONTROL!$C$19, $D$11, 100%, $F$11)</f>
        <v>25.246700000000001</v>
      </c>
      <c r="G767" s="8">
        <f>CHOOSE( CONTROL!$C$36, 24.2242, 24.2225) * CHOOSE( CONTROL!$C$19, $D$11, 100%, $F$11)</f>
        <v>24.2242</v>
      </c>
      <c r="H767" s="4">
        <f>CHOOSE( CONTROL!$C$36, 25.1683, 25.1667) * CHOOSE(CONTROL!$C$19, $D$11, 100%, $F$11)</f>
        <v>25.168299999999999</v>
      </c>
      <c r="I767" s="8">
        <f>CHOOSE( CONTROL!$C$36, 23.8951, 23.8934) * CHOOSE(CONTROL!$C$19, $D$11, 100%, $F$11)</f>
        <v>23.895099999999999</v>
      </c>
      <c r="J767" s="4">
        <f>CHOOSE( CONTROL!$C$36, 23.7512, 23.7495) * CHOOSE(CONTROL!$C$19, $D$11, 100%, $F$11)</f>
        <v>23.751200000000001</v>
      </c>
      <c r="K767" s="4"/>
      <c r="L767" s="9">
        <v>30.7165</v>
      </c>
      <c r="M767" s="9">
        <v>12.063700000000001</v>
      </c>
      <c r="N767" s="9">
        <v>4.9444999999999997</v>
      </c>
      <c r="O767" s="9">
        <v>0.37409999999999999</v>
      </c>
      <c r="P767" s="9">
        <v>1.2927</v>
      </c>
      <c r="Q767" s="9">
        <v>19.688099999999999</v>
      </c>
      <c r="R767" s="9"/>
      <c r="S767" s="11"/>
    </row>
    <row r="768" spans="1:19" ht="15.75">
      <c r="A768" s="13">
        <v>64528</v>
      </c>
      <c r="B768" s="8">
        <f>CHOOSE( CONTROL!$C$36, 22.6203, 22.6187) * CHOOSE(CONTROL!$C$19, $D$11, 100%, $F$11)</f>
        <v>22.6203</v>
      </c>
      <c r="C768" s="8">
        <f>CHOOSE( CONTROL!$C$36, 22.6283, 22.6267) * CHOOSE(CONTROL!$C$19, $D$11, 100%, $F$11)</f>
        <v>22.628299999999999</v>
      </c>
      <c r="D768" s="8">
        <f>CHOOSE( CONTROL!$C$36, 22.643, 22.6414) * CHOOSE( CONTROL!$C$19, $D$11, 100%, $F$11)</f>
        <v>22.643000000000001</v>
      </c>
      <c r="E768" s="12">
        <f>CHOOSE( CONTROL!$C$36, 22.6365, 22.6349) * CHOOSE( CONTROL!$C$19, $D$11, 100%, $F$11)</f>
        <v>22.636500000000002</v>
      </c>
      <c r="F768" s="4">
        <f>CHOOSE( CONTROL!$C$36, 23.3534, 23.3517) * CHOOSE(CONTROL!$C$19, $D$11, 100%, $F$11)</f>
        <v>23.353400000000001</v>
      </c>
      <c r="G768" s="8">
        <f>CHOOSE( CONTROL!$C$36, 22.3573, 22.3557) * CHOOSE( CONTROL!$C$19, $D$11, 100%, $F$11)</f>
        <v>22.357299999999999</v>
      </c>
      <c r="H768" s="4">
        <f>CHOOSE( CONTROL!$C$36, 23.3014, 23.2998) * CHOOSE(CONTROL!$C$19, $D$11, 100%, $F$11)</f>
        <v>23.301400000000001</v>
      </c>
      <c r="I768" s="8">
        <f>CHOOSE( CONTROL!$C$36, 22.0611, 22.0594) * CHOOSE(CONTROL!$C$19, $D$11, 100%, $F$11)</f>
        <v>22.0611</v>
      </c>
      <c r="J768" s="4">
        <f>CHOOSE( CONTROL!$C$36, 21.9179, 21.9163) * CHOOSE(CONTROL!$C$19, $D$11, 100%, $F$11)</f>
        <v>21.917899999999999</v>
      </c>
      <c r="K768" s="4"/>
      <c r="L768" s="9">
        <v>30.7165</v>
      </c>
      <c r="M768" s="9">
        <v>12.063700000000001</v>
      </c>
      <c r="N768" s="9">
        <v>4.9444999999999997</v>
      </c>
      <c r="O768" s="9">
        <v>0.37409999999999999</v>
      </c>
      <c r="P768" s="9">
        <v>1.2927</v>
      </c>
      <c r="Q768" s="9">
        <v>19.688099999999999</v>
      </c>
      <c r="R768" s="9"/>
      <c r="S768" s="11"/>
    </row>
    <row r="769" spans="1:19" ht="15.75">
      <c r="A769" s="13">
        <v>64558</v>
      </c>
      <c r="B769" s="8">
        <f>CHOOSE( CONTROL!$C$36, 22.1462, 22.1446) * CHOOSE(CONTROL!$C$19, $D$11, 100%, $F$11)</f>
        <v>22.1462</v>
      </c>
      <c r="C769" s="8">
        <f>CHOOSE( CONTROL!$C$36, 22.1542, 22.1526) * CHOOSE(CONTROL!$C$19, $D$11, 100%, $F$11)</f>
        <v>22.154199999999999</v>
      </c>
      <c r="D769" s="8">
        <f>CHOOSE( CONTROL!$C$36, 22.1688, 22.1671) * CHOOSE( CONTROL!$C$19, $D$11, 100%, $F$11)</f>
        <v>22.168800000000001</v>
      </c>
      <c r="E769" s="12">
        <f>CHOOSE( CONTROL!$C$36, 22.1623, 22.1606) * CHOOSE( CONTROL!$C$19, $D$11, 100%, $F$11)</f>
        <v>22.162299999999998</v>
      </c>
      <c r="F769" s="4">
        <f>CHOOSE( CONTROL!$C$36, 22.8793, 22.8776) * CHOOSE(CONTROL!$C$19, $D$11, 100%, $F$11)</f>
        <v>22.879300000000001</v>
      </c>
      <c r="G769" s="8">
        <f>CHOOSE( CONTROL!$C$36, 21.8898, 21.8881) * CHOOSE( CONTROL!$C$19, $D$11, 100%, $F$11)</f>
        <v>21.889800000000001</v>
      </c>
      <c r="H769" s="4">
        <f>CHOOSE( CONTROL!$C$36, 22.8339, 22.8323) * CHOOSE(CONTROL!$C$19, $D$11, 100%, $F$11)</f>
        <v>22.8339</v>
      </c>
      <c r="I769" s="8">
        <f>CHOOSE( CONTROL!$C$36, 21.6014, 21.5998) * CHOOSE(CONTROL!$C$19, $D$11, 100%, $F$11)</f>
        <v>21.601400000000002</v>
      </c>
      <c r="J769" s="4">
        <f>CHOOSE( CONTROL!$C$36, 21.4588, 21.4572) * CHOOSE(CONTROL!$C$19, $D$11, 100%, $F$11)</f>
        <v>21.4588</v>
      </c>
      <c r="K769" s="4"/>
      <c r="L769" s="9">
        <v>29.7257</v>
      </c>
      <c r="M769" s="9">
        <v>11.6745</v>
      </c>
      <c r="N769" s="9">
        <v>4.7850000000000001</v>
      </c>
      <c r="O769" s="9">
        <v>0.36199999999999999</v>
      </c>
      <c r="P769" s="9">
        <v>1.2509999999999999</v>
      </c>
      <c r="Q769" s="9">
        <v>19.053000000000001</v>
      </c>
      <c r="R769" s="9"/>
      <c r="S769" s="11"/>
    </row>
    <row r="770" spans="1:19" ht="15.75">
      <c r="A770" s="13">
        <v>64589</v>
      </c>
      <c r="B770" s="8">
        <f>CHOOSE( CONTROL!$C$36, 23.1283, 23.1272) * CHOOSE(CONTROL!$C$19, $D$11, 100%, $F$11)</f>
        <v>23.128299999999999</v>
      </c>
      <c r="C770" s="8">
        <f>CHOOSE( CONTROL!$C$36, 23.1337, 23.1326) * CHOOSE(CONTROL!$C$19, $D$11, 100%, $F$11)</f>
        <v>23.133700000000001</v>
      </c>
      <c r="D770" s="8">
        <f>CHOOSE( CONTROL!$C$36, 23.1542, 23.1531) * CHOOSE( CONTROL!$C$19, $D$11, 100%, $F$11)</f>
        <v>23.154199999999999</v>
      </c>
      <c r="E770" s="12">
        <f>CHOOSE( CONTROL!$C$36, 23.1469, 23.1458) * CHOOSE( CONTROL!$C$19, $D$11, 100%, $F$11)</f>
        <v>23.146899999999999</v>
      </c>
      <c r="F770" s="4">
        <f>CHOOSE( CONTROL!$C$36, 23.8631, 23.862) * CHOOSE(CONTROL!$C$19, $D$11, 100%, $F$11)</f>
        <v>23.863099999999999</v>
      </c>
      <c r="G770" s="8">
        <f>CHOOSE( CONTROL!$C$36, 22.8601, 22.859) * CHOOSE( CONTROL!$C$19, $D$11, 100%, $F$11)</f>
        <v>22.860099999999999</v>
      </c>
      <c r="H770" s="4">
        <f>CHOOSE( CONTROL!$C$36, 23.804, 23.8029) * CHOOSE(CONTROL!$C$19, $D$11, 100%, $F$11)</f>
        <v>23.803999999999998</v>
      </c>
      <c r="I770" s="8">
        <f>CHOOSE( CONTROL!$C$36, 22.5556, 22.5545) * CHOOSE(CONTROL!$C$19, $D$11, 100%, $F$11)</f>
        <v>22.555599999999998</v>
      </c>
      <c r="J770" s="4">
        <f>CHOOSE( CONTROL!$C$36, 22.4114, 22.4104) * CHOOSE(CONTROL!$C$19, $D$11, 100%, $F$11)</f>
        <v>22.4114</v>
      </c>
      <c r="K770" s="4"/>
      <c r="L770" s="9">
        <v>31.095300000000002</v>
      </c>
      <c r="M770" s="9">
        <v>12.063700000000001</v>
      </c>
      <c r="N770" s="9">
        <v>4.9444999999999997</v>
      </c>
      <c r="O770" s="9">
        <v>0.37409999999999999</v>
      </c>
      <c r="P770" s="9">
        <v>1.2927</v>
      </c>
      <c r="Q770" s="9">
        <v>19.688099999999999</v>
      </c>
      <c r="R770" s="9"/>
      <c r="S770" s="11"/>
    </row>
    <row r="771" spans="1:19" ht="15.75">
      <c r="A771" s="13">
        <v>64619</v>
      </c>
      <c r="B771" s="8">
        <f>CHOOSE( CONTROL!$C$36, 24.9449, 24.9439) * CHOOSE(CONTROL!$C$19, $D$11, 100%, $F$11)</f>
        <v>24.944900000000001</v>
      </c>
      <c r="C771" s="8">
        <f>CHOOSE( CONTROL!$C$36, 24.95, 24.949) * CHOOSE(CONTROL!$C$19, $D$11, 100%, $F$11)</f>
        <v>24.95</v>
      </c>
      <c r="D771" s="8">
        <f>CHOOSE( CONTROL!$C$36, 24.9293, 24.9282) * CHOOSE( CONTROL!$C$19, $D$11, 100%, $F$11)</f>
        <v>24.929300000000001</v>
      </c>
      <c r="E771" s="12">
        <f>CHOOSE( CONTROL!$C$36, 24.9363, 24.9353) * CHOOSE( CONTROL!$C$19, $D$11, 100%, $F$11)</f>
        <v>24.936299999999999</v>
      </c>
      <c r="F771" s="4">
        <f>CHOOSE( CONTROL!$C$36, 25.6042, 25.6031) * CHOOSE(CONTROL!$C$19, $D$11, 100%, $F$11)</f>
        <v>25.604199999999999</v>
      </c>
      <c r="G771" s="8">
        <f>CHOOSE( CONTROL!$C$36, 24.6317, 24.6306) * CHOOSE( CONTROL!$C$19, $D$11, 100%, $F$11)</f>
        <v>24.631699999999999</v>
      </c>
      <c r="H771" s="4">
        <f>CHOOSE( CONTROL!$C$36, 25.5208, 25.5198) * CHOOSE(CONTROL!$C$19, $D$11, 100%, $F$11)</f>
        <v>25.520800000000001</v>
      </c>
      <c r="I771" s="8">
        <f>CHOOSE( CONTROL!$C$36, 24.365, 24.3639) * CHOOSE(CONTROL!$C$19, $D$11, 100%, $F$11)</f>
        <v>24.364999999999998</v>
      </c>
      <c r="J771" s="4">
        <f>CHOOSE( CONTROL!$C$36, 24.1709, 24.1698) * CHOOSE(CONTROL!$C$19, $D$11, 100%, $F$11)</f>
        <v>24.1709</v>
      </c>
      <c r="K771" s="4"/>
      <c r="L771" s="9">
        <v>28.360600000000002</v>
      </c>
      <c r="M771" s="9">
        <v>11.6745</v>
      </c>
      <c r="N771" s="9">
        <v>4.7850000000000001</v>
      </c>
      <c r="O771" s="9">
        <v>0.36199999999999999</v>
      </c>
      <c r="P771" s="9">
        <v>1.2509999999999999</v>
      </c>
      <c r="Q771" s="9">
        <v>19.053000000000001</v>
      </c>
      <c r="R771" s="9"/>
      <c r="S771" s="11"/>
    </row>
    <row r="772" spans="1:19" ht="15.75">
      <c r="A772" s="13">
        <v>64650</v>
      </c>
      <c r="B772" s="8">
        <f>CHOOSE( CONTROL!$C$36, 24.8996, 24.8985) * CHOOSE(CONTROL!$C$19, $D$11, 100%, $F$11)</f>
        <v>24.8996</v>
      </c>
      <c r="C772" s="8">
        <f>CHOOSE( CONTROL!$C$36, 24.9046, 24.9036) * CHOOSE(CONTROL!$C$19, $D$11, 100%, $F$11)</f>
        <v>24.904599999999999</v>
      </c>
      <c r="D772" s="8">
        <f>CHOOSE( CONTROL!$C$36, 24.8853, 24.8842) * CHOOSE( CONTROL!$C$19, $D$11, 100%, $F$11)</f>
        <v>24.885300000000001</v>
      </c>
      <c r="E772" s="12">
        <f>CHOOSE( CONTROL!$C$36, 24.8918, 24.8908) * CHOOSE( CONTROL!$C$19, $D$11, 100%, $F$11)</f>
        <v>24.8918</v>
      </c>
      <c r="F772" s="4">
        <f>CHOOSE( CONTROL!$C$36, 25.5588, 25.5577) * CHOOSE(CONTROL!$C$19, $D$11, 100%, $F$11)</f>
        <v>25.558800000000002</v>
      </c>
      <c r="G772" s="8">
        <f>CHOOSE( CONTROL!$C$36, 24.5879, 24.5868) * CHOOSE( CONTROL!$C$19, $D$11, 100%, $F$11)</f>
        <v>24.587900000000001</v>
      </c>
      <c r="H772" s="4">
        <f>CHOOSE( CONTROL!$C$36, 25.4761, 25.475) * CHOOSE(CONTROL!$C$19, $D$11, 100%, $F$11)</f>
        <v>25.476099999999999</v>
      </c>
      <c r="I772" s="8">
        <f>CHOOSE( CONTROL!$C$36, 24.3253, 24.3242) * CHOOSE(CONTROL!$C$19, $D$11, 100%, $F$11)</f>
        <v>24.325299999999999</v>
      </c>
      <c r="J772" s="4">
        <f>CHOOSE( CONTROL!$C$36, 24.1269, 24.1258) * CHOOSE(CONTROL!$C$19, $D$11, 100%, $F$11)</f>
        <v>24.126899999999999</v>
      </c>
      <c r="K772" s="4"/>
      <c r="L772" s="9">
        <v>29.306000000000001</v>
      </c>
      <c r="M772" s="9">
        <v>12.063700000000001</v>
      </c>
      <c r="N772" s="9">
        <v>4.9444999999999997</v>
      </c>
      <c r="O772" s="9">
        <v>0.37409999999999999</v>
      </c>
      <c r="P772" s="9">
        <v>1.2927</v>
      </c>
      <c r="Q772" s="9">
        <v>19.688099999999999</v>
      </c>
      <c r="R772" s="9"/>
      <c r="S772" s="11"/>
    </row>
    <row r="773" spans="1:19" ht="15.75">
      <c r="A773" s="13">
        <v>64681</v>
      </c>
      <c r="B773" s="8">
        <f>CHOOSE( CONTROL!$C$36, 25.6345, 25.6334) * CHOOSE(CONTROL!$C$19, $D$11, 100%, $F$11)</f>
        <v>25.634499999999999</v>
      </c>
      <c r="C773" s="8">
        <f>CHOOSE( CONTROL!$C$36, 25.6396, 25.6385) * CHOOSE(CONTROL!$C$19, $D$11, 100%, $F$11)</f>
        <v>25.639600000000002</v>
      </c>
      <c r="D773" s="8">
        <f>CHOOSE( CONTROL!$C$36, 25.6409, 25.6398) * CHOOSE( CONTROL!$C$19, $D$11, 100%, $F$11)</f>
        <v>25.640899999999998</v>
      </c>
      <c r="E773" s="12">
        <f>CHOOSE( CONTROL!$C$36, 25.6399, 25.6388) * CHOOSE( CONTROL!$C$19, $D$11, 100%, $F$11)</f>
        <v>25.639900000000001</v>
      </c>
      <c r="F773" s="4">
        <f>CHOOSE( CONTROL!$C$36, 26.2937, 26.2927) * CHOOSE(CONTROL!$C$19, $D$11, 100%, $F$11)</f>
        <v>26.293700000000001</v>
      </c>
      <c r="G773" s="8">
        <f>CHOOSE( CONTROL!$C$36, 25.3236, 25.3226) * CHOOSE( CONTROL!$C$19, $D$11, 100%, $F$11)</f>
        <v>25.323599999999999</v>
      </c>
      <c r="H773" s="4">
        <f>CHOOSE( CONTROL!$C$36, 26.2008, 26.1997) * CHOOSE(CONTROL!$C$19, $D$11, 100%, $F$11)</f>
        <v>26.200800000000001</v>
      </c>
      <c r="I773" s="8">
        <f>CHOOSE( CONTROL!$C$36, 25.0148, 25.0137) * CHOOSE(CONTROL!$C$19, $D$11, 100%, $F$11)</f>
        <v>25.014800000000001</v>
      </c>
      <c r="J773" s="4">
        <f>CHOOSE( CONTROL!$C$36, 24.8385, 24.8375) * CHOOSE(CONTROL!$C$19, $D$11, 100%, $F$11)</f>
        <v>24.8385</v>
      </c>
      <c r="K773" s="4"/>
      <c r="L773" s="9">
        <v>29.306000000000001</v>
      </c>
      <c r="M773" s="9">
        <v>12.063700000000001</v>
      </c>
      <c r="N773" s="9">
        <v>4.9444999999999997</v>
      </c>
      <c r="O773" s="9">
        <v>0.37409999999999999</v>
      </c>
      <c r="P773" s="9">
        <v>1.2927</v>
      </c>
      <c r="Q773" s="9">
        <v>19.688099999999999</v>
      </c>
      <c r="R773" s="9"/>
      <c r="S773" s="11"/>
    </row>
    <row r="774" spans="1:19" ht="15.75">
      <c r="A774" s="13">
        <v>64709</v>
      </c>
      <c r="B774" s="8">
        <f>CHOOSE( CONTROL!$C$36, 23.9762, 23.9751) * CHOOSE(CONTROL!$C$19, $D$11, 100%, $F$11)</f>
        <v>23.976199999999999</v>
      </c>
      <c r="C774" s="8">
        <f>CHOOSE( CONTROL!$C$36, 23.9813, 23.9802) * CHOOSE(CONTROL!$C$19, $D$11, 100%, $F$11)</f>
        <v>23.981300000000001</v>
      </c>
      <c r="D774" s="8">
        <f>CHOOSE( CONTROL!$C$36, 23.9825, 23.9814) * CHOOSE( CONTROL!$C$19, $D$11, 100%, $F$11)</f>
        <v>23.982500000000002</v>
      </c>
      <c r="E774" s="12">
        <f>CHOOSE( CONTROL!$C$36, 23.9815, 23.9804) * CHOOSE( CONTROL!$C$19, $D$11, 100%, $F$11)</f>
        <v>23.9815</v>
      </c>
      <c r="F774" s="4">
        <f>CHOOSE( CONTROL!$C$36, 24.6355, 24.6344) * CHOOSE(CONTROL!$C$19, $D$11, 100%, $F$11)</f>
        <v>24.6355</v>
      </c>
      <c r="G774" s="8">
        <f>CHOOSE( CONTROL!$C$36, 23.6884, 23.6873) * CHOOSE( CONTROL!$C$19, $D$11, 100%, $F$11)</f>
        <v>23.688400000000001</v>
      </c>
      <c r="H774" s="4">
        <f>CHOOSE( CONTROL!$C$36, 24.5656, 24.5645) * CHOOSE(CONTROL!$C$19, $D$11, 100%, $F$11)</f>
        <v>24.5656</v>
      </c>
      <c r="I774" s="8">
        <f>CHOOSE( CONTROL!$C$36, 23.4079, 23.4068) * CHOOSE(CONTROL!$C$19, $D$11, 100%, $F$11)</f>
        <v>23.407900000000001</v>
      </c>
      <c r="J774" s="4">
        <f>CHOOSE( CONTROL!$C$36, 23.2328, 23.2318) * CHOOSE(CONTROL!$C$19, $D$11, 100%, $F$11)</f>
        <v>23.232800000000001</v>
      </c>
      <c r="K774" s="4"/>
      <c r="L774" s="9">
        <v>26.469899999999999</v>
      </c>
      <c r="M774" s="9">
        <v>10.8962</v>
      </c>
      <c r="N774" s="9">
        <v>4.4660000000000002</v>
      </c>
      <c r="O774" s="9">
        <v>0.33789999999999998</v>
      </c>
      <c r="P774" s="9">
        <v>1.1676</v>
      </c>
      <c r="Q774" s="9">
        <v>17.782800000000002</v>
      </c>
      <c r="R774" s="9"/>
      <c r="S774" s="11"/>
    </row>
    <row r="775" spans="1:19" ht="15.75">
      <c r="A775" s="13">
        <v>64740</v>
      </c>
      <c r="B775" s="8">
        <f>CHOOSE( CONTROL!$C$36, 23.4655, 23.4644) * CHOOSE(CONTROL!$C$19, $D$11, 100%, $F$11)</f>
        <v>23.465499999999999</v>
      </c>
      <c r="C775" s="8">
        <f>CHOOSE( CONTROL!$C$36, 23.4706, 23.4695) * CHOOSE(CONTROL!$C$19, $D$11, 100%, $F$11)</f>
        <v>23.470600000000001</v>
      </c>
      <c r="D775" s="8">
        <f>CHOOSE( CONTROL!$C$36, 23.4711, 23.47) * CHOOSE( CONTROL!$C$19, $D$11, 100%, $F$11)</f>
        <v>23.4711</v>
      </c>
      <c r="E775" s="12">
        <f>CHOOSE( CONTROL!$C$36, 23.4704, 23.4693) * CHOOSE( CONTROL!$C$19, $D$11, 100%, $F$11)</f>
        <v>23.470400000000001</v>
      </c>
      <c r="F775" s="4">
        <f>CHOOSE( CONTROL!$C$36, 24.1247, 24.1236) * CHOOSE(CONTROL!$C$19, $D$11, 100%, $F$11)</f>
        <v>24.124700000000001</v>
      </c>
      <c r="G775" s="8">
        <f>CHOOSE( CONTROL!$C$36, 23.1843, 23.1833) * CHOOSE( CONTROL!$C$19, $D$11, 100%, $F$11)</f>
        <v>23.1843</v>
      </c>
      <c r="H775" s="4">
        <f>CHOOSE( CONTROL!$C$36, 24.062, 24.0609) * CHOOSE(CONTROL!$C$19, $D$11, 100%, $F$11)</f>
        <v>24.062000000000001</v>
      </c>
      <c r="I775" s="8">
        <f>CHOOSE( CONTROL!$C$36, 22.9111, 22.91) * CHOOSE(CONTROL!$C$19, $D$11, 100%, $F$11)</f>
        <v>22.911100000000001</v>
      </c>
      <c r="J775" s="4">
        <f>CHOOSE( CONTROL!$C$36, 22.7383, 22.7372) * CHOOSE(CONTROL!$C$19, $D$11, 100%, $F$11)</f>
        <v>22.738299999999999</v>
      </c>
      <c r="K775" s="4"/>
      <c r="L775" s="9">
        <v>29.306000000000001</v>
      </c>
      <c r="M775" s="9">
        <v>12.063700000000001</v>
      </c>
      <c r="N775" s="9">
        <v>4.9444999999999997</v>
      </c>
      <c r="O775" s="9">
        <v>0.37409999999999999</v>
      </c>
      <c r="P775" s="9">
        <v>1.2927</v>
      </c>
      <c r="Q775" s="9">
        <v>19.688099999999999</v>
      </c>
      <c r="R775" s="9"/>
      <c r="S775" s="11"/>
    </row>
    <row r="776" spans="1:19" ht="15.75">
      <c r="A776" s="13">
        <v>64770</v>
      </c>
      <c r="B776" s="8">
        <f>CHOOSE( CONTROL!$C$36, 23.8231, 23.822) * CHOOSE(CONTROL!$C$19, $D$11, 100%, $F$11)</f>
        <v>23.8231</v>
      </c>
      <c r="C776" s="8">
        <f>CHOOSE( CONTROL!$C$36, 23.8277, 23.8266) * CHOOSE(CONTROL!$C$19, $D$11, 100%, $F$11)</f>
        <v>23.8277</v>
      </c>
      <c r="D776" s="8">
        <f>CHOOSE( CONTROL!$C$36, 23.8481, 23.847) * CHOOSE( CONTROL!$C$19, $D$11, 100%, $F$11)</f>
        <v>23.848099999999999</v>
      </c>
      <c r="E776" s="12">
        <f>CHOOSE( CONTROL!$C$36, 23.8408, 23.8397) * CHOOSE( CONTROL!$C$19, $D$11, 100%, $F$11)</f>
        <v>23.840800000000002</v>
      </c>
      <c r="F776" s="4">
        <f>CHOOSE( CONTROL!$C$36, 24.5575, 24.5564) * CHOOSE(CONTROL!$C$19, $D$11, 100%, $F$11)</f>
        <v>24.557500000000001</v>
      </c>
      <c r="G776" s="8">
        <f>CHOOSE( CONTROL!$C$36, 23.5444, 23.5433) * CHOOSE( CONTROL!$C$19, $D$11, 100%, $F$11)</f>
        <v>23.5444</v>
      </c>
      <c r="H776" s="4">
        <f>CHOOSE( CONTROL!$C$36, 24.4888, 24.4877) * CHOOSE(CONTROL!$C$19, $D$11, 100%, $F$11)</f>
        <v>24.488800000000001</v>
      </c>
      <c r="I776" s="8">
        <f>CHOOSE( CONTROL!$C$36, 23.2263, 23.2253) * CHOOSE(CONTROL!$C$19, $D$11, 100%, $F$11)</f>
        <v>23.226299999999998</v>
      </c>
      <c r="J776" s="4">
        <f>CHOOSE( CONTROL!$C$36, 23.0839, 23.0828) * CHOOSE(CONTROL!$C$19, $D$11, 100%, $F$11)</f>
        <v>23.0839</v>
      </c>
      <c r="K776" s="4"/>
      <c r="L776" s="9">
        <v>30.092199999999998</v>
      </c>
      <c r="M776" s="9">
        <v>11.6745</v>
      </c>
      <c r="N776" s="9">
        <v>4.7850000000000001</v>
      </c>
      <c r="O776" s="9">
        <v>0.36199999999999999</v>
      </c>
      <c r="P776" s="9">
        <v>1.2509999999999999</v>
      </c>
      <c r="Q776" s="9">
        <v>19.053000000000001</v>
      </c>
      <c r="R776" s="9"/>
      <c r="S776" s="11"/>
    </row>
    <row r="777" spans="1:19" ht="15.75">
      <c r="A777" s="13">
        <v>64801</v>
      </c>
      <c r="B777" s="8">
        <f>CHOOSE( CONTROL!$C$36, 24.4603, 24.4586) * CHOOSE(CONTROL!$C$19, $D$11, 100%, $F$11)</f>
        <v>24.4603</v>
      </c>
      <c r="C777" s="8">
        <f>CHOOSE( CONTROL!$C$36, 24.4683, 24.4666) * CHOOSE(CONTROL!$C$19, $D$11, 100%, $F$11)</f>
        <v>24.468299999999999</v>
      </c>
      <c r="D777" s="8">
        <f>CHOOSE( CONTROL!$C$36, 24.4825, 24.4808) * CHOOSE( CONTROL!$C$19, $D$11, 100%, $F$11)</f>
        <v>24.482500000000002</v>
      </c>
      <c r="E777" s="12">
        <f>CHOOSE( CONTROL!$C$36, 24.4761, 24.4744) * CHOOSE( CONTROL!$C$19, $D$11, 100%, $F$11)</f>
        <v>24.476099999999999</v>
      </c>
      <c r="F777" s="4">
        <f>CHOOSE( CONTROL!$C$36, 25.1933, 25.1916) * CHOOSE(CONTROL!$C$19, $D$11, 100%, $F$11)</f>
        <v>25.193300000000001</v>
      </c>
      <c r="G777" s="8">
        <f>CHOOSE( CONTROL!$C$36, 24.1712, 24.1696) * CHOOSE( CONTROL!$C$19, $D$11, 100%, $F$11)</f>
        <v>24.171199999999999</v>
      </c>
      <c r="H777" s="4">
        <f>CHOOSE( CONTROL!$C$36, 25.1157, 25.114) * CHOOSE(CONTROL!$C$19, $D$11, 100%, $F$11)</f>
        <v>25.1157</v>
      </c>
      <c r="I777" s="8">
        <f>CHOOSE( CONTROL!$C$36, 23.8418, 23.8402) * CHOOSE(CONTROL!$C$19, $D$11, 100%, $F$11)</f>
        <v>23.841799999999999</v>
      </c>
      <c r="J777" s="4">
        <f>CHOOSE( CONTROL!$C$36, 23.6995, 23.6979) * CHOOSE(CONTROL!$C$19, $D$11, 100%, $F$11)</f>
        <v>23.6995</v>
      </c>
      <c r="K777" s="4"/>
      <c r="L777" s="9">
        <v>30.7165</v>
      </c>
      <c r="M777" s="9">
        <v>12.063700000000001</v>
      </c>
      <c r="N777" s="9">
        <v>4.9444999999999997</v>
      </c>
      <c r="O777" s="9">
        <v>0.37409999999999999</v>
      </c>
      <c r="P777" s="9">
        <v>1.2927</v>
      </c>
      <c r="Q777" s="9">
        <v>19.688099999999999</v>
      </c>
      <c r="R777" s="9"/>
      <c r="S777" s="11"/>
    </row>
    <row r="778" spans="1:19" ht="15.75">
      <c r="A778" s="13">
        <v>64831</v>
      </c>
      <c r="B778" s="8">
        <f>CHOOSE( CONTROL!$C$36, 24.0668, 24.0651) * CHOOSE(CONTROL!$C$19, $D$11, 100%, $F$11)</f>
        <v>24.066800000000001</v>
      </c>
      <c r="C778" s="8">
        <f>CHOOSE( CONTROL!$C$36, 24.0748, 24.0731) * CHOOSE(CONTROL!$C$19, $D$11, 100%, $F$11)</f>
        <v>24.0748</v>
      </c>
      <c r="D778" s="8">
        <f>CHOOSE( CONTROL!$C$36, 24.0892, 24.0875) * CHOOSE( CONTROL!$C$19, $D$11, 100%, $F$11)</f>
        <v>24.089200000000002</v>
      </c>
      <c r="E778" s="12">
        <f>CHOOSE( CONTROL!$C$36, 24.0828, 24.0811) * CHOOSE( CONTROL!$C$19, $D$11, 100%, $F$11)</f>
        <v>24.082799999999999</v>
      </c>
      <c r="F778" s="4">
        <f>CHOOSE( CONTROL!$C$36, 24.7998, 24.7982) * CHOOSE(CONTROL!$C$19, $D$11, 100%, $F$11)</f>
        <v>24.799800000000001</v>
      </c>
      <c r="G778" s="8">
        <f>CHOOSE( CONTROL!$C$36, 23.7834, 23.7817) * CHOOSE( CONTROL!$C$19, $D$11, 100%, $F$11)</f>
        <v>23.7834</v>
      </c>
      <c r="H778" s="4">
        <f>CHOOSE( CONTROL!$C$36, 24.7277, 24.726) * CHOOSE(CONTROL!$C$19, $D$11, 100%, $F$11)</f>
        <v>24.727699999999999</v>
      </c>
      <c r="I778" s="8">
        <f>CHOOSE( CONTROL!$C$36, 23.4613, 23.4597) * CHOOSE(CONTROL!$C$19, $D$11, 100%, $F$11)</f>
        <v>23.461300000000001</v>
      </c>
      <c r="J778" s="4">
        <f>CHOOSE( CONTROL!$C$36, 23.3185, 23.3169) * CHOOSE(CONTROL!$C$19, $D$11, 100%, $F$11)</f>
        <v>23.3185</v>
      </c>
      <c r="K778" s="4"/>
      <c r="L778" s="9">
        <v>29.7257</v>
      </c>
      <c r="M778" s="9">
        <v>11.6745</v>
      </c>
      <c r="N778" s="9">
        <v>4.7850000000000001</v>
      </c>
      <c r="O778" s="9">
        <v>0.36199999999999999</v>
      </c>
      <c r="P778" s="9">
        <v>1.2509999999999999</v>
      </c>
      <c r="Q778" s="9">
        <v>19.053000000000001</v>
      </c>
      <c r="R778" s="9"/>
      <c r="S778" s="11"/>
    </row>
    <row r="779" spans="1:19" ht="15.75">
      <c r="A779" s="13">
        <v>64862</v>
      </c>
      <c r="B779" s="8">
        <f>CHOOSE( CONTROL!$C$36, 25.103, 25.1013) * CHOOSE(CONTROL!$C$19, $D$11, 100%, $F$11)</f>
        <v>25.103000000000002</v>
      </c>
      <c r="C779" s="8">
        <f>CHOOSE( CONTROL!$C$36, 25.111, 25.1093) * CHOOSE(CONTROL!$C$19, $D$11, 100%, $F$11)</f>
        <v>25.111000000000001</v>
      </c>
      <c r="D779" s="8">
        <f>CHOOSE( CONTROL!$C$36, 25.1256, 25.1239) * CHOOSE( CONTROL!$C$19, $D$11, 100%, $F$11)</f>
        <v>25.125599999999999</v>
      </c>
      <c r="E779" s="12">
        <f>CHOOSE( CONTROL!$C$36, 25.1191, 25.1174) * CHOOSE( CONTROL!$C$19, $D$11, 100%, $F$11)</f>
        <v>25.1191</v>
      </c>
      <c r="F779" s="4">
        <f>CHOOSE( CONTROL!$C$36, 25.836, 25.8343) * CHOOSE(CONTROL!$C$19, $D$11, 100%, $F$11)</f>
        <v>25.835999999999999</v>
      </c>
      <c r="G779" s="8">
        <f>CHOOSE( CONTROL!$C$36, 24.8053, 24.8036) * CHOOSE( CONTROL!$C$19, $D$11, 100%, $F$11)</f>
        <v>24.805299999999999</v>
      </c>
      <c r="H779" s="4">
        <f>CHOOSE( CONTROL!$C$36, 25.7494, 25.7478) * CHOOSE(CONTROL!$C$19, $D$11, 100%, $F$11)</f>
        <v>25.749400000000001</v>
      </c>
      <c r="I779" s="8">
        <f>CHOOSE( CONTROL!$C$36, 24.466, 24.4644) * CHOOSE(CONTROL!$C$19, $D$11, 100%, $F$11)</f>
        <v>24.466000000000001</v>
      </c>
      <c r="J779" s="4">
        <f>CHOOSE( CONTROL!$C$36, 24.3218, 24.3202) * CHOOSE(CONTROL!$C$19, $D$11, 100%, $F$11)</f>
        <v>24.3218</v>
      </c>
      <c r="K779" s="4"/>
      <c r="L779" s="9">
        <v>30.7165</v>
      </c>
      <c r="M779" s="9">
        <v>12.063700000000001</v>
      </c>
      <c r="N779" s="9">
        <v>4.9444999999999997</v>
      </c>
      <c r="O779" s="9">
        <v>0.37409999999999999</v>
      </c>
      <c r="P779" s="9">
        <v>1.2927</v>
      </c>
      <c r="Q779" s="9">
        <v>19.688099999999999</v>
      </c>
      <c r="R779" s="9"/>
      <c r="S779" s="11"/>
    </row>
    <row r="780" spans="1:19" ht="15.75">
      <c r="A780" s="13">
        <v>64893</v>
      </c>
      <c r="B780" s="8">
        <f>CHOOSE( CONTROL!$C$36, 23.1642, 23.1625) * CHOOSE(CONTROL!$C$19, $D$11, 100%, $F$11)</f>
        <v>23.164200000000001</v>
      </c>
      <c r="C780" s="8">
        <f>CHOOSE( CONTROL!$C$36, 23.1722, 23.1705) * CHOOSE(CONTROL!$C$19, $D$11, 100%, $F$11)</f>
        <v>23.1722</v>
      </c>
      <c r="D780" s="8">
        <f>CHOOSE( CONTROL!$C$36, 23.1868, 23.1852) * CHOOSE( CONTROL!$C$19, $D$11, 100%, $F$11)</f>
        <v>23.186800000000002</v>
      </c>
      <c r="E780" s="12">
        <f>CHOOSE( CONTROL!$C$36, 23.1803, 23.1787) * CHOOSE( CONTROL!$C$19, $D$11, 100%, $F$11)</f>
        <v>23.180299999999999</v>
      </c>
      <c r="F780" s="4">
        <f>CHOOSE( CONTROL!$C$36, 23.8972, 23.8955) * CHOOSE(CONTROL!$C$19, $D$11, 100%, $F$11)</f>
        <v>23.897200000000002</v>
      </c>
      <c r="G780" s="8">
        <f>CHOOSE( CONTROL!$C$36, 22.8936, 22.8919) * CHOOSE( CONTROL!$C$19, $D$11, 100%, $F$11)</f>
        <v>22.893599999999999</v>
      </c>
      <c r="H780" s="4">
        <f>CHOOSE( CONTROL!$C$36, 23.8376, 23.836) * CHOOSE(CONTROL!$C$19, $D$11, 100%, $F$11)</f>
        <v>23.837599999999998</v>
      </c>
      <c r="I780" s="8">
        <f>CHOOSE( CONTROL!$C$36, 22.5879, 22.5863) * CHOOSE(CONTROL!$C$19, $D$11, 100%, $F$11)</f>
        <v>22.587900000000001</v>
      </c>
      <c r="J780" s="4">
        <f>CHOOSE( CONTROL!$C$36, 22.4445, 22.4428) * CHOOSE(CONTROL!$C$19, $D$11, 100%, $F$11)</f>
        <v>22.444500000000001</v>
      </c>
      <c r="K780" s="4"/>
      <c r="L780" s="9">
        <v>30.7165</v>
      </c>
      <c r="M780" s="9">
        <v>12.063700000000001</v>
      </c>
      <c r="N780" s="9">
        <v>4.9444999999999997</v>
      </c>
      <c r="O780" s="9">
        <v>0.37409999999999999</v>
      </c>
      <c r="P780" s="9">
        <v>1.2927</v>
      </c>
      <c r="Q780" s="9">
        <v>19.688099999999999</v>
      </c>
      <c r="R780" s="9"/>
      <c r="S780" s="11"/>
    </row>
    <row r="781" spans="1:19" ht="15.75">
      <c r="A781" s="13">
        <v>64923</v>
      </c>
      <c r="B781" s="8">
        <f>CHOOSE( CONTROL!$C$36, 22.6787, 22.677) * CHOOSE(CONTROL!$C$19, $D$11, 100%, $F$11)</f>
        <v>22.678699999999999</v>
      </c>
      <c r="C781" s="8">
        <f>CHOOSE( CONTROL!$C$36, 22.6867, 22.685) * CHOOSE(CONTROL!$C$19, $D$11, 100%, $F$11)</f>
        <v>22.686699999999998</v>
      </c>
      <c r="D781" s="8">
        <f>CHOOSE( CONTROL!$C$36, 22.7012, 22.6996) * CHOOSE( CONTROL!$C$19, $D$11, 100%, $F$11)</f>
        <v>22.7012</v>
      </c>
      <c r="E781" s="12">
        <f>CHOOSE( CONTROL!$C$36, 22.6947, 22.6931) * CHOOSE( CONTROL!$C$19, $D$11, 100%, $F$11)</f>
        <v>22.694700000000001</v>
      </c>
      <c r="F781" s="4">
        <f>CHOOSE( CONTROL!$C$36, 23.4117, 23.41) * CHOOSE(CONTROL!$C$19, $D$11, 100%, $F$11)</f>
        <v>23.4117</v>
      </c>
      <c r="G781" s="8">
        <f>CHOOSE( CONTROL!$C$36, 22.4148, 22.4131) * CHOOSE( CONTROL!$C$19, $D$11, 100%, $F$11)</f>
        <v>22.4148</v>
      </c>
      <c r="H781" s="4">
        <f>CHOOSE( CONTROL!$C$36, 23.3589, 23.3573) * CHOOSE(CONTROL!$C$19, $D$11, 100%, $F$11)</f>
        <v>23.358899999999998</v>
      </c>
      <c r="I781" s="8">
        <f>CHOOSE( CONTROL!$C$36, 22.1172, 22.1156) * CHOOSE(CONTROL!$C$19, $D$11, 100%, $F$11)</f>
        <v>22.1172</v>
      </c>
      <c r="J781" s="4">
        <f>CHOOSE( CONTROL!$C$36, 21.9743, 21.9727) * CHOOSE(CONTROL!$C$19, $D$11, 100%, $F$11)</f>
        <v>21.974299999999999</v>
      </c>
      <c r="K781" s="4"/>
      <c r="L781" s="9">
        <v>29.7257</v>
      </c>
      <c r="M781" s="9">
        <v>11.6745</v>
      </c>
      <c r="N781" s="9">
        <v>4.7850000000000001</v>
      </c>
      <c r="O781" s="9">
        <v>0.36199999999999999</v>
      </c>
      <c r="P781" s="9">
        <v>1.2509999999999999</v>
      </c>
      <c r="Q781" s="9">
        <v>19.053000000000001</v>
      </c>
      <c r="R781" s="9"/>
      <c r="S781" s="11"/>
    </row>
    <row r="782" spans="1:19" ht="15.75">
      <c r="A782" s="13">
        <v>64954</v>
      </c>
      <c r="B782" s="8">
        <f>CHOOSE( CONTROL!$C$36, 23.6844, 23.6833) * CHOOSE(CONTROL!$C$19, $D$11, 100%, $F$11)</f>
        <v>23.6844</v>
      </c>
      <c r="C782" s="8">
        <f>CHOOSE( CONTROL!$C$36, 23.6898, 23.6887) * CHOOSE(CONTROL!$C$19, $D$11, 100%, $F$11)</f>
        <v>23.689800000000002</v>
      </c>
      <c r="D782" s="8">
        <f>CHOOSE( CONTROL!$C$36, 23.7103, 23.7092) * CHOOSE( CONTROL!$C$19, $D$11, 100%, $F$11)</f>
        <v>23.7103</v>
      </c>
      <c r="E782" s="12">
        <f>CHOOSE( CONTROL!$C$36, 23.703, 23.7019) * CHOOSE( CONTROL!$C$19, $D$11, 100%, $F$11)</f>
        <v>23.702999999999999</v>
      </c>
      <c r="F782" s="4">
        <f>CHOOSE( CONTROL!$C$36, 24.4192, 24.4181) * CHOOSE(CONTROL!$C$19, $D$11, 100%, $F$11)</f>
        <v>24.4192</v>
      </c>
      <c r="G782" s="8">
        <f>CHOOSE( CONTROL!$C$36, 23.4084, 23.4073) * CHOOSE( CONTROL!$C$19, $D$11, 100%, $F$11)</f>
        <v>23.4084</v>
      </c>
      <c r="H782" s="4">
        <f>CHOOSE( CONTROL!$C$36, 24.3523, 24.3513) * CHOOSE(CONTROL!$C$19, $D$11, 100%, $F$11)</f>
        <v>24.3523</v>
      </c>
      <c r="I782" s="8">
        <f>CHOOSE( CONTROL!$C$36, 23.0943, 23.0932) * CHOOSE(CONTROL!$C$19, $D$11, 100%, $F$11)</f>
        <v>23.0943</v>
      </c>
      <c r="J782" s="4">
        <f>CHOOSE( CONTROL!$C$36, 22.9499, 22.9488) * CHOOSE(CONTROL!$C$19, $D$11, 100%, $F$11)</f>
        <v>22.9499</v>
      </c>
      <c r="K782" s="4"/>
      <c r="L782" s="9">
        <v>31.095300000000002</v>
      </c>
      <c r="M782" s="9">
        <v>12.063700000000001</v>
      </c>
      <c r="N782" s="9">
        <v>4.9444999999999997</v>
      </c>
      <c r="O782" s="9">
        <v>0.37409999999999999</v>
      </c>
      <c r="P782" s="9">
        <v>1.2927</v>
      </c>
      <c r="Q782" s="9">
        <v>19.688099999999999</v>
      </c>
      <c r="R782" s="9"/>
      <c r="S782" s="11"/>
    </row>
    <row r="783" spans="1:19" ht="15.75">
      <c r="A783" s="13">
        <v>64984</v>
      </c>
      <c r="B783" s="8">
        <f>CHOOSE( CONTROL!$C$36, 25.5447, 25.5436) * CHOOSE(CONTROL!$C$19, $D$11, 100%, $F$11)</f>
        <v>25.544699999999999</v>
      </c>
      <c r="C783" s="8">
        <f>CHOOSE( CONTROL!$C$36, 25.5498, 25.5487) * CHOOSE(CONTROL!$C$19, $D$11, 100%, $F$11)</f>
        <v>25.549800000000001</v>
      </c>
      <c r="D783" s="8">
        <f>CHOOSE( CONTROL!$C$36, 25.529, 25.5279) * CHOOSE( CONTROL!$C$19, $D$11, 100%, $F$11)</f>
        <v>25.529</v>
      </c>
      <c r="E783" s="12">
        <f>CHOOSE( CONTROL!$C$36, 25.5361, 25.535) * CHOOSE( CONTROL!$C$19, $D$11, 100%, $F$11)</f>
        <v>25.536100000000001</v>
      </c>
      <c r="F783" s="4">
        <f>CHOOSE( CONTROL!$C$36, 26.204, 26.2029) * CHOOSE(CONTROL!$C$19, $D$11, 100%, $F$11)</f>
        <v>26.204000000000001</v>
      </c>
      <c r="G783" s="8">
        <f>CHOOSE( CONTROL!$C$36, 25.2231, 25.222) * CHOOSE( CONTROL!$C$19, $D$11, 100%, $F$11)</f>
        <v>25.223099999999999</v>
      </c>
      <c r="H783" s="4">
        <f>CHOOSE( CONTROL!$C$36, 26.1122, 26.1112) * CHOOSE(CONTROL!$C$19, $D$11, 100%, $F$11)</f>
        <v>26.112200000000001</v>
      </c>
      <c r="I783" s="8">
        <f>CHOOSE( CONTROL!$C$36, 24.946, 24.945) * CHOOSE(CONTROL!$C$19, $D$11, 100%, $F$11)</f>
        <v>24.946000000000002</v>
      </c>
      <c r="J783" s="4">
        <f>CHOOSE( CONTROL!$C$36, 24.7516, 24.7505) * CHOOSE(CONTROL!$C$19, $D$11, 100%, $F$11)</f>
        <v>24.7516</v>
      </c>
      <c r="K783" s="4"/>
      <c r="L783" s="9">
        <v>28.360600000000002</v>
      </c>
      <c r="M783" s="9">
        <v>11.6745</v>
      </c>
      <c r="N783" s="9">
        <v>4.7850000000000001</v>
      </c>
      <c r="O783" s="9">
        <v>0.36199999999999999</v>
      </c>
      <c r="P783" s="9">
        <v>1.2509999999999999</v>
      </c>
      <c r="Q783" s="9">
        <v>19.053000000000001</v>
      </c>
      <c r="R783" s="9"/>
      <c r="S783" s="11"/>
    </row>
    <row r="784" spans="1:19" ht="15.75">
      <c r="A784" s="13">
        <v>65015</v>
      </c>
      <c r="B784" s="8">
        <f>CHOOSE( CONTROL!$C$36, 25.4982, 25.4971) * CHOOSE(CONTROL!$C$19, $D$11, 100%, $F$11)</f>
        <v>25.498200000000001</v>
      </c>
      <c r="C784" s="8">
        <f>CHOOSE( CONTROL!$C$36, 25.5033, 25.5022) * CHOOSE(CONTROL!$C$19, $D$11, 100%, $F$11)</f>
        <v>25.503299999999999</v>
      </c>
      <c r="D784" s="8">
        <f>CHOOSE( CONTROL!$C$36, 25.4839, 25.4828) * CHOOSE( CONTROL!$C$19, $D$11, 100%, $F$11)</f>
        <v>25.483899999999998</v>
      </c>
      <c r="E784" s="12">
        <f>CHOOSE( CONTROL!$C$36, 25.4905, 25.4894) * CHOOSE( CONTROL!$C$19, $D$11, 100%, $F$11)</f>
        <v>25.490500000000001</v>
      </c>
      <c r="F784" s="4">
        <f>CHOOSE( CONTROL!$C$36, 26.1575, 26.1564) * CHOOSE(CONTROL!$C$19, $D$11, 100%, $F$11)</f>
        <v>26.157499999999999</v>
      </c>
      <c r="G784" s="8">
        <f>CHOOSE( CONTROL!$C$36, 25.1782, 25.1771) * CHOOSE( CONTROL!$C$19, $D$11, 100%, $F$11)</f>
        <v>25.1782</v>
      </c>
      <c r="H784" s="4">
        <f>CHOOSE( CONTROL!$C$36, 26.0664, 26.0653) * CHOOSE(CONTROL!$C$19, $D$11, 100%, $F$11)</f>
        <v>26.066400000000002</v>
      </c>
      <c r="I784" s="8">
        <f>CHOOSE( CONTROL!$C$36, 24.9053, 24.9042) * CHOOSE(CONTROL!$C$19, $D$11, 100%, $F$11)</f>
        <v>24.9053</v>
      </c>
      <c r="J784" s="4">
        <f>CHOOSE( CONTROL!$C$36, 24.7066, 24.7055) * CHOOSE(CONTROL!$C$19, $D$11, 100%, $F$11)</f>
        <v>24.706600000000002</v>
      </c>
      <c r="K784" s="4"/>
      <c r="L784" s="9">
        <v>29.306000000000001</v>
      </c>
      <c r="M784" s="9">
        <v>12.063700000000001</v>
      </c>
      <c r="N784" s="9">
        <v>4.9444999999999997</v>
      </c>
      <c r="O784" s="9">
        <v>0.37409999999999999</v>
      </c>
      <c r="P784" s="9">
        <v>1.2927</v>
      </c>
      <c r="Q784" s="9">
        <v>19.688099999999999</v>
      </c>
      <c r="R784" s="9"/>
      <c r="S784" s="11"/>
    </row>
    <row r="785" spans="1:19" ht="15.75">
      <c r="A785" s="13">
        <v>65046</v>
      </c>
      <c r="B785" s="8">
        <f>CHOOSE( CONTROL!$C$36, 26.2508, 26.2497) * CHOOSE(CONTROL!$C$19, $D$11, 100%, $F$11)</f>
        <v>26.250800000000002</v>
      </c>
      <c r="C785" s="8">
        <f>CHOOSE( CONTROL!$C$36, 26.2559, 26.2548) * CHOOSE(CONTROL!$C$19, $D$11, 100%, $F$11)</f>
        <v>26.2559</v>
      </c>
      <c r="D785" s="8">
        <f>CHOOSE( CONTROL!$C$36, 26.2572, 26.2561) * CHOOSE( CONTROL!$C$19, $D$11, 100%, $F$11)</f>
        <v>26.257200000000001</v>
      </c>
      <c r="E785" s="12">
        <f>CHOOSE( CONTROL!$C$36, 26.2562, 26.2551) * CHOOSE( CONTROL!$C$19, $D$11, 100%, $F$11)</f>
        <v>26.2562</v>
      </c>
      <c r="F785" s="4">
        <f>CHOOSE( CONTROL!$C$36, 26.9101, 26.909) * CHOOSE(CONTROL!$C$19, $D$11, 100%, $F$11)</f>
        <v>26.9101</v>
      </c>
      <c r="G785" s="8">
        <f>CHOOSE( CONTROL!$C$36, 25.9314, 25.9303) * CHOOSE( CONTROL!$C$19, $D$11, 100%, $F$11)</f>
        <v>25.9314</v>
      </c>
      <c r="H785" s="4">
        <f>CHOOSE( CONTROL!$C$36, 26.8085, 26.8074) * CHOOSE(CONTROL!$C$19, $D$11, 100%, $F$11)</f>
        <v>26.808499999999999</v>
      </c>
      <c r="I785" s="8">
        <f>CHOOSE( CONTROL!$C$36, 25.6119, 25.6108) * CHOOSE(CONTROL!$C$19, $D$11, 100%, $F$11)</f>
        <v>25.611899999999999</v>
      </c>
      <c r="J785" s="4">
        <f>CHOOSE( CONTROL!$C$36, 25.4353, 25.4343) * CHOOSE(CONTROL!$C$19, $D$11, 100%, $F$11)</f>
        <v>25.435300000000002</v>
      </c>
      <c r="K785" s="4"/>
      <c r="L785" s="9">
        <v>29.306000000000001</v>
      </c>
      <c r="M785" s="9">
        <v>12.063700000000001</v>
      </c>
      <c r="N785" s="9">
        <v>4.9444999999999997</v>
      </c>
      <c r="O785" s="9">
        <v>0.37409999999999999</v>
      </c>
      <c r="P785" s="9">
        <v>1.2927</v>
      </c>
      <c r="Q785" s="9">
        <v>19.688099999999999</v>
      </c>
      <c r="R785" s="9"/>
      <c r="S785" s="11"/>
    </row>
    <row r="786" spans="1:19" ht="15.75">
      <c r="A786" s="13">
        <v>65074</v>
      </c>
      <c r="B786" s="8">
        <f>CHOOSE( CONTROL!$C$36, 24.5527, 24.5516) * CHOOSE(CONTROL!$C$19, $D$11, 100%, $F$11)</f>
        <v>24.552700000000002</v>
      </c>
      <c r="C786" s="8">
        <f>CHOOSE( CONTROL!$C$36, 24.5578, 24.5567) * CHOOSE(CONTROL!$C$19, $D$11, 100%, $F$11)</f>
        <v>24.5578</v>
      </c>
      <c r="D786" s="8">
        <f>CHOOSE( CONTROL!$C$36, 24.5589, 24.5579) * CHOOSE( CONTROL!$C$19, $D$11, 100%, $F$11)</f>
        <v>24.558900000000001</v>
      </c>
      <c r="E786" s="12">
        <f>CHOOSE( CONTROL!$C$36, 24.558, 24.5569) * CHOOSE( CONTROL!$C$19, $D$11, 100%, $F$11)</f>
        <v>24.558</v>
      </c>
      <c r="F786" s="4">
        <f>CHOOSE( CONTROL!$C$36, 25.2119, 25.2109) * CHOOSE(CONTROL!$C$19, $D$11, 100%, $F$11)</f>
        <v>25.2119</v>
      </c>
      <c r="G786" s="8">
        <f>CHOOSE( CONTROL!$C$36, 24.2568, 24.2558) * CHOOSE( CONTROL!$C$19, $D$11, 100%, $F$11)</f>
        <v>24.256799999999998</v>
      </c>
      <c r="H786" s="4">
        <f>CHOOSE( CONTROL!$C$36, 25.1341, 25.133) * CHOOSE(CONTROL!$C$19, $D$11, 100%, $F$11)</f>
        <v>25.1341</v>
      </c>
      <c r="I786" s="8">
        <f>CHOOSE( CONTROL!$C$36, 23.9663, 23.9653) * CHOOSE(CONTROL!$C$19, $D$11, 100%, $F$11)</f>
        <v>23.9663</v>
      </c>
      <c r="J786" s="4">
        <f>CHOOSE( CONTROL!$C$36, 23.791, 23.79) * CHOOSE(CONTROL!$C$19, $D$11, 100%, $F$11)</f>
        <v>23.791</v>
      </c>
      <c r="K786" s="4"/>
      <c r="L786" s="9">
        <v>26.469899999999999</v>
      </c>
      <c r="M786" s="9">
        <v>10.8962</v>
      </c>
      <c r="N786" s="9">
        <v>4.4660000000000002</v>
      </c>
      <c r="O786" s="9">
        <v>0.33789999999999998</v>
      </c>
      <c r="P786" s="9">
        <v>1.1676</v>
      </c>
      <c r="Q786" s="9">
        <v>17.782800000000002</v>
      </c>
      <c r="R786" s="9"/>
      <c r="S786" s="11"/>
    </row>
    <row r="787" spans="1:19" ht="15.75">
      <c r="A787" s="13">
        <v>65105</v>
      </c>
      <c r="B787" s="8">
        <f>CHOOSE( CONTROL!$C$36, 24.0297, 24.0286) * CHOOSE(CONTROL!$C$19, $D$11, 100%, $F$11)</f>
        <v>24.029699999999998</v>
      </c>
      <c r="C787" s="8">
        <f>CHOOSE( CONTROL!$C$36, 24.0348, 24.0337) * CHOOSE(CONTROL!$C$19, $D$11, 100%, $F$11)</f>
        <v>24.034800000000001</v>
      </c>
      <c r="D787" s="8">
        <f>CHOOSE( CONTROL!$C$36, 24.0353, 24.0342) * CHOOSE( CONTROL!$C$19, $D$11, 100%, $F$11)</f>
        <v>24.035299999999999</v>
      </c>
      <c r="E787" s="12">
        <f>CHOOSE( CONTROL!$C$36, 24.0346, 24.0335) * CHOOSE( CONTROL!$C$19, $D$11, 100%, $F$11)</f>
        <v>24.034600000000001</v>
      </c>
      <c r="F787" s="4">
        <f>CHOOSE( CONTROL!$C$36, 24.6889, 24.6878) * CHOOSE(CONTROL!$C$19, $D$11, 100%, $F$11)</f>
        <v>24.6889</v>
      </c>
      <c r="G787" s="8">
        <f>CHOOSE( CONTROL!$C$36, 23.7407, 23.7396) * CHOOSE( CONTROL!$C$19, $D$11, 100%, $F$11)</f>
        <v>23.7407</v>
      </c>
      <c r="H787" s="4">
        <f>CHOOSE( CONTROL!$C$36, 24.6183, 24.6173) * CHOOSE(CONTROL!$C$19, $D$11, 100%, $F$11)</f>
        <v>24.618300000000001</v>
      </c>
      <c r="I787" s="8">
        <f>CHOOSE( CONTROL!$C$36, 23.4577, 23.4566) * CHOOSE(CONTROL!$C$19, $D$11, 100%, $F$11)</f>
        <v>23.457699999999999</v>
      </c>
      <c r="J787" s="4">
        <f>CHOOSE( CONTROL!$C$36, 23.2846, 23.2835) * CHOOSE(CONTROL!$C$19, $D$11, 100%, $F$11)</f>
        <v>23.284600000000001</v>
      </c>
      <c r="K787" s="4"/>
      <c r="L787" s="9">
        <v>29.306000000000001</v>
      </c>
      <c r="M787" s="9">
        <v>12.063700000000001</v>
      </c>
      <c r="N787" s="9">
        <v>4.9444999999999997</v>
      </c>
      <c r="O787" s="9">
        <v>0.37409999999999999</v>
      </c>
      <c r="P787" s="9">
        <v>1.2927</v>
      </c>
      <c r="Q787" s="9">
        <v>19.688099999999999</v>
      </c>
      <c r="R787" s="9"/>
      <c r="S787" s="11"/>
    </row>
    <row r="788" spans="1:19" ht="15.75">
      <c r="A788" s="13">
        <v>65135</v>
      </c>
      <c r="B788" s="8">
        <f>CHOOSE( CONTROL!$C$36, 24.3959, 24.3948) * CHOOSE(CONTROL!$C$19, $D$11, 100%, $F$11)</f>
        <v>24.395900000000001</v>
      </c>
      <c r="C788" s="8">
        <f>CHOOSE( CONTROL!$C$36, 24.4004, 24.3994) * CHOOSE(CONTROL!$C$19, $D$11, 100%, $F$11)</f>
        <v>24.400400000000001</v>
      </c>
      <c r="D788" s="8">
        <f>CHOOSE( CONTROL!$C$36, 24.4208, 24.4197) * CHOOSE( CONTROL!$C$19, $D$11, 100%, $F$11)</f>
        <v>24.4208</v>
      </c>
      <c r="E788" s="12">
        <f>CHOOSE( CONTROL!$C$36, 24.4135, 24.4125) * CHOOSE( CONTROL!$C$19, $D$11, 100%, $F$11)</f>
        <v>24.413499999999999</v>
      </c>
      <c r="F788" s="4">
        <f>CHOOSE( CONTROL!$C$36, 25.1303, 25.1292) * CHOOSE(CONTROL!$C$19, $D$11, 100%, $F$11)</f>
        <v>25.130299999999998</v>
      </c>
      <c r="G788" s="8">
        <f>CHOOSE( CONTROL!$C$36, 24.1091, 24.1081) * CHOOSE( CONTROL!$C$19, $D$11, 100%, $F$11)</f>
        <v>24.109100000000002</v>
      </c>
      <c r="H788" s="4">
        <f>CHOOSE( CONTROL!$C$36, 25.0536, 25.0525) * CHOOSE(CONTROL!$C$19, $D$11, 100%, $F$11)</f>
        <v>25.053599999999999</v>
      </c>
      <c r="I788" s="8">
        <f>CHOOSE( CONTROL!$C$36, 23.7812, 23.7802) * CHOOSE(CONTROL!$C$19, $D$11, 100%, $F$11)</f>
        <v>23.781199999999998</v>
      </c>
      <c r="J788" s="4">
        <f>CHOOSE( CONTROL!$C$36, 23.6385, 23.6374) * CHOOSE(CONTROL!$C$19, $D$11, 100%, $F$11)</f>
        <v>23.638500000000001</v>
      </c>
      <c r="K788" s="4"/>
      <c r="L788" s="9">
        <v>30.092199999999998</v>
      </c>
      <c r="M788" s="9">
        <v>11.6745</v>
      </c>
      <c r="N788" s="9">
        <v>4.7850000000000001</v>
      </c>
      <c r="O788" s="9">
        <v>0.36199999999999999</v>
      </c>
      <c r="P788" s="9">
        <v>1.2509999999999999</v>
      </c>
      <c r="Q788" s="9">
        <v>19.053000000000001</v>
      </c>
      <c r="R788" s="9"/>
      <c r="S788" s="11"/>
    </row>
    <row r="789" spans="1:19" ht="15.75">
      <c r="A789" s="13">
        <v>65166</v>
      </c>
      <c r="B789" s="8">
        <f>CHOOSE( CONTROL!$C$36, 25.0483, 25.0466) * CHOOSE(CONTROL!$C$19, $D$11, 100%, $F$11)</f>
        <v>25.048300000000001</v>
      </c>
      <c r="C789" s="8">
        <f>CHOOSE( CONTROL!$C$36, 25.0563, 25.0546) * CHOOSE(CONTROL!$C$19, $D$11, 100%, $F$11)</f>
        <v>25.0563</v>
      </c>
      <c r="D789" s="8">
        <f>CHOOSE( CONTROL!$C$36, 25.0705, 25.0688) * CHOOSE( CONTROL!$C$19, $D$11, 100%, $F$11)</f>
        <v>25.070499999999999</v>
      </c>
      <c r="E789" s="12">
        <f>CHOOSE( CONTROL!$C$36, 25.0641, 25.0624) * CHOOSE( CONTROL!$C$19, $D$11, 100%, $F$11)</f>
        <v>25.0641</v>
      </c>
      <c r="F789" s="4">
        <f>CHOOSE( CONTROL!$C$36, 25.7813, 25.7797) * CHOOSE(CONTROL!$C$19, $D$11, 100%, $F$11)</f>
        <v>25.781300000000002</v>
      </c>
      <c r="G789" s="8">
        <f>CHOOSE( CONTROL!$C$36, 24.751, 24.7494) * CHOOSE( CONTROL!$C$19, $D$11, 100%, $F$11)</f>
        <v>24.751000000000001</v>
      </c>
      <c r="H789" s="4">
        <f>CHOOSE( CONTROL!$C$36, 25.6955, 25.6939) * CHOOSE(CONTROL!$C$19, $D$11, 100%, $F$11)</f>
        <v>25.695499999999999</v>
      </c>
      <c r="I789" s="8">
        <f>CHOOSE( CONTROL!$C$36, 24.4115, 24.4099) * CHOOSE(CONTROL!$C$19, $D$11, 100%, $F$11)</f>
        <v>24.4115</v>
      </c>
      <c r="J789" s="4">
        <f>CHOOSE( CONTROL!$C$36, 24.2689, 24.2673) * CHOOSE(CONTROL!$C$19, $D$11, 100%, $F$11)</f>
        <v>24.268899999999999</v>
      </c>
      <c r="K789" s="4"/>
      <c r="L789" s="9">
        <v>30.7165</v>
      </c>
      <c r="M789" s="9">
        <v>12.063700000000001</v>
      </c>
      <c r="N789" s="9">
        <v>4.9444999999999997</v>
      </c>
      <c r="O789" s="9">
        <v>0.37409999999999999</v>
      </c>
      <c r="P789" s="9">
        <v>1.2927</v>
      </c>
      <c r="Q789" s="9">
        <v>19.688099999999999</v>
      </c>
      <c r="R789" s="9"/>
      <c r="S789" s="11"/>
    </row>
    <row r="790" spans="1:19" ht="15.75">
      <c r="A790" s="13">
        <v>65196</v>
      </c>
      <c r="B790" s="8">
        <f>CHOOSE( CONTROL!$C$36, 24.6454, 24.6437) * CHOOSE(CONTROL!$C$19, $D$11, 100%, $F$11)</f>
        <v>24.645399999999999</v>
      </c>
      <c r="C790" s="8">
        <f>CHOOSE( CONTROL!$C$36, 24.6534, 24.6517) * CHOOSE(CONTROL!$C$19, $D$11, 100%, $F$11)</f>
        <v>24.653400000000001</v>
      </c>
      <c r="D790" s="8">
        <f>CHOOSE( CONTROL!$C$36, 24.6678, 24.6661) * CHOOSE( CONTROL!$C$19, $D$11, 100%, $F$11)</f>
        <v>24.6678</v>
      </c>
      <c r="E790" s="12">
        <f>CHOOSE( CONTROL!$C$36, 24.6614, 24.6597) * CHOOSE( CONTROL!$C$19, $D$11, 100%, $F$11)</f>
        <v>24.6614</v>
      </c>
      <c r="F790" s="4">
        <f>CHOOSE( CONTROL!$C$36, 25.3784, 25.3767) * CHOOSE(CONTROL!$C$19, $D$11, 100%, $F$11)</f>
        <v>25.378399999999999</v>
      </c>
      <c r="G790" s="8">
        <f>CHOOSE( CONTROL!$C$36, 24.3539, 24.3522) * CHOOSE( CONTROL!$C$19, $D$11, 100%, $F$11)</f>
        <v>24.353899999999999</v>
      </c>
      <c r="H790" s="4">
        <f>CHOOSE( CONTROL!$C$36, 25.2982, 25.2965) * CHOOSE(CONTROL!$C$19, $D$11, 100%, $F$11)</f>
        <v>25.298200000000001</v>
      </c>
      <c r="I790" s="8">
        <f>CHOOSE( CONTROL!$C$36, 24.0218, 24.0202) * CHOOSE(CONTROL!$C$19, $D$11, 100%, $F$11)</f>
        <v>24.021799999999999</v>
      </c>
      <c r="J790" s="4">
        <f>CHOOSE( CONTROL!$C$36, 23.8787, 23.8771) * CHOOSE(CONTROL!$C$19, $D$11, 100%, $F$11)</f>
        <v>23.878699999999998</v>
      </c>
      <c r="K790" s="4"/>
      <c r="L790" s="9">
        <v>29.7257</v>
      </c>
      <c r="M790" s="9">
        <v>11.6745</v>
      </c>
      <c r="N790" s="9">
        <v>4.7850000000000001</v>
      </c>
      <c r="O790" s="9">
        <v>0.36199999999999999</v>
      </c>
      <c r="P790" s="9">
        <v>1.2509999999999999</v>
      </c>
      <c r="Q790" s="9">
        <v>19.053000000000001</v>
      </c>
      <c r="R790" s="9"/>
      <c r="S790" s="11"/>
    </row>
    <row r="791" spans="1:19" ht="15.75">
      <c r="A791" s="13">
        <v>65227</v>
      </c>
      <c r="B791" s="8">
        <f>CHOOSE( CONTROL!$C$36, 25.7064, 25.7048) * CHOOSE(CONTROL!$C$19, $D$11, 100%, $F$11)</f>
        <v>25.706399999999999</v>
      </c>
      <c r="C791" s="8">
        <f>CHOOSE( CONTROL!$C$36, 25.7144, 25.7128) * CHOOSE(CONTROL!$C$19, $D$11, 100%, $F$11)</f>
        <v>25.714400000000001</v>
      </c>
      <c r="D791" s="8">
        <f>CHOOSE( CONTROL!$C$36, 25.7291, 25.7274) * CHOOSE( CONTROL!$C$19, $D$11, 100%, $F$11)</f>
        <v>25.729099999999999</v>
      </c>
      <c r="E791" s="12">
        <f>CHOOSE( CONTROL!$C$36, 25.7226, 25.7209) * CHOOSE( CONTROL!$C$19, $D$11, 100%, $F$11)</f>
        <v>25.7226</v>
      </c>
      <c r="F791" s="4">
        <f>CHOOSE( CONTROL!$C$36, 26.4395, 26.4378) * CHOOSE(CONTROL!$C$19, $D$11, 100%, $F$11)</f>
        <v>26.439499999999999</v>
      </c>
      <c r="G791" s="8">
        <f>CHOOSE( CONTROL!$C$36, 25.4003, 25.3987) * CHOOSE( CONTROL!$C$19, $D$11, 100%, $F$11)</f>
        <v>25.400300000000001</v>
      </c>
      <c r="H791" s="4">
        <f>CHOOSE( CONTROL!$C$36, 26.3445, 26.3428) * CHOOSE(CONTROL!$C$19, $D$11, 100%, $F$11)</f>
        <v>26.3445</v>
      </c>
      <c r="I791" s="8">
        <f>CHOOSE( CONTROL!$C$36, 25.0506, 25.049) * CHOOSE(CONTROL!$C$19, $D$11, 100%, $F$11)</f>
        <v>25.050599999999999</v>
      </c>
      <c r="J791" s="4">
        <f>CHOOSE( CONTROL!$C$36, 24.9061, 24.9045) * CHOOSE(CONTROL!$C$19, $D$11, 100%, $F$11)</f>
        <v>24.906099999999999</v>
      </c>
      <c r="K791" s="4"/>
      <c r="L791" s="9">
        <v>30.7165</v>
      </c>
      <c r="M791" s="9">
        <v>12.063700000000001</v>
      </c>
      <c r="N791" s="9">
        <v>4.9444999999999997</v>
      </c>
      <c r="O791" s="9">
        <v>0.37409999999999999</v>
      </c>
      <c r="P791" s="9">
        <v>1.2927</v>
      </c>
      <c r="Q791" s="9">
        <v>19.688099999999999</v>
      </c>
      <c r="R791" s="9"/>
      <c r="S791" s="11"/>
    </row>
    <row r="792" spans="1:19" ht="15.75">
      <c r="A792" s="13">
        <v>65258</v>
      </c>
      <c r="B792" s="8">
        <f>CHOOSE( CONTROL!$C$36, 23.7211, 23.7194) * CHOOSE(CONTROL!$C$19, $D$11, 100%, $F$11)</f>
        <v>23.7211</v>
      </c>
      <c r="C792" s="8">
        <f>CHOOSE( CONTROL!$C$36, 23.7291, 23.7274) * CHOOSE(CONTROL!$C$19, $D$11, 100%, $F$11)</f>
        <v>23.729099999999999</v>
      </c>
      <c r="D792" s="8">
        <f>CHOOSE( CONTROL!$C$36, 23.7437, 23.7421) * CHOOSE( CONTROL!$C$19, $D$11, 100%, $F$11)</f>
        <v>23.7437</v>
      </c>
      <c r="E792" s="12">
        <f>CHOOSE( CONTROL!$C$36, 23.7372, 23.7356) * CHOOSE( CONTROL!$C$19, $D$11, 100%, $F$11)</f>
        <v>23.737200000000001</v>
      </c>
      <c r="F792" s="4">
        <f>CHOOSE( CONTROL!$C$36, 24.4541, 24.4524) * CHOOSE(CONTROL!$C$19, $D$11, 100%, $F$11)</f>
        <v>24.4541</v>
      </c>
      <c r="G792" s="8">
        <f>CHOOSE( CONTROL!$C$36, 23.4427, 23.4411) * CHOOSE( CONTROL!$C$19, $D$11, 100%, $F$11)</f>
        <v>23.442699999999999</v>
      </c>
      <c r="H792" s="4">
        <f>CHOOSE( CONTROL!$C$36, 24.3868, 24.3851) * CHOOSE(CONTROL!$C$19, $D$11, 100%, $F$11)</f>
        <v>24.386800000000001</v>
      </c>
      <c r="I792" s="8">
        <f>CHOOSE( CONTROL!$C$36, 23.1274, 23.1258) * CHOOSE(CONTROL!$C$19, $D$11, 100%, $F$11)</f>
        <v>23.127400000000002</v>
      </c>
      <c r="J792" s="4">
        <f>CHOOSE( CONTROL!$C$36, 22.9837, 22.9821) * CHOOSE(CONTROL!$C$19, $D$11, 100%, $F$11)</f>
        <v>22.983699999999999</v>
      </c>
      <c r="K792" s="4"/>
      <c r="L792" s="9">
        <v>30.7165</v>
      </c>
      <c r="M792" s="9">
        <v>12.063700000000001</v>
      </c>
      <c r="N792" s="9">
        <v>4.9444999999999997</v>
      </c>
      <c r="O792" s="9">
        <v>0.37409999999999999</v>
      </c>
      <c r="P792" s="9">
        <v>1.2927</v>
      </c>
      <c r="Q792" s="9">
        <v>19.688099999999999</v>
      </c>
      <c r="R792" s="9"/>
      <c r="S792" s="11"/>
    </row>
    <row r="793" spans="1:19" ht="15.75">
      <c r="A793" s="13">
        <v>65288</v>
      </c>
      <c r="B793" s="8">
        <f>CHOOSE( CONTROL!$C$36, 23.2239, 23.2222) * CHOOSE(CONTROL!$C$19, $D$11, 100%, $F$11)</f>
        <v>23.2239</v>
      </c>
      <c r="C793" s="8">
        <f>CHOOSE( CONTROL!$C$36, 23.2319, 23.2302) * CHOOSE(CONTROL!$C$19, $D$11, 100%, $F$11)</f>
        <v>23.2319</v>
      </c>
      <c r="D793" s="8">
        <f>CHOOSE( CONTROL!$C$36, 23.2465, 23.2448) * CHOOSE( CONTROL!$C$19, $D$11, 100%, $F$11)</f>
        <v>23.246500000000001</v>
      </c>
      <c r="E793" s="12">
        <f>CHOOSE( CONTROL!$C$36, 23.24, 23.2383) * CHOOSE( CONTROL!$C$19, $D$11, 100%, $F$11)</f>
        <v>23.24</v>
      </c>
      <c r="F793" s="4">
        <f>CHOOSE( CONTROL!$C$36, 23.9569, 23.9553) * CHOOSE(CONTROL!$C$19, $D$11, 100%, $F$11)</f>
        <v>23.956900000000001</v>
      </c>
      <c r="G793" s="8">
        <f>CHOOSE( CONTROL!$C$36, 22.9524, 22.9508) * CHOOSE( CONTROL!$C$19, $D$11, 100%, $F$11)</f>
        <v>22.952400000000001</v>
      </c>
      <c r="H793" s="4">
        <f>CHOOSE( CONTROL!$C$36, 23.8965, 23.8949) * CHOOSE(CONTROL!$C$19, $D$11, 100%, $F$11)</f>
        <v>23.8965</v>
      </c>
      <c r="I793" s="8">
        <f>CHOOSE( CONTROL!$C$36, 22.6454, 22.6438) * CHOOSE(CONTROL!$C$19, $D$11, 100%, $F$11)</f>
        <v>22.645399999999999</v>
      </c>
      <c r="J793" s="4">
        <f>CHOOSE( CONTROL!$C$36, 22.5023, 22.5007) * CHOOSE(CONTROL!$C$19, $D$11, 100%, $F$11)</f>
        <v>22.502300000000002</v>
      </c>
      <c r="K793" s="4"/>
      <c r="L793" s="9">
        <v>29.7257</v>
      </c>
      <c r="M793" s="9">
        <v>11.6745</v>
      </c>
      <c r="N793" s="9">
        <v>4.7850000000000001</v>
      </c>
      <c r="O793" s="9">
        <v>0.36199999999999999</v>
      </c>
      <c r="P793" s="9">
        <v>1.2509999999999999</v>
      </c>
      <c r="Q793" s="9">
        <v>19.053000000000001</v>
      </c>
      <c r="R793" s="9"/>
      <c r="S793" s="11"/>
    </row>
    <row r="794" spans="1:19" ht="15.75">
      <c r="A794" s="13">
        <v>65319</v>
      </c>
      <c r="B794" s="8">
        <f>CHOOSE( CONTROL!$C$36, 24.2539, 24.2528) * CHOOSE(CONTROL!$C$19, $D$11, 100%, $F$11)</f>
        <v>24.253900000000002</v>
      </c>
      <c r="C794" s="8">
        <f>CHOOSE( CONTROL!$C$36, 24.2592, 24.2581) * CHOOSE(CONTROL!$C$19, $D$11, 100%, $F$11)</f>
        <v>24.2592</v>
      </c>
      <c r="D794" s="8">
        <f>CHOOSE( CONTROL!$C$36, 24.2797, 24.2786) * CHOOSE( CONTROL!$C$19, $D$11, 100%, $F$11)</f>
        <v>24.279699999999998</v>
      </c>
      <c r="E794" s="12">
        <f>CHOOSE( CONTROL!$C$36, 24.2724, 24.2713) * CHOOSE( CONTROL!$C$19, $D$11, 100%, $F$11)</f>
        <v>24.272400000000001</v>
      </c>
      <c r="F794" s="4">
        <f>CHOOSE( CONTROL!$C$36, 24.9886, 24.9875) * CHOOSE(CONTROL!$C$19, $D$11, 100%, $F$11)</f>
        <v>24.988600000000002</v>
      </c>
      <c r="G794" s="8">
        <f>CHOOSE( CONTROL!$C$36, 23.9699, 23.9688) * CHOOSE( CONTROL!$C$19, $D$11, 100%, $F$11)</f>
        <v>23.969899999999999</v>
      </c>
      <c r="H794" s="4">
        <f>CHOOSE( CONTROL!$C$36, 24.9139, 24.9128) * CHOOSE(CONTROL!$C$19, $D$11, 100%, $F$11)</f>
        <v>24.913900000000002</v>
      </c>
      <c r="I794" s="8">
        <f>CHOOSE( CONTROL!$C$36, 23.646, 23.6449) * CHOOSE(CONTROL!$C$19, $D$11, 100%, $F$11)</f>
        <v>23.646000000000001</v>
      </c>
      <c r="J794" s="4">
        <f>CHOOSE( CONTROL!$C$36, 23.5013, 23.5002) * CHOOSE(CONTROL!$C$19, $D$11, 100%, $F$11)</f>
        <v>23.501300000000001</v>
      </c>
      <c r="K794" s="4"/>
      <c r="L794" s="9">
        <v>31.095300000000002</v>
      </c>
      <c r="M794" s="9">
        <v>12.063700000000001</v>
      </c>
      <c r="N794" s="9">
        <v>4.9444999999999997</v>
      </c>
      <c r="O794" s="9">
        <v>0.37409999999999999</v>
      </c>
      <c r="P794" s="9">
        <v>1.2927</v>
      </c>
      <c r="Q794" s="9">
        <v>19.688099999999999</v>
      </c>
      <c r="R794" s="9"/>
      <c r="S794" s="11"/>
    </row>
    <row r="795" spans="1:19" ht="15.75">
      <c r="A795" s="13">
        <v>65349</v>
      </c>
      <c r="B795" s="8">
        <f>CHOOSE( CONTROL!$C$36, 26.1589, 26.1578) * CHOOSE(CONTROL!$C$19, $D$11, 100%, $F$11)</f>
        <v>26.158899999999999</v>
      </c>
      <c r="C795" s="8">
        <f>CHOOSE( CONTROL!$C$36, 26.164, 26.1629) * CHOOSE(CONTROL!$C$19, $D$11, 100%, $F$11)</f>
        <v>26.164000000000001</v>
      </c>
      <c r="D795" s="8">
        <f>CHOOSE( CONTROL!$C$36, 26.1432, 26.1421) * CHOOSE( CONTROL!$C$19, $D$11, 100%, $F$11)</f>
        <v>26.1432</v>
      </c>
      <c r="E795" s="12">
        <f>CHOOSE( CONTROL!$C$36, 26.1503, 26.1492) * CHOOSE( CONTROL!$C$19, $D$11, 100%, $F$11)</f>
        <v>26.150300000000001</v>
      </c>
      <c r="F795" s="4">
        <f>CHOOSE( CONTROL!$C$36, 26.8181, 26.817) * CHOOSE(CONTROL!$C$19, $D$11, 100%, $F$11)</f>
        <v>26.818100000000001</v>
      </c>
      <c r="G795" s="8">
        <f>CHOOSE( CONTROL!$C$36, 25.8287, 25.8276) * CHOOSE( CONTROL!$C$19, $D$11, 100%, $F$11)</f>
        <v>25.828700000000001</v>
      </c>
      <c r="H795" s="4">
        <f>CHOOSE( CONTROL!$C$36, 26.7178, 26.7167) * CHOOSE(CONTROL!$C$19, $D$11, 100%, $F$11)</f>
        <v>26.7178</v>
      </c>
      <c r="I795" s="8">
        <f>CHOOSE( CONTROL!$C$36, 25.541, 25.5399) * CHOOSE(CONTROL!$C$19, $D$11, 100%, $F$11)</f>
        <v>25.541</v>
      </c>
      <c r="J795" s="4">
        <f>CHOOSE( CONTROL!$C$36, 25.3463, 25.3452) * CHOOSE(CONTROL!$C$19, $D$11, 100%, $F$11)</f>
        <v>25.346299999999999</v>
      </c>
      <c r="K795" s="4"/>
      <c r="L795" s="9">
        <v>28.360600000000002</v>
      </c>
      <c r="M795" s="9">
        <v>11.6745</v>
      </c>
      <c r="N795" s="9">
        <v>4.7850000000000001</v>
      </c>
      <c r="O795" s="9">
        <v>0.36199999999999999</v>
      </c>
      <c r="P795" s="9">
        <v>1.2509999999999999</v>
      </c>
      <c r="Q795" s="9">
        <v>19.053000000000001</v>
      </c>
      <c r="R795" s="9"/>
      <c r="S795" s="11"/>
    </row>
    <row r="796" spans="1:19" ht="15.75">
      <c r="A796" s="13">
        <v>65380</v>
      </c>
      <c r="B796" s="8">
        <f>CHOOSE( CONTROL!$C$36, 26.1113, 26.1102) * CHOOSE(CONTROL!$C$19, $D$11, 100%, $F$11)</f>
        <v>26.1113</v>
      </c>
      <c r="C796" s="8">
        <f>CHOOSE( CONTROL!$C$36, 26.1164, 26.1153) * CHOOSE(CONTROL!$C$19, $D$11, 100%, $F$11)</f>
        <v>26.116399999999999</v>
      </c>
      <c r="D796" s="8">
        <f>CHOOSE( CONTROL!$C$36, 26.097, 26.0959) * CHOOSE( CONTROL!$C$19, $D$11, 100%, $F$11)</f>
        <v>26.097000000000001</v>
      </c>
      <c r="E796" s="12">
        <f>CHOOSE( CONTROL!$C$36, 26.1036, 26.1025) * CHOOSE( CONTROL!$C$19, $D$11, 100%, $F$11)</f>
        <v>26.1036</v>
      </c>
      <c r="F796" s="4">
        <f>CHOOSE( CONTROL!$C$36, 26.7705, 26.7694) * CHOOSE(CONTROL!$C$19, $D$11, 100%, $F$11)</f>
        <v>26.770499999999998</v>
      </c>
      <c r="G796" s="8">
        <f>CHOOSE( CONTROL!$C$36, 25.7827, 25.7816) * CHOOSE( CONTROL!$C$19, $D$11, 100%, $F$11)</f>
        <v>25.782699999999998</v>
      </c>
      <c r="H796" s="4">
        <f>CHOOSE( CONTROL!$C$36, 26.6709, 26.6698) * CHOOSE(CONTROL!$C$19, $D$11, 100%, $F$11)</f>
        <v>26.6709</v>
      </c>
      <c r="I796" s="8">
        <f>CHOOSE( CONTROL!$C$36, 25.4992, 25.4981) * CHOOSE(CONTROL!$C$19, $D$11, 100%, $F$11)</f>
        <v>25.499199999999998</v>
      </c>
      <c r="J796" s="4">
        <f>CHOOSE( CONTROL!$C$36, 25.3002, 25.2991) * CHOOSE(CONTROL!$C$19, $D$11, 100%, $F$11)</f>
        <v>25.3002</v>
      </c>
      <c r="K796" s="4"/>
      <c r="L796" s="9">
        <v>29.306000000000001</v>
      </c>
      <c r="M796" s="9">
        <v>12.063700000000001</v>
      </c>
      <c r="N796" s="9">
        <v>4.9444999999999997</v>
      </c>
      <c r="O796" s="9">
        <v>0.37409999999999999</v>
      </c>
      <c r="P796" s="9">
        <v>1.2927</v>
      </c>
      <c r="Q796" s="9">
        <v>19.688099999999999</v>
      </c>
      <c r="R796" s="9"/>
      <c r="S796" s="11"/>
    </row>
    <row r="797" spans="1:19" ht="15.75">
      <c r="A797" s="13">
        <v>65411</v>
      </c>
      <c r="B797" s="8">
        <f>CHOOSE( CONTROL!$C$36, 26.8819, 26.8808) * CHOOSE(CONTROL!$C$19, $D$11, 100%, $F$11)</f>
        <v>26.881900000000002</v>
      </c>
      <c r="C797" s="8">
        <f>CHOOSE( CONTROL!$C$36, 26.887, 26.8859) * CHOOSE(CONTROL!$C$19, $D$11, 100%, $F$11)</f>
        <v>26.887</v>
      </c>
      <c r="D797" s="8">
        <f>CHOOSE( CONTROL!$C$36, 26.8883, 26.8872) * CHOOSE( CONTROL!$C$19, $D$11, 100%, $F$11)</f>
        <v>26.888300000000001</v>
      </c>
      <c r="E797" s="12">
        <f>CHOOSE( CONTROL!$C$36, 26.8873, 26.8862) * CHOOSE( CONTROL!$C$19, $D$11, 100%, $F$11)</f>
        <v>26.8873</v>
      </c>
      <c r="F797" s="4">
        <f>CHOOSE( CONTROL!$C$36, 27.5412, 27.5401) * CHOOSE(CONTROL!$C$19, $D$11, 100%, $F$11)</f>
        <v>27.5412</v>
      </c>
      <c r="G797" s="8">
        <f>CHOOSE( CONTROL!$C$36, 26.5537, 26.5526) * CHOOSE( CONTROL!$C$19, $D$11, 100%, $F$11)</f>
        <v>26.553699999999999</v>
      </c>
      <c r="H797" s="4">
        <f>CHOOSE( CONTROL!$C$36, 27.4308, 27.4297) * CHOOSE(CONTROL!$C$19, $D$11, 100%, $F$11)</f>
        <v>27.430800000000001</v>
      </c>
      <c r="I797" s="8">
        <f>CHOOSE( CONTROL!$C$36, 26.2233, 26.2222) * CHOOSE(CONTROL!$C$19, $D$11, 100%, $F$11)</f>
        <v>26.223299999999998</v>
      </c>
      <c r="J797" s="4">
        <f>CHOOSE( CONTROL!$C$36, 26.0464, 26.0454) * CHOOSE(CONTROL!$C$19, $D$11, 100%, $F$11)</f>
        <v>26.046399999999998</v>
      </c>
      <c r="K797" s="4"/>
      <c r="L797" s="9">
        <v>29.306000000000001</v>
      </c>
      <c r="M797" s="9">
        <v>12.063700000000001</v>
      </c>
      <c r="N797" s="9">
        <v>4.9444999999999997</v>
      </c>
      <c r="O797" s="9">
        <v>0.37409999999999999</v>
      </c>
      <c r="P797" s="9">
        <v>1.2927</v>
      </c>
      <c r="Q797" s="9">
        <v>19.688099999999999</v>
      </c>
      <c r="R797" s="9"/>
      <c r="S797" s="11"/>
    </row>
    <row r="798" spans="1:19" ht="15.75">
      <c r="A798" s="13">
        <v>65439</v>
      </c>
      <c r="B798" s="8">
        <f>CHOOSE( CONTROL!$C$36, 25.143, 25.1419) * CHOOSE(CONTROL!$C$19, $D$11, 100%, $F$11)</f>
        <v>25.143000000000001</v>
      </c>
      <c r="C798" s="8">
        <f>CHOOSE( CONTROL!$C$36, 25.1481, 25.147) * CHOOSE(CONTROL!$C$19, $D$11, 100%, $F$11)</f>
        <v>25.148099999999999</v>
      </c>
      <c r="D798" s="8">
        <f>CHOOSE( CONTROL!$C$36, 25.1493, 25.1482) * CHOOSE( CONTROL!$C$19, $D$11, 100%, $F$11)</f>
        <v>25.1493</v>
      </c>
      <c r="E798" s="12">
        <f>CHOOSE( CONTROL!$C$36, 25.1483, 25.1472) * CHOOSE( CONTROL!$C$19, $D$11, 100%, $F$11)</f>
        <v>25.148299999999999</v>
      </c>
      <c r="F798" s="4">
        <f>CHOOSE( CONTROL!$C$36, 25.8023, 25.8012) * CHOOSE(CONTROL!$C$19, $D$11, 100%, $F$11)</f>
        <v>25.802299999999999</v>
      </c>
      <c r="G798" s="8">
        <f>CHOOSE( CONTROL!$C$36, 24.8389, 24.8379) * CHOOSE( CONTROL!$C$19, $D$11, 100%, $F$11)</f>
        <v>24.838899999999999</v>
      </c>
      <c r="H798" s="4">
        <f>CHOOSE( CONTROL!$C$36, 25.7161, 25.7151) * CHOOSE(CONTROL!$C$19, $D$11, 100%, $F$11)</f>
        <v>25.716100000000001</v>
      </c>
      <c r="I798" s="8">
        <f>CHOOSE( CONTROL!$C$36, 24.5382, 24.5372) * CHOOSE(CONTROL!$C$19, $D$11, 100%, $F$11)</f>
        <v>24.5382</v>
      </c>
      <c r="J798" s="4">
        <f>CHOOSE( CONTROL!$C$36, 24.3626, 24.3616) * CHOOSE(CONTROL!$C$19, $D$11, 100%, $F$11)</f>
        <v>24.3626</v>
      </c>
      <c r="K798" s="4"/>
      <c r="L798" s="9">
        <v>26.469899999999999</v>
      </c>
      <c r="M798" s="9">
        <v>10.8962</v>
      </c>
      <c r="N798" s="9">
        <v>4.4660000000000002</v>
      </c>
      <c r="O798" s="9">
        <v>0.33789999999999998</v>
      </c>
      <c r="P798" s="9">
        <v>1.1676</v>
      </c>
      <c r="Q798" s="9">
        <v>17.782800000000002</v>
      </c>
      <c r="R798" s="9"/>
      <c r="S798" s="11"/>
    </row>
    <row r="799" spans="1:19" ht="15.75">
      <c r="A799" s="13">
        <v>65470</v>
      </c>
      <c r="B799" s="8">
        <f>CHOOSE( CONTROL!$C$36, 24.6074, 24.6064) * CHOOSE(CONTROL!$C$19, $D$11, 100%, $F$11)</f>
        <v>24.607399999999998</v>
      </c>
      <c r="C799" s="8">
        <f>CHOOSE( CONTROL!$C$36, 24.6125, 24.6114) * CHOOSE(CONTROL!$C$19, $D$11, 100%, $F$11)</f>
        <v>24.612500000000001</v>
      </c>
      <c r="D799" s="8">
        <f>CHOOSE( CONTROL!$C$36, 24.6131, 24.612) * CHOOSE( CONTROL!$C$19, $D$11, 100%, $F$11)</f>
        <v>24.613099999999999</v>
      </c>
      <c r="E799" s="12">
        <f>CHOOSE( CONTROL!$C$36, 24.6123, 24.6112) * CHOOSE( CONTROL!$C$19, $D$11, 100%, $F$11)</f>
        <v>24.612300000000001</v>
      </c>
      <c r="F799" s="4">
        <f>CHOOSE( CONTROL!$C$36, 25.2667, 25.2656) * CHOOSE(CONTROL!$C$19, $D$11, 100%, $F$11)</f>
        <v>25.2667</v>
      </c>
      <c r="G799" s="8">
        <f>CHOOSE( CONTROL!$C$36, 24.3104, 24.3093) * CHOOSE( CONTROL!$C$19, $D$11, 100%, $F$11)</f>
        <v>24.310400000000001</v>
      </c>
      <c r="H799" s="4">
        <f>CHOOSE( CONTROL!$C$36, 25.188, 25.187) * CHOOSE(CONTROL!$C$19, $D$11, 100%, $F$11)</f>
        <v>25.187999999999999</v>
      </c>
      <c r="I799" s="8">
        <f>CHOOSE( CONTROL!$C$36, 24.0174, 24.0163) * CHOOSE(CONTROL!$C$19, $D$11, 100%, $F$11)</f>
        <v>24.017399999999999</v>
      </c>
      <c r="J799" s="4">
        <f>CHOOSE( CONTROL!$C$36, 23.844, 23.843) * CHOOSE(CONTROL!$C$19, $D$11, 100%, $F$11)</f>
        <v>23.844000000000001</v>
      </c>
      <c r="K799" s="4"/>
      <c r="L799" s="9">
        <v>29.306000000000001</v>
      </c>
      <c r="M799" s="9">
        <v>12.063700000000001</v>
      </c>
      <c r="N799" s="9">
        <v>4.9444999999999997</v>
      </c>
      <c r="O799" s="9">
        <v>0.37409999999999999</v>
      </c>
      <c r="P799" s="9">
        <v>1.2927</v>
      </c>
      <c r="Q799" s="9">
        <v>19.688099999999999</v>
      </c>
      <c r="R799" s="9"/>
      <c r="S799" s="11"/>
    </row>
    <row r="800" spans="1:19" ht="15.75">
      <c r="A800" s="13">
        <v>65500</v>
      </c>
      <c r="B800" s="8">
        <f>CHOOSE( CONTROL!$C$36, 24.9825, 24.9814) * CHOOSE(CONTROL!$C$19, $D$11, 100%, $F$11)</f>
        <v>24.982500000000002</v>
      </c>
      <c r="C800" s="8">
        <f>CHOOSE( CONTROL!$C$36, 24.987, 24.9859) * CHOOSE(CONTROL!$C$19, $D$11, 100%, $F$11)</f>
        <v>24.986999999999998</v>
      </c>
      <c r="D800" s="8">
        <f>CHOOSE( CONTROL!$C$36, 25.0074, 25.0063) * CHOOSE( CONTROL!$C$19, $D$11, 100%, $F$11)</f>
        <v>25.007400000000001</v>
      </c>
      <c r="E800" s="12">
        <f>CHOOSE( CONTROL!$C$36, 25.0001, 24.999) * CHOOSE( CONTROL!$C$19, $D$11, 100%, $F$11)</f>
        <v>25.0001</v>
      </c>
      <c r="F800" s="4">
        <f>CHOOSE( CONTROL!$C$36, 25.7168, 25.7158) * CHOOSE(CONTROL!$C$19, $D$11, 100%, $F$11)</f>
        <v>25.716799999999999</v>
      </c>
      <c r="G800" s="8">
        <f>CHOOSE( CONTROL!$C$36, 24.6875, 24.6864) * CHOOSE( CONTROL!$C$19, $D$11, 100%, $F$11)</f>
        <v>24.6875</v>
      </c>
      <c r="H800" s="4">
        <f>CHOOSE( CONTROL!$C$36, 25.6319, 25.6308) * CHOOSE(CONTROL!$C$19, $D$11, 100%, $F$11)</f>
        <v>25.631900000000002</v>
      </c>
      <c r="I800" s="8">
        <f>CHOOSE( CONTROL!$C$36, 24.3495, 24.3484) * CHOOSE(CONTROL!$C$19, $D$11, 100%, $F$11)</f>
        <v>24.349499999999999</v>
      </c>
      <c r="J800" s="4">
        <f>CHOOSE( CONTROL!$C$36, 24.2064, 24.2054) * CHOOSE(CONTROL!$C$19, $D$11, 100%, $F$11)</f>
        <v>24.206399999999999</v>
      </c>
      <c r="K800" s="4"/>
      <c r="L800" s="9">
        <v>30.092199999999998</v>
      </c>
      <c r="M800" s="9">
        <v>11.6745</v>
      </c>
      <c r="N800" s="9">
        <v>4.7850000000000001</v>
      </c>
      <c r="O800" s="9">
        <v>0.36199999999999999</v>
      </c>
      <c r="P800" s="9">
        <v>1.2509999999999999</v>
      </c>
      <c r="Q800" s="9">
        <v>19.053000000000001</v>
      </c>
      <c r="R800" s="9"/>
      <c r="S800" s="11"/>
    </row>
    <row r="801" spans="1:19" ht="15.75">
      <c r="A801" s="13">
        <v>65531</v>
      </c>
      <c r="B801" s="8">
        <f>CHOOSE( CONTROL!$C$36, 25.6505, 25.6488) * CHOOSE(CONTROL!$C$19, $D$11, 100%, $F$11)</f>
        <v>25.650500000000001</v>
      </c>
      <c r="C801" s="8">
        <f>CHOOSE( CONTROL!$C$36, 25.6585, 25.6568) * CHOOSE(CONTROL!$C$19, $D$11, 100%, $F$11)</f>
        <v>25.6585</v>
      </c>
      <c r="D801" s="8">
        <f>CHOOSE( CONTROL!$C$36, 25.6727, 25.671) * CHOOSE( CONTROL!$C$19, $D$11, 100%, $F$11)</f>
        <v>25.672699999999999</v>
      </c>
      <c r="E801" s="12">
        <f>CHOOSE( CONTROL!$C$36, 25.6663, 25.6646) * CHOOSE( CONTROL!$C$19, $D$11, 100%, $F$11)</f>
        <v>25.6663</v>
      </c>
      <c r="F801" s="4">
        <f>CHOOSE( CONTROL!$C$36, 26.3835, 26.3818) * CHOOSE(CONTROL!$C$19, $D$11, 100%, $F$11)</f>
        <v>26.383500000000002</v>
      </c>
      <c r="G801" s="8">
        <f>CHOOSE( CONTROL!$C$36, 25.3448, 25.3432) * CHOOSE( CONTROL!$C$19, $D$11, 100%, $F$11)</f>
        <v>25.344799999999999</v>
      </c>
      <c r="H801" s="4">
        <f>CHOOSE( CONTROL!$C$36, 26.2893, 26.2876) * CHOOSE(CONTROL!$C$19, $D$11, 100%, $F$11)</f>
        <v>26.289300000000001</v>
      </c>
      <c r="I801" s="8">
        <f>CHOOSE( CONTROL!$C$36, 24.9949, 24.9933) * CHOOSE(CONTROL!$C$19, $D$11, 100%, $F$11)</f>
        <v>24.994900000000001</v>
      </c>
      <c r="J801" s="4">
        <f>CHOOSE( CONTROL!$C$36, 24.852, 24.8503) * CHOOSE(CONTROL!$C$19, $D$11, 100%, $F$11)</f>
        <v>24.852</v>
      </c>
      <c r="K801" s="4"/>
      <c r="L801" s="9">
        <v>30.7165</v>
      </c>
      <c r="M801" s="9">
        <v>12.063700000000001</v>
      </c>
      <c r="N801" s="9">
        <v>4.9444999999999997</v>
      </c>
      <c r="O801" s="9">
        <v>0.37409999999999999</v>
      </c>
      <c r="P801" s="9">
        <v>1.2927</v>
      </c>
      <c r="Q801" s="9">
        <v>19.688099999999999</v>
      </c>
      <c r="R801" s="9"/>
      <c r="S801" s="11"/>
    </row>
    <row r="802" spans="1:19" ht="15.75">
      <c r="A802" s="13">
        <v>65561</v>
      </c>
      <c r="B802" s="8">
        <f>CHOOSE( CONTROL!$C$36, 25.2379, 25.2362) * CHOOSE(CONTROL!$C$19, $D$11, 100%, $F$11)</f>
        <v>25.2379</v>
      </c>
      <c r="C802" s="8">
        <f>CHOOSE( CONTROL!$C$36, 25.2459, 25.2442) * CHOOSE(CONTROL!$C$19, $D$11, 100%, $F$11)</f>
        <v>25.245899999999999</v>
      </c>
      <c r="D802" s="8">
        <f>CHOOSE( CONTROL!$C$36, 25.2602, 25.2586) * CHOOSE( CONTROL!$C$19, $D$11, 100%, $F$11)</f>
        <v>25.260200000000001</v>
      </c>
      <c r="E802" s="12">
        <f>CHOOSE( CONTROL!$C$36, 25.2538, 25.2522) * CHOOSE( CONTROL!$C$19, $D$11, 100%, $F$11)</f>
        <v>25.253799999999998</v>
      </c>
      <c r="F802" s="4">
        <f>CHOOSE( CONTROL!$C$36, 25.9709, 25.9692) * CHOOSE(CONTROL!$C$19, $D$11, 100%, $F$11)</f>
        <v>25.9709</v>
      </c>
      <c r="G802" s="8">
        <f>CHOOSE( CONTROL!$C$36, 24.9381, 24.9365) * CHOOSE( CONTROL!$C$19, $D$11, 100%, $F$11)</f>
        <v>24.938099999999999</v>
      </c>
      <c r="H802" s="4">
        <f>CHOOSE( CONTROL!$C$36, 25.8824, 25.8808) * CHOOSE(CONTROL!$C$19, $D$11, 100%, $F$11)</f>
        <v>25.882400000000001</v>
      </c>
      <c r="I802" s="8">
        <f>CHOOSE( CONTROL!$C$36, 24.5958, 24.5942) * CHOOSE(CONTROL!$C$19, $D$11, 100%, $F$11)</f>
        <v>24.595800000000001</v>
      </c>
      <c r="J802" s="4">
        <f>CHOOSE( CONTROL!$C$36, 24.4524, 24.4508) * CHOOSE(CONTROL!$C$19, $D$11, 100%, $F$11)</f>
        <v>24.452400000000001</v>
      </c>
      <c r="K802" s="4"/>
      <c r="L802" s="9">
        <v>29.7257</v>
      </c>
      <c r="M802" s="9">
        <v>11.6745</v>
      </c>
      <c r="N802" s="9">
        <v>4.7850000000000001</v>
      </c>
      <c r="O802" s="9">
        <v>0.36199999999999999</v>
      </c>
      <c r="P802" s="9">
        <v>1.2509999999999999</v>
      </c>
      <c r="Q802" s="9">
        <v>19.053000000000001</v>
      </c>
      <c r="R802" s="9"/>
      <c r="S802" s="11"/>
    </row>
    <row r="803" spans="1:19" ht="15.75">
      <c r="A803" s="13">
        <v>65592</v>
      </c>
      <c r="B803" s="8">
        <f>CHOOSE( CONTROL!$C$36, 26.3244, 26.3228) * CHOOSE(CONTROL!$C$19, $D$11, 100%, $F$11)</f>
        <v>26.324400000000001</v>
      </c>
      <c r="C803" s="8">
        <f>CHOOSE( CONTROL!$C$36, 26.3324, 26.3308) * CHOOSE(CONTROL!$C$19, $D$11, 100%, $F$11)</f>
        <v>26.3324</v>
      </c>
      <c r="D803" s="8">
        <f>CHOOSE( CONTROL!$C$36, 26.3471, 26.3454) * CHOOSE( CONTROL!$C$19, $D$11, 100%, $F$11)</f>
        <v>26.347100000000001</v>
      </c>
      <c r="E803" s="12">
        <f>CHOOSE( CONTROL!$C$36, 26.3406, 26.3389) * CHOOSE( CONTROL!$C$19, $D$11, 100%, $F$11)</f>
        <v>26.340599999999998</v>
      </c>
      <c r="F803" s="4">
        <f>CHOOSE( CONTROL!$C$36, 27.0575, 27.0558) * CHOOSE(CONTROL!$C$19, $D$11, 100%, $F$11)</f>
        <v>27.057500000000001</v>
      </c>
      <c r="G803" s="8">
        <f>CHOOSE( CONTROL!$C$36, 26.0097, 26.0081) * CHOOSE( CONTROL!$C$19, $D$11, 100%, $F$11)</f>
        <v>26.009699999999999</v>
      </c>
      <c r="H803" s="4">
        <f>CHOOSE( CONTROL!$C$36, 26.9538, 26.9522) * CHOOSE(CONTROL!$C$19, $D$11, 100%, $F$11)</f>
        <v>26.953800000000001</v>
      </c>
      <c r="I803" s="8">
        <f>CHOOSE( CONTROL!$C$36, 25.6493, 25.6477) * CHOOSE(CONTROL!$C$19, $D$11, 100%, $F$11)</f>
        <v>25.6493</v>
      </c>
      <c r="J803" s="4">
        <f>CHOOSE( CONTROL!$C$36, 25.5045, 25.5029) * CHOOSE(CONTROL!$C$19, $D$11, 100%, $F$11)</f>
        <v>25.5045</v>
      </c>
      <c r="K803" s="4"/>
      <c r="L803" s="9">
        <v>30.7165</v>
      </c>
      <c r="M803" s="9">
        <v>12.063700000000001</v>
      </c>
      <c r="N803" s="9">
        <v>4.9444999999999997</v>
      </c>
      <c r="O803" s="9">
        <v>0.37409999999999999</v>
      </c>
      <c r="P803" s="9">
        <v>1.2927</v>
      </c>
      <c r="Q803" s="9">
        <v>19.688099999999999</v>
      </c>
      <c r="R803" s="9"/>
      <c r="S803" s="11"/>
    </row>
    <row r="804" spans="1:19" ht="15.75">
      <c r="A804" s="13">
        <v>65623</v>
      </c>
      <c r="B804" s="8">
        <f>CHOOSE( CONTROL!$C$36, 24.2913, 24.2897) * CHOOSE(CONTROL!$C$19, $D$11, 100%, $F$11)</f>
        <v>24.2913</v>
      </c>
      <c r="C804" s="8">
        <f>CHOOSE( CONTROL!$C$36, 24.2993, 24.2977) * CHOOSE(CONTROL!$C$19, $D$11, 100%, $F$11)</f>
        <v>24.299299999999999</v>
      </c>
      <c r="D804" s="8">
        <f>CHOOSE( CONTROL!$C$36, 24.314, 24.3124) * CHOOSE( CONTROL!$C$19, $D$11, 100%, $F$11)</f>
        <v>24.314</v>
      </c>
      <c r="E804" s="12">
        <f>CHOOSE( CONTROL!$C$36, 24.3075, 24.3059) * CHOOSE( CONTROL!$C$19, $D$11, 100%, $F$11)</f>
        <v>24.307500000000001</v>
      </c>
      <c r="F804" s="4">
        <f>CHOOSE( CONTROL!$C$36, 25.0244, 25.0227) * CHOOSE(CONTROL!$C$19, $D$11, 100%, $F$11)</f>
        <v>25.0244</v>
      </c>
      <c r="G804" s="8">
        <f>CHOOSE( CONTROL!$C$36, 24.005, 24.0034) * CHOOSE( CONTROL!$C$19, $D$11, 100%, $F$11)</f>
        <v>24.004999999999999</v>
      </c>
      <c r="H804" s="4">
        <f>CHOOSE( CONTROL!$C$36, 24.9491, 24.9475) * CHOOSE(CONTROL!$C$19, $D$11, 100%, $F$11)</f>
        <v>24.949100000000001</v>
      </c>
      <c r="I804" s="8">
        <f>CHOOSE( CONTROL!$C$36, 23.6799, 23.6783) * CHOOSE(CONTROL!$C$19, $D$11, 100%, $F$11)</f>
        <v>23.6799</v>
      </c>
      <c r="J804" s="4">
        <f>CHOOSE( CONTROL!$C$36, 23.5359, 23.5343) * CHOOSE(CONTROL!$C$19, $D$11, 100%, $F$11)</f>
        <v>23.535900000000002</v>
      </c>
      <c r="K804" s="4"/>
      <c r="L804" s="9">
        <v>30.7165</v>
      </c>
      <c r="M804" s="9">
        <v>12.063700000000001</v>
      </c>
      <c r="N804" s="9">
        <v>4.9444999999999997</v>
      </c>
      <c r="O804" s="9">
        <v>0.37409999999999999</v>
      </c>
      <c r="P804" s="9">
        <v>1.2927</v>
      </c>
      <c r="Q804" s="9">
        <v>19.688099999999999</v>
      </c>
      <c r="R804" s="9"/>
      <c r="S804" s="11"/>
    </row>
    <row r="805" spans="1:19" ht="15.75">
      <c r="A805" s="13">
        <v>65653</v>
      </c>
      <c r="B805" s="8">
        <f>CHOOSE( CONTROL!$C$36, 23.7822, 23.7806) * CHOOSE(CONTROL!$C$19, $D$11, 100%, $F$11)</f>
        <v>23.7822</v>
      </c>
      <c r="C805" s="8">
        <f>CHOOSE( CONTROL!$C$36, 23.7902, 23.7886) * CHOOSE(CONTROL!$C$19, $D$11, 100%, $F$11)</f>
        <v>23.790199999999999</v>
      </c>
      <c r="D805" s="8">
        <f>CHOOSE( CONTROL!$C$36, 23.8048, 23.8032) * CHOOSE( CONTROL!$C$19, $D$11, 100%, $F$11)</f>
        <v>23.8048</v>
      </c>
      <c r="E805" s="12">
        <f>CHOOSE( CONTROL!$C$36, 23.7983, 23.7967) * CHOOSE( CONTROL!$C$19, $D$11, 100%, $F$11)</f>
        <v>23.798300000000001</v>
      </c>
      <c r="F805" s="4">
        <f>CHOOSE( CONTROL!$C$36, 24.5153, 24.5136) * CHOOSE(CONTROL!$C$19, $D$11, 100%, $F$11)</f>
        <v>24.5153</v>
      </c>
      <c r="G805" s="8">
        <f>CHOOSE( CONTROL!$C$36, 23.5029, 23.5013) * CHOOSE( CONTROL!$C$19, $D$11, 100%, $F$11)</f>
        <v>23.5029</v>
      </c>
      <c r="H805" s="4">
        <f>CHOOSE( CONTROL!$C$36, 24.4471, 24.4455) * CHOOSE(CONTROL!$C$19, $D$11, 100%, $F$11)</f>
        <v>24.447099999999999</v>
      </c>
      <c r="I805" s="8">
        <f>CHOOSE( CONTROL!$C$36, 23.1863, 23.1847) * CHOOSE(CONTROL!$C$19, $D$11, 100%, $F$11)</f>
        <v>23.186299999999999</v>
      </c>
      <c r="J805" s="4">
        <f>CHOOSE( CONTROL!$C$36, 23.0429, 23.0413) * CHOOSE(CONTROL!$C$19, $D$11, 100%, $F$11)</f>
        <v>23.042899999999999</v>
      </c>
      <c r="K805" s="4"/>
      <c r="L805" s="9">
        <v>29.7257</v>
      </c>
      <c r="M805" s="9">
        <v>11.6745</v>
      </c>
      <c r="N805" s="9">
        <v>4.7850000000000001</v>
      </c>
      <c r="O805" s="9">
        <v>0.36199999999999999</v>
      </c>
      <c r="P805" s="9">
        <v>1.2509999999999999</v>
      </c>
      <c r="Q805" s="9">
        <v>19.053000000000001</v>
      </c>
      <c r="R805" s="9"/>
      <c r="S805" s="11"/>
    </row>
    <row r="806" spans="1:19" ht="15.75">
      <c r="A806" s="13">
        <v>65684</v>
      </c>
      <c r="B806" s="8">
        <f>CHOOSE( CONTROL!$C$36, 24.837, 24.8359) * CHOOSE(CONTROL!$C$19, $D$11, 100%, $F$11)</f>
        <v>24.837</v>
      </c>
      <c r="C806" s="8">
        <f>CHOOSE( CONTROL!$C$36, 24.8424, 24.8413) * CHOOSE(CONTROL!$C$19, $D$11, 100%, $F$11)</f>
        <v>24.842400000000001</v>
      </c>
      <c r="D806" s="8">
        <f>CHOOSE( CONTROL!$C$36, 24.8629, 24.8618) * CHOOSE( CONTROL!$C$19, $D$11, 100%, $F$11)</f>
        <v>24.8629</v>
      </c>
      <c r="E806" s="12">
        <f>CHOOSE( CONTROL!$C$36, 24.8556, 24.8545) * CHOOSE( CONTROL!$C$19, $D$11, 100%, $F$11)</f>
        <v>24.855599999999999</v>
      </c>
      <c r="F806" s="4">
        <f>CHOOSE( CONTROL!$C$36, 25.5718, 25.5707) * CHOOSE(CONTROL!$C$19, $D$11, 100%, $F$11)</f>
        <v>25.5718</v>
      </c>
      <c r="G806" s="8">
        <f>CHOOSE( CONTROL!$C$36, 24.5449, 24.5438) * CHOOSE( CONTROL!$C$19, $D$11, 100%, $F$11)</f>
        <v>24.544899999999998</v>
      </c>
      <c r="H806" s="4">
        <f>CHOOSE( CONTROL!$C$36, 25.4889, 25.4878) * CHOOSE(CONTROL!$C$19, $D$11, 100%, $F$11)</f>
        <v>25.488900000000001</v>
      </c>
      <c r="I806" s="8">
        <f>CHOOSE( CONTROL!$C$36, 24.2109, 24.2099) * CHOOSE(CONTROL!$C$19, $D$11, 100%, $F$11)</f>
        <v>24.210899999999999</v>
      </c>
      <c r="J806" s="4">
        <f>CHOOSE( CONTROL!$C$36, 24.0659, 24.0649) * CHOOSE(CONTROL!$C$19, $D$11, 100%, $F$11)</f>
        <v>24.065899999999999</v>
      </c>
      <c r="K806" s="4"/>
      <c r="L806" s="9">
        <v>31.095300000000002</v>
      </c>
      <c r="M806" s="9">
        <v>12.063700000000001</v>
      </c>
      <c r="N806" s="9">
        <v>4.9444999999999997</v>
      </c>
      <c r="O806" s="9">
        <v>0.37409999999999999</v>
      </c>
      <c r="P806" s="9">
        <v>1.2927</v>
      </c>
      <c r="Q806" s="9">
        <v>19.688099999999999</v>
      </c>
      <c r="R806" s="9"/>
      <c r="S806" s="11"/>
    </row>
    <row r="807" spans="1:19" ht="15.75">
      <c r="A807" s="13">
        <v>65714</v>
      </c>
      <c r="B807" s="8">
        <f>CHOOSE( CONTROL!$C$36, 26.7878, 26.7867) * CHOOSE(CONTROL!$C$19, $D$11, 100%, $F$11)</f>
        <v>26.787800000000001</v>
      </c>
      <c r="C807" s="8">
        <f>CHOOSE( CONTROL!$C$36, 26.7929, 26.7918) * CHOOSE(CONTROL!$C$19, $D$11, 100%, $F$11)</f>
        <v>26.792899999999999</v>
      </c>
      <c r="D807" s="8">
        <f>CHOOSE( CONTROL!$C$36, 26.7721, 26.771) * CHOOSE( CONTROL!$C$19, $D$11, 100%, $F$11)</f>
        <v>26.772099999999998</v>
      </c>
      <c r="E807" s="12">
        <f>CHOOSE( CONTROL!$C$36, 26.7792, 26.7781) * CHOOSE( CONTROL!$C$19, $D$11, 100%, $F$11)</f>
        <v>26.779199999999999</v>
      </c>
      <c r="F807" s="4">
        <f>CHOOSE( CONTROL!$C$36, 27.447, 27.4459) * CHOOSE(CONTROL!$C$19, $D$11, 100%, $F$11)</f>
        <v>27.446999999999999</v>
      </c>
      <c r="G807" s="8">
        <f>CHOOSE( CONTROL!$C$36, 26.4488, 26.4477) * CHOOSE( CONTROL!$C$19, $D$11, 100%, $F$11)</f>
        <v>26.448799999999999</v>
      </c>
      <c r="H807" s="4">
        <f>CHOOSE( CONTROL!$C$36, 27.338, 27.3369) * CHOOSE(CONTROL!$C$19, $D$11, 100%, $F$11)</f>
        <v>27.338000000000001</v>
      </c>
      <c r="I807" s="8">
        <f>CHOOSE( CONTROL!$C$36, 26.1503, 26.1492) * CHOOSE(CONTROL!$C$19, $D$11, 100%, $F$11)</f>
        <v>26.150300000000001</v>
      </c>
      <c r="J807" s="4">
        <f>CHOOSE( CONTROL!$C$36, 25.9553, 25.9542) * CHOOSE(CONTROL!$C$19, $D$11, 100%, $F$11)</f>
        <v>25.955300000000001</v>
      </c>
      <c r="K807" s="4"/>
      <c r="L807" s="9">
        <v>28.360600000000002</v>
      </c>
      <c r="M807" s="9">
        <v>11.6745</v>
      </c>
      <c r="N807" s="9">
        <v>4.7850000000000001</v>
      </c>
      <c r="O807" s="9">
        <v>0.36199999999999999</v>
      </c>
      <c r="P807" s="9">
        <v>1.2509999999999999</v>
      </c>
      <c r="Q807" s="9">
        <v>19.053000000000001</v>
      </c>
      <c r="R807" s="9"/>
      <c r="S807" s="11"/>
    </row>
    <row r="808" spans="1:19" ht="15.75">
      <c r="A808" s="13">
        <v>65745</v>
      </c>
      <c r="B808" s="8">
        <f>CHOOSE( CONTROL!$C$36, 26.739, 26.7379) * CHOOSE(CONTROL!$C$19, $D$11, 100%, $F$11)</f>
        <v>26.739000000000001</v>
      </c>
      <c r="C808" s="8">
        <f>CHOOSE( CONTROL!$C$36, 26.7441, 26.743) * CHOOSE(CONTROL!$C$19, $D$11, 100%, $F$11)</f>
        <v>26.7441</v>
      </c>
      <c r="D808" s="8">
        <f>CHOOSE( CONTROL!$C$36, 26.7247, 26.7236) * CHOOSE( CONTROL!$C$19, $D$11, 100%, $F$11)</f>
        <v>26.724699999999999</v>
      </c>
      <c r="E808" s="12">
        <f>CHOOSE( CONTROL!$C$36, 26.7313, 26.7302) * CHOOSE( CONTROL!$C$19, $D$11, 100%, $F$11)</f>
        <v>26.731300000000001</v>
      </c>
      <c r="F808" s="4">
        <f>CHOOSE( CONTROL!$C$36, 27.3983, 27.3972) * CHOOSE(CONTROL!$C$19, $D$11, 100%, $F$11)</f>
        <v>27.398299999999999</v>
      </c>
      <c r="G808" s="8">
        <f>CHOOSE( CONTROL!$C$36, 26.4017, 26.4007) * CHOOSE( CONTROL!$C$19, $D$11, 100%, $F$11)</f>
        <v>26.401700000000002</v>
      </c>
      <c r="H808" s="4">
        <f>CHOOSE( CONTROL!$C$36, 27.2899, 27.2888) * CHOOSE(CONTROL!$C$19, $D$11, 100%, $F$11)</f>
        <v>27.289899999999999</v>
      </c>
      <c r="I808" s="8">
        <f>CHOOSE( CONTROL!$C$36, 26.1073, 26.1063) * CHOOSE(CONTROL!$C$19, $D$11, 100%, $F$11)</f>
        <v>26.107299999999999</v>
      </c>
      <c r="J808" s="4">
        <f>CHOOSE( CONTROL!$C$36, 25.9081, 25.907) * CHOOSE(CONTROL!$C$19, $D$11, 100%, $F$11)</f>
        <v>25.908100000000001</v>
      </c>
      <c r="K808" s="4"/>
      <c r="L808" s="9">
        <v>29.306000000000001</v>
      </c>
      <c r="M808" s="9">
        <v>12.063700000000001</v>
      </c>
      <c r="N808" s="9">
        <v>4.9444999999999997</v>
      </c>
      <c r="O808" s="9">
        <v>0.37409999999999999</v>
      </c>
      <c r="P808" s="9">
        <v>1.2927</v>
      </c>
      <c r="Q808" s="9">
        <v>19.688099999999999</v>
      </c>
      <c r="R808" s="9"/>
      <c r="S808" s="11"/>
    </row>
    <row r="809" spans="1:19" ht="15.75">
      <c r="A809" s="13">
        <v>65776</v>
      </c>
      <c r="B809" s="8">
        <f>CHOOSE( CONTROL!$C$36, 27.5282, 27.5271) * CHOOSE(CONTROL!$C$19, $D$11, 100%, $F$11)</f>
        <v>27.528199999999998</v>
      </c>
      <c r="C809" s="8">
        <f>CHOOSE( CONTROL!$C$36, 27.5333, 27.5322) * CHOOSE(CONTROL!$C$19, $D$11, 100%, $F$11)</f>
        <v>27.533300000000001</v>
      </c>
      <c r="D809" s="8">
        <f>CHOOSE( CONTROL!$C$36, 27.5346, 27.5335) * CHOOSE( CONTROL!$C$19, $D$11, 100%, $F$11)</f>
        <v>27.534600000000001</v>
      </c>
      <c r="E809" s="12">
        <f>CHOOSE( CONTROL!$C$36, 27.5336, 27.5325) * CHOOSE( CONTROL!$C$19, $D$11, 100%, $F$11)</f>
        <v>27.5336</v>
      </c>
      <c r="F809" s="4">
        <f>CHOOSE( CONTROL!$C$36, 28.1875, 28.1864) * CHOOSE(CONTROL!$C$19, $D$11, 100%, $F$11)</f>
        <v>28.1875</v>
      </c>
      <c r="G809" s="8">
        <f>CHOOSE( CONTROL!$C$36, 27.191, 27.1899) * CHOOSE( CONTROL!$C$19, $D$11, 100%, $F$11)</f>
        <v>27.190999999999999</v>
      </c>
      <c r="H809" s="4">
        <f>CHOOSE( CONTROL!$C$36, 28.0681, 28.067) * CHOOSE(CONTROL!$C$19, $D$11, 100%, $F$11)</f>
        <v>28.068100000000001</v>
      </c>
      <c r="I809" s="8">
        <f>CHOOSE( CONTROL!$C$36, 26.8494, 26.8483) * CHOOSE(CONTROL!$C$19, $D$11, 100%, $F$11)</f>
        <v>26.849399999999999</v>
      </c>
      <c r="J809" s="4">
        <f>CHOOSE( CONTROL!$C$36, 26.6722, 26.6712) * CHOOSE(CONTROL!$C$19, $D$11, 100%, $F$11)</f>
        <v>26.6722</v>
      </c>
      <c r="K809" s="4"/>
      <c r="L809" s="9">
        <v>29.306000000000001</v>
      </c>
      <c r="M809" s="9">
        <v>12.063700000000001</v>
      </c>
      <c r="N809" s="9">
        <v>4.9444999999999997</v>
      </c>
      <c r="O809" s="9">
        <v>0.37409999999999999</v>
      </c>
      <c r="P809" s="9">
        <v>1.2927</v>
      </c>
      <c r="Q809" s="9">
        <v>19.688099999999999</v>
      </c>
      <c r="R809" s="9"/>
      <c r="S809" s="11"/>
    </row>
    <row r="810" spans="1:19" ht="15.75">
      <c r="A810" s="13">
        <v>65805</v>
      </c>
      <c r="B810" s="8">
        <f>CHOOSE( CONTROL!$C$36, 25.7475, 25.7464) * CHOOSE(CONTROL!$C$19, $D$11, 100%, $F$11)</f>
        <v>25.747499999999999</v>
      </c>
      <c r="C810" s="8">
        <f>CHOOSE( CONTROL!$C$36, 25.7526, 25.7515) * CHOOSE(CONTROL!$C$19, $D$11, 100%, $F$11)</f>
        <v>25.752600000000001</v>
      </c>
      <c r="D810" s="8">
        <f>CHOOSE( CONTROL!$C$36, 25.7538, 25.7527) * CHOOSE( CONTROL!$C$19, $D$11, 100%, $F$11)</f>
        <v>25.753799999999998</v>
      </c>
      <c r="E810" s="12">
        <f>CHOOSE( CONTROL!$C$36, 25.7528, 25.7517) * CHOOSE( CONTROL!$C$19, $D$11, 100%, $F$11)</f>
        <v>25.752800000000001</v>
      </c>
      <c r="F810" s="4">
        <f>CHOOSE( CONTROL!$C$36, 26.4068, 26.4057) * CHOOSE(CONTROL!$C$19, $D$11, 100%, $F$11)</f>
        <v>26.4068</v>
      </c>
      <c r="G810" s="8">
        <f>CHOOSE( CONTROL!$C$36, 25.435, 25.4339) * CHOOSE( CONTROL!$C$19, $D$11, 100%, $F$11)</f>
        <v>25.434999999999999</v>
      </c>
      <c r="H810" s="4">
        <f>CHOOSE( CONTROL!$C$36, 26.3122, 26.3111) * CHOOSE(CONTROL!$C$19, $D$11, 100%, $F$11)</f>
        <v>26.312200000000001</v>
      </c>
      <c r="I810" s="8">
        <f>CHOOSE( CONTROL!$C$36, 25.1239, 25.1228) * CHOOSE(CONTROL!$C$19, $D$11, 100%, $F$11)</f>
        <v>25.123899999999999</v>
      </c>
      <c r="J810" s="4">
        <f>CHOOSE( CONTROL!$C$36, 24.948, 24.9469) * CHOOSE(CONTROL!$C$19, $D$11, 100%, $F$11)</f>
        <v>24.948</v>
      </c>
      <c r="K810" s="4"/>
      <c r="L810" s="9">
        <v>27.415299999999998</v>
      </c>
      <c r="M810" s="9">
        <v>11.285299999999999</v>
      </c>
      <c r="N810" s="9">
        <v>4.6254999999999997</v>
      </c>
      <c r="O810" s="9">
        <v>0.34989999999999999</v>
      </c>
      <c r="P810" s="9">
        <v>1.2093</v>
      </c>
      <c r="Q810" s="9">
        <v>18.417899999999999</v>
      </c>
      <c r="R810" s="9"/>
      <c r="S810" s="11"/>
    </row>
    <row r="811" spans="1:19" ht="15.75">
      <c r="A811" s="13">
        <v>65836</v>
      </c>
      <c r="B811" s="8">
        <f>CHOOSE( CONTROL!$C$36, 25.1991, 25.198) * CHOOSE(CONTROL!$C$19, $D$11, 100%, $F$11)</f>
        <v>25.199100000000001</v>
      </c>
      <c r="C811" s="8">
        <f>CHOOSE( CONTROL!$C$36, 25.2042, 25.2031) * CHOOSE(CONTROL!$C$19, $D$11, 100%, $F$11)</f>
        <v>25.2042</v>
      </c>
      <c r="D811" s="8">
        <f>CHOOSE( CONTROL!$C$36, 25.2047, 25.2036) * CHOOSE( CONTROL!$C$19, $D$11, 100%, $F$11)</f>
        <v>25.204699999999999</v>
      </c>
      <c r="E811" s="12">
        <f>CHOOSE( CONTROL!$C$36, 25.204, 25.2029) * CHOOSE( CONTROL!$C$19, $D$11, 100%, $F$11)</f>
        <v>25.204000000000001</v>
      </c>
      <c r="F811" s="4">
        <f>CHOOSE( CONTROL!$C$36, 25.8583, 25.8572) * CHOOSE(CONTROL!$C$19, $D$11, 100%, $F$11)</f>
        <v>25.8583</v>
      </c>
      <c r="G811" s="8">
        <f>CHOOSE( CONTROL!$C$36, 24.8938, 24.8927) * CHOOSE( CONTROL!$C$19, $D$11, 100%, $F$11)</f>
        <v>24.893799999999999</v>
      </c>
      <c r="H811" s="4">
        <f>CHOOSE( CONTROL!$C$36, 25.7714, 25.7704) * CHOOSE(CONTROL!$C$19, $D$11, 100%, $F$11)</f>
        <v>25.7714</v>
      </c>
      <c r="I811" s="8">
        <f>CHOOSE( CONTROL!$C$36, 24.5906, 24.5895) * CHOOSE(CONTROL!$C$19, $D$11, 100%, $F$11)</f>
        <v>24.590599999999998</v>
      </c>
      <c r="J811" s="4">
        <f>CHOOSE( CONTROL!$C$36, 24.4169, 24.4159) * CHOOSE(CONTROL!$C$19, $D$11, 100%, $F$11)</f>
        <v>24.416899999999998</v>
      </c>
      <c r="K811" s="4"/>
      <c r="L811" s="9">
        <v>29.306000000000001</v>
      </c>
      <c r="M811" s="9">
        <v>12.063700000000001</v>
      </c>
      <c r="N811" s="9">
        <v>4.9444999999999997</v>
      </c>
      <c r="O811" s="9">
        <v>0.37409999999999999</v>
      </c>
      <c r="P811" s="9">
        <v>1.2927</v>
      </c>
      <c r="Q811" s="9">
        <v>19.688099999999999</v>
      </c>
      <c r="R811" s="9"/>
      <c r="S811" s="11"/>
    </row>
    <row r="812" spans="1:19" ht="15.75">
      <c r="A812" s="13">
        <v>65866</v>
      </c>
      <c r="B812" s="8">
        <f>CHOOSE( CONTROL!$C$36, 25.5831, 25.582) * CHOOSE(CONTROL!$C$19, $D$11, 100%, $F$11)</f>
        <v>25.583100000000002</v>
      </c>
      <c r="C812" s="8">
        <f>CHOOSE( CONTROL!$C$36, 25.5876, 25.5865) * CHOOSE(CONTROL!$C$19, $D$11, 100%, $F$11)</f>
        <v>25.587599999999998</v>
      </c>
      <c r="D812" s="8">
        <f>CHOOSE( CONTROL!$C$36, 25.608, 25.6069) * CHOOSE( CONTROL!$C$19, $D$11, 100%, $F$11)</f>
        <v>25.608000000000001</v>
      </c>
      <c r="E812" s="12">
        <f>CHOOSE( CONTROL!$C$36, 25.6007, 25.5996) * CHOOSE( CONTROL!$C$19, $D$11, 100%, $F$11)</f>
        <v>25.6007</v>
      </c>
      <c r="F812" s="4">
        <f>CHOOSE( CONTROL!$C$36, 26.3175, 26.3164) * CHOOSE(CONTROL!$C$19, $D$11, 100%, $F$11)</f>
        <v>26.317499999999999</v>
      </c>
      <c r="G812" s="8">
        <f>CHOOSE( CONTROL!$C$36, 25.2798, 25.2787) * CHOOSE( CONTROL!$C$19, $D$11, 100%, $F$11)</f>
        <v>25.279800000000002</v>
      </c>
      <c r="H812" s="4">
        <f>CHOOSE( CONTROL!$C$36, 26.2242, 26.2231) * CHOOSE(CONTROL!$C$19, $D$11, 100%, $F$11)</f>
        <v>26.2242</v>
      </c>
      <c r="I812" s="8">
        <f>CHOOSE( CONTROL!$C$36, 24.9313, 24.9303) * CHOOSE(CONTROL!$C$19, $D$11, 100%, $F$11)</f>
        <v>24.9313</v>
      </c>
      <c r="J812" s="4">
        <f>CHOOSE( CONTROL!$C$36, 24.788, 24.787) * CHOOSE(CONTROL!$C$19, $D$11, 100%, $F$11)</f>
        <v>24.788</v>
      </c>
      <c r="K812" s="4"/>
      <c r="L812" s="9">
        <v>30.092199999999998</v>
      </c>
      <c r="M812" s="9">
        <v>11.6745</v>
      </c>
      <c r="N812" s="9">
        <v>4.7850000000000001</v>
      </c>
      <c r="O812" s="9">
        <v>0.36199999999999999</v>
      </c>
      <c r="P812" s="9">
        <v>1.2509999999999999</v>
      </c>
      <c r="Q812" s="9">
        <v>19.053000000000001</v>
      </c>
      <c r="R812" s="9"/>
      <c r="S812" s="11"/>
    </row>
    <row r="813" spans="1:19" ht="15.75">
      <c r="A813" s="13">
        <v>65897</v>
      </c>
      <c r="B813" s="8">
        <f>CHOOSE( CONTROL!$C$36, 26.2671, 26.2655) * CHOOSE(CONTROL!$C$19, $D$11, 100%, $F$11)</f>
        <v>26.267099999999999</v>
      </c>
      <c r="C813" s="8">
        <f>CHOOSE( CONTROL!$C$36, 26.2751, 26.2734) * CHOOSE(CONTROL!$C$19, $D$11, 100%, $F$11)</f>
        <v>26.275099999999998</v>
      </c>
      <c r="D813" s="8">
        <f>CHOOSE( CONTROL!$C$36, 26.2893, 26.2876) * CHOOSE( CONTROL!$C$19, $D$11, 100%, $F$11)</f>
        <v>26.289300000000001</v>
      </c>
      <c r="E813" s="12">
        <f>CHOOSE( CONTROL!$C$36, 26.2829, 26.2812) * CHOOSE( CONTROL!$C$19, $D$11, 100%, $F$11)</f>
        <v>26.282900000000001</v>
      </c>
      <c r="F813" s="4">
        <f>CHOOSE( CONTROL!$C$36, 27.0001, 26.9985) * CHOOSE(CONTROL!$C$19, $D$11, 100%, $F$11)</f>
        <v>27.0001</v>
      </c>
      <c r="G813" s="8">
        <f>CHOOSE( CONTROL!$C$36, 25.9528, 25.9512) * CHOOSE( CONTROL!$C$19, $D$11, 100%, $F$11)</f>
        <v>25.9528</v>
      </c>
      <c r="H813" s="4">
        <f>CHOOSE( CONTROL!$C$36, 26.8973, 26.8957) * CHOOSE(CONTROL!$C$19, $D$11, 100%, $F$11)</f>
        <v>26.897300000000001</v>
      </c>
      <c r="I813" s="8">
        <f>CHOOSE( CONTROL!$C$36, 25.5923, 25.5907) * CHOOSE(CONTROL!$C$19, $D$11, 100%, $F$11)</f>
        <v>25.592300000000002</v>
      </c>
      <c r="J813" s="4">
        <f>CHOOSE( CONTROL!$C$36, 25.449, 25.4474) * CHOOSE(CONTROL!$C$19, $D$11, 100%, $F$11)</f>
        <v>25.449000000000002</v>
      </c>
      <c r="K813" s="4"/>
      <c r="L813" s="9">
        <v>30.7165</v>
      </c>
      <c r="M813" s="9">
        <v>12.063700000000001</v>
      </c>
      <c r="N813" s="9">
        <v>4.9444999999999997</v>
      </c>
      <c r="O813" s="9">
        <v>0.37409999999999999</v>
      </c>
      <c r="P813" s="9">
        <v>1.2927</v>
      </c>
      <c r="Q813" s="9">
        <v>19.688099999999999</v>
      </c>
      <c r="R813" s="9"/>
      <c r="S813" s="11"/>
    </row>
    <row r="814" spans="1:19" ht="15.75">
      <c r="A814" s="13">
        <v>65927</v>
      </c>
      <c r="B814" s="8">
        <f>CHOOSE( CONTROL!$C$36, 25.8446, 25.8429) * CHOOSE(CONTROL!$C$19, $D$11, 100%, $F$11)</f>
        <v>25.8446</v>
      </c>
      <c r="C814" s="8">
        <f>CHOOSE( CONTROL!$C$36, 25.8526, 25.8509) * CHOOSE(CONTROL!$C$19, $D$11, 100%, $F$11)</f>
        <v>25.852599999999999</v>
      </c>
      <c r="D814" s="8">
        <f>CHOOSE( CONTROL!$C$36, 25.867, 25.8653) * CHOOSE( CONTROL!$C$19, $D$11, 100%, $F$11)</f>
        <v>25.867000000000001</v>
      </c>
      <c r="E814" s="12">
        <f>CHOOSE( CONTROL!$C$36, 25.8606, 25.8589) * CHOOSE( CONTROL!$C$19, $D$11, 100%, $F$11)</f>
        <v>25.860600000000002</v>
      </c>
      <c r="F814" s="4">
        <f>CHOOSE( CONTROL!$C$36, 26.5776, 26.576) * CHOOSE(CONTROL!$C$19, $D$11, 100%, $F$11)</f>
        <v>26.5776</v>
      </c>
      <c r="G814" s="8">
        <f>CHOOSE( CONTROL!$C$36, 25.5364, 25.5347) * CHOOSE( CONTROL!$C$19, $D$11, 100%, $F$11)</f>
        <v>25.5364</v>
      </c>
      <c r="H814" s="4">
        <f>CHOOSE( CONTROL!$C$36, 26.4807, 26.479) * CHOOSE(CONTROL!$C$19, $D$11, 100%, $F$11)</f>
        <v>26.480699999999999</v>
      </c>
      <c r="I814" s="8">
        <f>CHOOSE( CONTROL!$C$36, 25.1836, 25.182) * CHOOSE(CONTROL!$C$19, $D$11, 100%, $F$11)</f>
        <v>25.183599999999998</v>
      </c>
      <c r="J814" s="4">
        <f>CHOOSE( CONTROL!$C$36, 25.0399, 25.0383) * CHOOSE(CONTROL!$C$19, $D$11, 100%, $F$11)</f>
        <v>25.039899999999999</v>
      </c>
      <c r="K814" s="4"/>
      <c r="L814" s="9">
        <v>29.7257</v>
      </c>
      <c r="M814" s="9">
        <v>11.6745</v>
      </c>
      <c r="N814" s="9">
        <v>4.7850000000000001</v>
      </c>
      <c r="O814" s="9">
        <v>0.36199999999999999</v>
      </c>
      <c r="P814" s="9">
        <v>1.2509999999999999</v>
      </c>
      <c r="Q814" s="9">
        <v>19.053000000000001</v>
      </c>
      <c r="R814" s="9"/>
      <c r="S814" s="11"/>
    </row>
    <row r="815" spans="1:19" ht="15.75">
      <c r="A815" s="13">
        <v>65958</v>
      </c>
      <c r="B815" s="8">
        <f>CHOOSE( CONTROL!$C$36, 26.9573, 26.9556) * CHOOSE(CONTROL!$C$19, $D$11, 100%, $F$11)</f>
        <v>26.9573</v>
      </c>
      <c r="C815" s="8">
        <f>CHOOSE( CONTROL!$C$36, 26.9653, 26.9636) * CHOOSE(CONTROL!$C$19, $D$11, 100%, $F$11)</f>
        <v>26.965299999999999</v>
      </c>
      <c r="D815" s="8">
        <f>CHOOSE( CONTROL!$C$36, 26.9799, 26.9782) * CHOOSE( CONTROL!$C$19, $D$11, 100%, $F$11)</f>
        <v>26.979900000000001</v>
      </c>
      <c r="E815" s="12">
        <f>CHOOSE( CONTROL!$C$36, 26.9734, 26.9717) * CHOOSE( CONTROL!$C$19, $D$11, 100%, $F$11)</f>
        <v>26.973400000000002</v>
      </c>
      <c r="F815" s="4">
        <f>CHOOSE( CONTROL!$C$36, 27.6903, 27.6886) * CHOOSE(CONTROL!$C$19, $D$11, 100%, $F$11)</f>
        <v>27.690300000000001</v>
      </c>
      <c r="G815" s="8">
        <f>CHOOSE( CONTROL!$C$36, 26.6337, 26.6321) * CHOOSE( CONTROL!$C$19, $D$11, 100%, $F$11)</f>
        <v>26.633700000000001</v>
      </c>
      <c r="H815" s="4">
        <f>CHOOSE( CONTROL!$C$36, 27.5778, 27.5762) * CHOOSE(CONTROL!$C$19, $D$11, 100%, $F$11)</f>
        <v>27.5778</v>
      </c>
      <c r="I815" s="8">
        <f>CHOOSE( CONTROL!$C$36, 26.2624, 26.2608) * CHOOSE(CONTROL!$C$19, $D$11, 100%, $F$11)</f>
        <v>26.2624</v>
      </c>
      <c r="J815" s="4">
        <f>CHOOSE( CONTROL!$C$36, 26.1173, 26.1157) * CHOOSE(CONTROL!$C$19, $D$11, 100%, $F$11)</f>
        <v>26.1173</v>
      </c>
      <c r="K815" s="4"/>
      <c r="L815" s="9">
        <v>30.7165</v>
      </c>
      <c r="M815" s="9">
        <v>12.063700000000001</v>
      </c>
      <c r="N815" s="9">
        <v>4.9444999999999997</v>
      </c>
      <c r="O815" s="9">
        <v>0.37409999999999999</v>
      </c>
      <c r="P815" s="9">
        <v>1.2927</v>
      </c>
      <c r="Q815" s="9">
        <v>19.688099999999999</v>
      </c>
      <c r="R815" s="9"/>
      <c r="S815" s="11"/>
    </row>
    <row r="816" spans="1:19" ht="15.75">
      <c r="A816" s="13">
        <v>65989</v>
      </c>
      <c r="B816" s="8">
        <f>CHOOSE( CONTROL!$C$36, 24.8753, 24.8737) * CHOOSE(CONTROL!$C$19, $D$11, 100%, $F$11)</f>
        <v>24.875299999999999</v>
      </c>
      <c r="C816" s="8">
        <f>CHOOSE( CONTROL!$C$36, 24.8833, 24.8817) * CHOOSE(CONTROL!$C$19, $D$11, 100%, $F$11)</f>
        <v>24.883299999999998</v>
      </c>
      <c r="D816" s="8">
        <f>CHOOSE( CONTROL!$C$36, 24.898, 24.8963) * CHOOSE( CONTROL!$C$19, $D$11, 100%, $F$11)</f>
        <v>24.898</v>
      </c>
      <c r="E816" s="12">
        <f>CHOOSE( CONTROL!$C$36, 24.8915, 24.8898) * CHOOSE( CONTROL!$C$19, $D$11, 100%, $F$11)</f>
        <v>24.891500000000001</v>
      </c>
      <c r="F816" s="4">
        <f>CHOOSE( CONTROL!$C$36, 25.6084, 25.6067) * CHOOSE(CONTROL!$C$19, $D$11, 100%, $F$11)</f>
        <v>25.6084</v>
      </c>
      <c r="G816" s="8">
        <f>CHOOSE( CONTROL!$C$36, 24.5809, 24.5792) * CHOOSE( CONTROL!$C$19, $D$11, 100%, $F$11)</f>
        <v>24.5809</v>
      </c>
      <c r="H816" s="4">
        <f>CHOOSE( CONTROL!$C$36, 25.5249, 25.5233) * CHOOSE(CONTROL!$C$19, $D$11, 100%, $F$11)</f>
        <v>25.524899999999999</v>
      </c>
      <c r="I816" s="8">
        <f>CHOOSE( CONTROL!$C$36, 24.2456, 24.244) * CHOOSE(CONTROL!$C$19, $D$11, 100%, $F$11)</f>
        <v>24.2456</v>
      </c>
      <c r="J816" s="4">
        <f>CHOOSE( CONTROL!$C$36, 24.1014, 24.0998) * CHOOSE(CONTROL!$C$19, $D$11, 100%, $F$11)</f>
        <v>24.101400000000002</v>
      </c>
      <c r="K816" s="4"/>
      <c r="L816" s="9">
        <v>30.7165</v>
      </c>
      <c r="M816" s="9">
        <v>12.063700000000001</v>
      </c>
      <c r="N816" s="9">
        <v>4.9444999999999997</v>
      </c>
      <c r="O816" s="9">
        <v>0.37409999999999999</v>
      </c>
      <c r="P816" s="9">
        <v>1.2927</v>
      </c>
      <c r="Q816" s="9">
        <v>19.688099999999999</v>
      </c>
      <c r="R816" s="9"/>
      <c r="S816" s="11"/>
    </row>
    <row r="817" spans="1:19" ht="15.75">
      <c r="A817" s="13">
        <v>66019</v>
      </c>
      <c r="B817" s="8">
        <f>CHOOSE( CONTROL!$C$36, 24.354, 24.3523) * CHOOSE(CONTROL!$C$19, $D$11, 100%, $F$11)</f>
        <v>24.353999999999999</v>
      </c>
      <c r="C817" s="8">
        <f>CHOOSE( CONTROL!$C$36, 24.362, 24.3603) * CHOOSE(CONTROL!$C$19, $D$11, 100%, $F$11)</f>
        <v>24.361999999999998</v>
      </c>
      <c r="D817" s="8">
        <f>CHOOSE( CONTROL!$C$36, 24.3766, 24.3749) * CHOOSE( CONTROL!$C$19, $D$11, 100%, $F$11)</f>
        <v>24.3766</v>
      </c>
      <c r="E817" s="12">
        <f>CHOOSE( CONTROL!$C$36, 24.3701, 24.3684) * CHOOSE( CONTROL!$C$19, $D$11, 100%, $F$11)</f>
        <v>24.370100000000001</v>
      </c>
      <c r="F817" s="4">
        <f>CHOOSE( CONTROL!$C$36, 25.087, 25.0853) * CHOOSE(CONTROL!$C$19, $D$11, 100%, $F$11)</f>
        <v>25.087</v>
      </c>
      <c r="G817" s="8">
        <f>CHOOSE( CONTROL!$C$36, 24.0667, 24.0651) * CHOOSE( CONTROL!$C$19, $D$11, 100%, $F$11)</f>
        <v>24.066700000000001</v>
      </c>
      <c r="H817" s="4">
        <f>CHOOSE( CONTROL!$C$36, 25.0109, 25.0092) * CHOOSE(CONTROL!$C$19, $D$11, 100%, $F$11)</f>
        <v>25.010899999999999</v>
      </c>
      <c r="I817" s="8">
        <f>CHOOSE( CONTROL!$C$36, 23.7402, 23.7386) * CHOOSE(CONTROL!$C$19, $D$11, 100%, $F$11)</f>
        <v>23.740200000000002</v>
      </c>
      <c r="J817" s="4">
        <f>CHOOSE( CONTROL!$C$36, 23.5966, 23.5949) * CHOOSE(CONTROL!$C$19, $D$11, 100%, $F$11)</f>
        <v>23.596599999999999</v>
      </c>
      <c r="K817" s="4"/>
      <c r="L817" s="9">
        <v>29.7257</v>
      </c>
      <c r="M817" s="9">
        <v>11.6745</v>
      </c>
      <c r="N817" s="9">
        <v>4.7850000000000001</v>
      </c>
      <c r="O817" s="9">
        <v>0.36199999999999999</v>
      </c>
      <c r="P817" s="9">
        <v>1.2509999999999999</v>
      </c>
      <c r="Q817" s="9">
        <v>19.053000000000001</v>
      </c>
      <c r="R817" s="9"/>
      <c r="S817" s="11"/>
    </row>
    <row r="818" spans="1:19" ht="15.75">
      <c r="A818" s="13">
        <v>66050</v>
      </c>
      <c r="B818" s="8">
        <f>CHOOSE( CONTROL!$C$36, 25.4342, 25.4331) * CHOOSE(CONTROL!$C$19, $D$11, 100%, $F$11)</f>
        <v>25.434200000000001</v>
      </c>
      <c r="C818" s="8">
        <f>CHOOSE( CONTROL!$C$36, 25.4395, 25.4384) * CHOOSE(CONTROL!$C$19, $D$11, 100%, $F$11)</f>
        <v>25.439499999999999</v>
      </c>
      <c r="D818" s="8">
        <f>CHOOSE( CONTROL!$C$36, 25.46, 25.4589) * CHOOSE( CONTROL!$C$19, $D$11, 100%, $F$11)</f>
        <v>25.46</v>
      </c>
      <c r="E818" s="12">
        <f>CHOOSE( CONTROL!$C$36, 25.4527, 25.4516) * CHOOSE( CONTROL!$C$19, $D$11, 100%, $F$11)</f>
        <v>25.4527</v>
      </c>
      <c r="F818" s="4">
        <f>CHOOSE( CONTROL!$C$36, 26.1689, 26.1678) * CHOOSE(CONTROL!$C$19, $D$11, 100%, $F$11)</f>
        <v>26.168900000000001</v>
      </c>
      <c r="G818" s="8">
        <f>CHOOSE( CONTROL!$C$36, 25.1337, 25.1327) * CHOOSE( CONTROL!$C$19, $D$11, 100%, $F$11)</f>
        <v>25.133700000000001</v>
      </c>
      <c r="H818" s="4">
        <f>CHOOSE( CONTROL!$C$36, 26.0777, 26.0766) * CHOOSE(CONTROL!$C$19, $D$11, 100%, $F$11)</f>
        <v>26.0777</v>
      </c>
      <c r="I818" s="8">
        <f>CHOOSE( CONTROL!$C$36, 24.7894, 24.7884) * CHOOSE(CONTROL!$C$19, $D$11, 100%, $F$11)</f>
        <v>24.789400000000001</v>
      </c>
      <c r="J818" s="4">
        <f>CHOOSE( CONTROL!$C$36, 24.6442, 24.6431) * CHOOSE(CONTROL!$C$19, $D$11, 100%, $F$11)</f>
        <v>24.644200000000001</v>
      </c>
      <c r="K818" s="4"/>
      <c r="L818" s="9">
        <v>31.095300000000002</v>
      </c>
      <c r="M818" s="9">
        <v>12.063700000000001</v>
      </c>
      <c r="N818" s="9">
        <v>4.9444999999999997</v>
      </c>
      <c r="O818" s="9">
        <v>0.37409999999999999</v>
      </c>
      <c r="P818" s="9">
        <v>1.2927</v>
      </c>
      <c r="Q818" s="9">
        <v>19.688099999999999</v>
      </c>
      <c r="R818" s="9"/>
      <c r="S818" s="11"/>
    </row>
    <row r="819" spans="1:19" ht="15.75">
      <c r="A819" s="13">
        <v>66080</v>
      </c>
      <c r="B819" s="8">
        <f>CHOOSE( CONTROL!$C$36, 27.4318, 27.4307) * CHOOSE(CONTROL!$C$19, $D$11, 100%, $F$11)</f>
        <v>27.431799999999999</v>
      </c>
      <c r="C819" s="8">
        <f>CHOOSE( CONTROL!$C$36, 27.4369, 27.4358) * CHOOSE(CONTROL!$C$19, $D$11, 100%, $F$11)</f>
        <v>27.436900000000001</v>
      </c>
      <c r="D819" s="8">
        <f>CHOOSE( CONTROL!$C$36, 27.4161, 27.415) * CHOOSE( CONTROL!$C$19, $D$11, 100%, $F$11)</f>
        <v>27.4161</v>
      </c>
      <c r="E819" s="12">
        <f>CHOOSE( CONTROL!$C$36, 27.4232, 27.4221) * CHOOSE( CONTROL!$C$19, $D$11, 100%, $F$11)</f>
        <v>27.423200000000001</v>
      </c>
      <c r="F819" s="4">
        <f>CHOOSE( CONTROL!$C$36, 28.0911, 28.09) * CHOOSE(CONTROL!$C$19, $D$11, 100%, $F$11)</f>
        <v>28.091100000000001</v>
      </c>
      <c r="G819" s="8">
        <f>CHOOSE( CONTROL!$C$36, 27.0838, 27.0828) * CHOOSE( CONTROL!$C$19, $D$11, 100%, $F$11)</f>
        <v>27.0838</v>
      </c>
      <c r="H819" s="4">
        <f>CHOOSE( CONTROL!$C$36, 27.973, 27.9719) * CHOOSE(CONTROL!$C$19, $D$11, 100%, $F$11)</f>
        <v>27.972999999999999</v>
      </c>
      <c r="I819" s="8">
        <f>CHOOSE( CONTROL!$C$36, 26.7742, 26.7732) * CHOOSE(CONTROL!$C$19, $D$11, 100%, $F$11)</f>
        <v>26.7742</v>
      </c>
      <c r="J819" s="4">
        <f>CHOOSE( CONTROL!$C$36, 26.5789, 26.5778) * CHOOSE(CONTROL!$C$19, $D$11, 100%, $F$11)</f>
        <v>26.578900000000001</v>
      </c>
      <c r="K819" s="4"/>
      <c r="L819" s="9">
        <v>28.360600000000002</v>
      </c>
      <c r="M819" s="9">
        <v>11.6745</v>
      </c>
      <c r="N819" s="9">
        <v>4.7850000000000001</v>
      </c>
      <c r="O819" s="9">
        <v>0.36199999999999999</v>
      </c>
      <c r="P819" s="9">
        <v>1.2509999999999999</v>
      </c>
      <c r="Q819" s="9">
        <v>19.053000000000001</v>
      </c>
      <c r="R819" s="9"/>
      <c r="S819" s="11"/>
    </row>
    <row r="820" spans="1:19" ht="15.75">
      <c r="A820" s="13">
        <v>66111</v>
      </c>
      <c r="B820" s="8">
        <f>CHOOSE( CONTROL!$C$36, 27.3819, 27.3808) * CHOOSE(CONTROL!$C$19, $D$11, 100%, $F$11)</f>
        <v>27.381900000000002</v>
      </c>
      <c r="C820" s="8">
        <f>CHOOSE( CONTROL!$C$36, 27.387, 27.3859) * CHOOSE(CONTROL!$C$19, $D$11, 100%, $F$11)</f>
        <v>27.387</v>
      </c>
      <c r="D820" s="8">
        <f>CHOOSE( CONTROL!$C$36, 27.3676, 27.3665) * CHOOSE( CONTROL!$C$19, $D$11, 100%, $F$11)</f>
        <v>27.367599999999999</v>
      </c>
      <c r="E820" s="12">
        <f>CHOOSE( CONTROL!$C$36, 27.3742, 27.3731) * CHOOSE( CONTROL!$C$19, $D$11, 100%, $F$11)</f>
        <v>27.374199999999998</v>
      </c>
      <c r="F820" s="4">
        <f>CHOOSE( CONTROL!$C$36, 28.0411, 28.0401) * CHOOSE(CONTROL!$C$19, $D$11, 100%, $F$11)</f>
        <v>28.0411</v>
      </c>
      <c r="G820" s="8">
        <f>CHOOSE( CONTROL!$C$36, 27.0356, 27.0345) * CHOOSE( CONTROL!$C$19, $D$11, 100%, $F$11)</f>
        <v>27.035599999999999</v>
      </c>
      <c r="H820" s="4">
        <f>CHOOSE( CONTROL!$C$36, 27.9238, 27.9227) * CHOOSE(CONTROL!$C$19, $D$11, 100%, $F$11)</f>
        <v>27.9238</v>
      </c>
      <c r="I820" s="8">
        <f>CHOOSE( CONTROL!$C$36, 26.7301, 26.7291) * CHOOSE(CONTROL!$C$19, $D$11, 100%, $F$11)</f>
        <v>26.7301</v>
      </c>
      <c r="J820" s="4">
        <f>CHOOSE( CONTROL!$C$36, 26.5305, 26.5295) * CHOOSE(CONTROL!$C$19, $D$11, 100%, $F$11)</f>
        <v>26.5305</v>
      </c>
      <c r="K820" s="4"/>
      <c r="L820" s="9">
        <v>29.306000000000001</v>
      </c>
      <c r="M820" s="9">
        <v>12.063700000000001</v>
      </c>
      <c r="N820" s="9">
        <v>4.9444999999999997</v>
      </c>
      <c r="O820" s="9">
        <v>0.37409999999999999</v>
      </c>
      <c r="P820" s="9">
        <v>1.2927</v>
      </c>
      <c r="Q820" s="9">
        <v>19.688099999999999</v>
      </c>
      <c r="R820" s="9"/>
      <c r="S820" s="11"/>
    </row>
    <row r="821" spans="1:19" ht="15.75">
      <c r="A821" s="13">
        <v>66142</v>
      </c>
      <c r="B821" s="8">
        <f>CHOOSE( CONTROL!$C$36, 28.19, 28.189) * CHOOSE(CONTROL!$C$19, $D$11, 100%, $F$11)</f>
        <v>28.19</v>
      </c>
      <c r="C821" s="8">
        <f>CHOOSE( CONTROL!$C$36, 28.1951, 28.1941) * CHOOSE(CONTROL!$C$19, $D$11, 100%, $F$11)</f>
        <v>28.1951</v>
      </c>
      <c r="D821" s="8">
        <f>CHOOSE( CONTROL!$C$36, 28.1964, 28.1953) * CHOOSE( CONTROL!$C$19, $D$11, 100%, $F$11)</f>
        <v>28.196400000000001</v>
      </c>
      <c r="E821" s="12">
        <f>CHOOSE( CONTROL!$C$36, 28.1954, 28.1943) * CHOOSE( CONTROL!$C$19, $D$11, 100%, $F$11)</f>
        <v>28.195399999999999</v>
      </c>
      <c r="F821" s="4">
        <f>CHOOSE( CONTROL!$C$36, 28.8493, 28.8482) * CHOOSE(CONTROL!$C$19, $D$11, 100%, $F$11)</f>
        <v>28.849299999999999</v>
      </c>
      <c r="G821" s="8">
        <f>CHOOSE( CONTROL!$C$36, 27.8435, 27.8425) * CHOOSE( CONTROL!$C$19, $D$11, 100%, $F$11)</f>
        <v>27.843499999999999</v>
      </c>
      <c r="H821" s="4">
        <f>CHOOSE( CONTROL!$C$36, 28.7207, 28.7196) * CHOOSE(CONTROL!$C$19, $D$11, 100%, $F$11)</f>
        <v>28.720700000000001</v>
      </c>
      <c r="I821" s="8">
        <f>CHOOSE( CONTROL!$C$36, 27.4906, 27.4895) * CHOOSE(CONTROL!$C$19, $D$11, 100%, $F$11)</f>
        <v>27.490600000000001</v>
      </c>
      <c r="J821" s="4">
        <f>CHOOSE( CONTROL!$C$36, 27.3131, 27.312) * CHOOSE(CONTROL!$C$19, $D$11, 100%, $F$11)</f>
        <v>27.313099999999999</v>
      </c>
      <c r="K821" s="4"/>
      <c r="L821" s="9">
        <v>29.306000000000001</v>
      </c>
      <c r="M821" s="9">
        <v>12.063700000000001</v>
      </c>
      <c r="N821" s="9">
        <v>4.9444999999999997</v>
      </c>
      <c r="O821" s="9">
        <v>0.37409999999999999</v>
      </c>
      <c r="P821" s="9">
        <v>1.2927</v>
      </c>
      <c r="Q821" s="9">
        <v>19.688099999999999</v>
      </c>
      <c r="R821" s="9"/>
      <c r="S821" s="11"/>
    </row>
    <row r="822" spans="1:19" ht="15.75">
      <c r="A822" s="13">
        <v>66170</v>
      </c>
      <c r="B822" s="8">
        <f>CHOOSE( CONTROL!$C$36, 26.3666, 26.3655) * CHOOSE(CONTROL!$C$19, $D$11, 100%, $F$11)</f>
        <v>26.366599999999998</v>
      </c>
      <c r="C822" s="8">
        <f>CHOOSE( CONTROL!$C$36, 26.3717, 26.3706) * CHOOSE(CONTROL!$C$19, $D$11, 100%, $F$11)</f>
        <v>26.371700000000001</v>
      </c>
      <c r="D822" s="8">
        <f>CHOOSE( CONTROL!$C$36, 26.3728, 26.3717) * CHOOSE( CONTROL!$C$19, $D$11, 100%, $F$11)</f>
        <v>26.372800000000002</v>
      </c>
      <c r="E822" s="12">
        <f>CHOOSE( CONTROL!$C$36, 26.3719, 26.3708) * CHOOSE( CONTROL!$C$19, $D$11, 100%, $F$11)</f>
        <v>26.3719</v>
      </c>
      <c r="F822" s="4">
        <f>CHOOSE( CONTROL!$C$36, 27.0258, 27.0247) * CHOOSE(CONTROL!$C$19, $D$11, 100%, $F$11)</f>
        <v>27.0258</v>
      </c>
      <c r="G822" s="8">
        <f>CHOOSE( CONTROL!$C$36, 26.0454, 26.0443) * CHOOSE( CONTROL!$C$19, $D$11, 100%, $F$11)</f>
        <v>26.045400000000001</v>
      </c>
      <c r="H822" s="4">
        <f>CHOOSE( CONTROL!$C$36, 26.9226, 26.9215) * CHOOSE(CONTROL!$C$19, $D$11, 100%, $F$11)</f>
        <v>26.922599999999999</v>
      </c>
      <c r="I822" s="8">
        <f>CHOOSE( CONTROL!$C$36, 25.7236, 25.7225) * CHOOSE(CONTROL!$C$19, $D$11, 100%, $F$11)</f>
        <v>25.723600000000001</v>
      </c>
      <c r="J822" s="4">
        <f>CHOOSE( CONTROL!$C$36, 25.5474, 25.5463) * CHOOSE(CONTROL!$C$19, $D$11, 100%, $F$11)</f>
        <v>25.5474</v>
      </c>
      <c r="K822" s="4"/>
      <c r="L822" s="9">
        <v>26.469899999999999</v>
      </c>
      <c r="M822" s="9">
        <v>10.8962</v>
      </c>
      <c r="N822" s="9">
        <v>4.4660000000000002</v>
      </c>
      <c r="O822" s="9">
        <v>0.33789999999999998</v>
      </c>
      <c r="P822" s="9">
        <v>1.1676</v>
      </c>
      <c r="Q822" s="9">
        <v>17.782800000000002</v>
      </c>
      <c r="R822" s="9"/>
      <c r="S822" s="11"/>
    </row>
    <row r="823" spans="1:19" ht="15.75">
      <c r="A823" s="13">
        <v>66201</v>
      </c>
      <c r="B823" s="8">
        <f>CHOOSE( CONTROL!$C$36, 25.8049, 25.8038) * CHOOSE(CONTROL!$C$19, $D$11, 100%, $F$11)</f>
        <v>25.8049</v>
      </c>
      <c r="C823" s="8">
        <f>CHOOSE( CONTROL!$C$36, 25.81, 25.8089) * CHOOSE(CONTROL!$C$19, $D$11, 100%, $F$11)</f>
        <v>25.81</v>
      </c>
      <c r="D823" s="8">
        <f>CHOOSE( CONTROL!$C$36, 25.8106, 25.8095) * CHOOSE( CONTROL!$C$19, $D$11, 100%, $F$11)</f>
        <v>25.810600000000001</v>
      </c>
      <c r="E823" s="12">
        <f>CHOOSE( CONTROL!$C$36, 25.8098, 25.8087) * CHOOSE( CONTROL!$C$19, $D$11, 100%, $F$11)</f>
        <v>25.809799999999999</v>
      </c>
      <c r="F823" s="4">
        <f>CHOOSE( CONTROL!$C$36, 26.4642, 26.4631) * CHOOSE(CONTROL!$C$19, $D$11, 100%, $F$11)</f>
        <v>26.464200000000002</v>
      </c>
      <c r="G823" s="8">
        <f>CHOOSE( CONTROL!$C$36, 25.4912, 25.4901) * CHOOSE( CONTROL!$C$19, $D$11, 100%, $F$11)</f>
        <v>25.491199999999999</v>
      </c>
      <c r="H823" s="4">
        <f>CHOOSE( CONTROL!$C$36, 26.3688, 26.3678) * CHOOSE(CONTROL!$C$19, $D$11, 100%, $F$11)</f>
        <v>26.3688</v>
      </c>
      <c r="I823" s="8">
        <f>CHOOSE( CONTROL!$C$36, 25.1775, 25.1765) * CHOOSE(CONTROL!$C$19, $D$11, 100%, $F$11)</f>
        <v>25.177499999999998</v>
      </c>
      <c r="J823" s="4">
        <f>CHOOSE( CONTROL!$C$36, 25.0036, 25.0025) * CHOOSE(CONTROL!$C$19, $D$11, 100%, $F$11)</f>
        <v>25.003599999999999</v>
      </c>
      <c r="K823" s="4"/>
      <c r="L823" s="9">
        <v>29.306000000000001</v>
      </c>
      <c r="M823" s="9">
        <v>12.063700000000001</v>
      </c>
      <c r="N823" s="9">
        <v>4.9444999999999997</v>
      </c>
      <c r="O823" s="9">
        <v>0.37409999999999999</v>
      </c>
      <c r="P823" s="9">
        <v>1.2927</v>
      </c>
      <c r="Q823" s="9">
        <v>19.688099999999999</v>
      </c>
      <c r="R823" s="9"/>
      <c r="S823" s="11"/>
    </row>
    <row r="824" spans="1:19" ht="15.75">
      <c r="A824" s="13">
        <v>66231</v>
      </c>
      <c r="B824" s="8">
        <f>CHOOSE( CONTROL!$C$36, 26.1982, 26.1971) * CHOOSE(CONTROL!$C$19, $D$11, 100%, $F$11)</f>
        <v>26.1982</v>
      </c>
      <c r="C824" s="8">
        <f>CHOOSE( CONTROL!$C$36, 26.2027, 26.2016) * CHOOSE(CONTROL!$C$19, $D$11, 100%, $F$11)</f>
        <v>26.2027</v>
      </c>
      <c r="D824" s="8">
        <f>CHOOSE( CONTROL!$C$36, 26.2231, 26.222) * CHOOSE( CONTROL!$C$19, $D$11, 100%, $F$11)</f>
        <v>26.223099999999999</v>
      </c>
      <c r="E824" s="12">
        <f>CHOOSE( CONTROL!$C$36, 26.2158, 26.2147) * CHOOSE( CONTROL!$C$19, $D$11, 100%, $F$11)</f>
        <v>26.215800000000002</v>
      </c>
      <c r="F824" s="4">
        <f>CHOOSE( CONTROL!$C$36, 26.9325, 26.9315) * CHOOSE(CONTROL!$C$19, $D$11, 100%, $F$11)</f>
        <v>26.932500000000001</v>
      </c>
      <c r="G824" s="8">
        <f>CHOOSE( CONTROL!$C$36, 25.8862, 25.8852) * CHOOSE( CONTROL!$C$19, $D$11, 100%, $F$11)</f>
        <v>25.886199999999999</v>
      </c>
      <c r="H824" s="4">
        <f>CHOOSE( CONTROL!$C$36, 26.8307, 26.8296) * CHOOSE(CONTROL!$C$19, $D$11, 100%, $F$11)</f>
        <v>26.8307</v>
      </c>
      <c r="I824" s="8">
        <f>CHOOSE( CONTROL!$C$36, 25.5272, 25.5262) * CHOOSE(CONTROL!$C$19, $D$11, 100%, $F$11)</f>
        <v>25.527200000000001</v>
      </c>
      <c r="J824" s="4">
        <f>CHOOSE( CONTROL!$C$36, 25.3836, 25.3825) * CHOOSE(CONTROL!$C$19, $D$11, 100%, $F$11)</f>
        <v>25.383600000000001</v>
      </c>
      <c r="K824" s="4"/>
      <c r="L824" s="9">
        <v>30.092199999999998</v>
      </c>
      <c r="M824" s="9">
        <v>11.6745</v>
      </c>
      <c r="N824" s="9">
        <v>4.7850000000000001</v>
      </c>
      <c r="O824" s="9">
        <v>0.36199999999999999</v>
      </c>
      <c r="P824" s="9">
        <v>1.2509999999999999</v>
      </c>
      <c r="Q824" s="9">
        <v>19.053000000000001</v>
      </c>
      <c r="R824" s="9"/>
      <c r="S824" s="11"/>
    </row>
    <row r="825" spans="1:19" ht="15.75">
      <c r="A825" s="13">
        <v>66262</v>
      </c>
      <c r="B825" s="8">
        <f>CHOOSE( CONTROL!$C$36, 26.8986, 26.8969) * CHOOSE(CONTROL!$C$19, $D$11, 100%, $F$11)</f>
        <v>26.898599999999998</v>
      </c>
      <c r="C825" s="8">
        <f>CHOOSE( CONTROL!$C$36, 26.9066, 26.9049) * CHOOSE(CONTROL!$C$19, $D$11, 100%, $F$11)</f>
        <v>26.906600000000001</v>
      </c>
      <c r="D825" s="8">
        <f>CHOOSE( CONTROL!$C$36, 26.9208, 26.9191) * CHOOSE( CONTROL!$C$19, $D$11, 100%, $F$11)</f>
        <v>26.9208</v>
      </c>
      <c r="E825" s="12">
        <f>CHOOSE( CONTROL!$C$36, 26.9144, 26.9127) * CHOOSE( CONTROL!$C$19, $D$11, 100%, $F$11)</f>
        <v>26.914400000000001</v>
      </c>
      <c r="F825" s="4">
        <f>CHOOSE( CONTROL!$C$36, 27.6316, 27.6299) * CHOOSE(CONTROL!$C$19, $D$11, 100%, $F$11)</f>
        <v>27.631599999999999</v>
      </c>
      <c r="G825" s="8">
        <f>CHOOSE( CONTROL!$C$36, 26.5755, 26.5738) * CHOOSE( CONTROL!$C$19, $D$11, 100%, $F$11)</f>
        <v>26.575500000000002</v>
      </c>
      <c r="H825" s="4">
        <f>CHOOSE( CONTROL!$C$36, 27.5199, 27.5183) * CHOOSE(CONTROL!$C$19, $D$11, 100%, $F$11)</f>
        <v>27.5199</v>
      </c>
      <c r="I825" s="8">
        <f>CHOOSE( CONTROL!$C$36, 26.204, 26.2024) * CHOOSE(CONTROL!$C$19, $D$11, 100%, $F$11)</f>
        <v>26.204000000000001</v>
      </c>
      <c r="J825" s="4">
        <f>CHOOSE( CONTROL!$C$36, 26.0605, 26.0589) * CHOOSE(CONTROL!$C$19, $D$11, 100%, $F$11)</f>
        <v>26.060500000000001</v>
      </c>
      <c r="K825" s="4"/>
      <c r="L825" s="9">
        <v>30.7165</v>
      </c>
      <c r="M825" s="9">
        <v>12.063700000000001</v>
      </c>
      <c r="N825" s="9">
        <v>4.9444999999999997</v>
      </c>
      <c r="O825" s="9">
        <v>0.37409999999999999</v>
      </c>
      <c r="P825" s="9">
        <v>1.2927</v>
      </c>
      <c r="Q825" s="9">
        <v>19.688099999999999</v>
      </c>
      <c r="R825" s="9"/>
      <c r="S825" s="11"/>
    </row>
    <row r="826" spans="1:19" ht="15.75">
      <c r="A826" s="13">
        <v>66292</v>
      </c>
      <c r="B826" s="8">
        <f>CHOOSE( CONTROL!$C$36, 26.4659, 26.4642) * CHOOSE(CONTROL!$C$19, $D$11, 100%, $F$11)</f>
        <v>26.465900000000001</v>
      </c>
      <c r="C826" s="8">
        <f>CHOOSE( CONTROL!$C$36, 26.4739, 26.4722) * CHOOSE(CONTROL!$C$19, $D$11, 100%, $F$11)</f>
        <v>26.4739</v>
      </c>
      <c r="D826" s="8">
        <f>CHOOSE( CONTROL!$C$36, 26.4883, 26.4866) * CHOOSE( CONTROL!$C$19, $D$11, 100%, $F$11)</f>
        <v>26.488299999999999</v>
      </c>
      <c r="E826" s="12">
        <f>CHOOSE( CONTROL!$C$36, 26.4819, 26.4802) * CHOOSE( CONTROL!$C$19, $D$11, 100%, $F$11)</f>
        <v>26.4819</v>
      </c>
      <c r="F826" s="4">
        <f>CHOOSE( CONTROL!$C$36, 27.1989, 27.1973) * CHOOSE(CONTROL!$C$19, $D$11, 100%, $F$11)</f>
        <v>27.198899999999998</v>
      </c>
      <c r="G826" s="8">
        <f>CHOOSE( CONTROL!$C$36, 26.149, 26.1474) * CHOOSE( CONTROL!$C$19, $D$11, 100%, $F$11)</f>
        <v>26.149000000000001</v>
      </c>
      <c r="H826" s="4">
        <f>CHOOSE( CONTROL!$C$36, 27.0933, 27.0917) * CHOOSE(CONTROL!$C$19, $D$11, 100%, $F$11)</f>
        <v>27.093299999999999</v>
      </c>
      <c r="I826" s="8">
        <f>CHOOSE( CONTROL!$C$36, 25.7855, 25.7839) * CHOOSE(CONTROL!$C$19, $D$11, 100%, $F$11)</f>
        <v>25.785499999999999</v>
      </c>
      <c r="J826" s="4">
        <f>CHOOSE( CONTROL!$C$36, 25.6415, 25.6399) * CHOOSE(CONTROL!$C$19, $D$11, 100%, $F$11)</f>
        <v>25.641500000000001</v>
      </c>
      <c r="K826" s="4"/>
      <c r="L826" s="9">
        <v>29.7257</v>
      </c>
      <c r="M826" s="9">
        <v>11.6745</v>
      </c>
      <c r="N826" s="9">
        <v>4.7850000000000001</v>
      </c>
      <c r="O826" s="9">
        <v>0.36199999999999999</v>
      </c>
      <c r="P826" s="9">
        <v>1.2509999999999999</v>
      </c>
      <c r="Q826" s="9">
        <v>19.053000000000001</v>
      </c>
      <c r="R826" s="9"/>
      <c r="S826" s="11"/>
    </row>
    <row r="827" spans="1:19" ht="15.75">
      <c r="A827" s="13">
        <v>66323</v>
      </c>
      <c r="B827" s="8">
        <f>CHOOSE( CONTROL!$C$36, 27.6053, 27.6036) * CHOOSE(CONTROL!$C$19, $D$11, 100%, $F$11)</f>
        <v>27.6053</v>
      </c>
      <c r="C827" s="8">
        <f>CHOOSE( CONTROL!$C$36, 27.6133, 27.6116) * CHOOSE(CONTROL!$C$19, $D$11, 100%, $F$11)</f>
        <v>27.613299999999999</v>
      </c>
      <c r="D827" s="8">
        <f>CHOOSE( CONTROL!$C$36, 27.6279, 27.6263) * CHOOSE( CONTROL!$C$19, $D$11, 100%, $F$11)</f>
        <v>27.6279</v>
      </c>
      <c r="E827" s="12">
        <f>CHOOSE( CONTROL!$C$36, 27.6214, 27.6198) * CHOOSE( CONTROL!$C$19, $D$11, 100%, $F$11)</f>
        <v>27.621400000000001</v>
      </c>
      <c r="F827" s="4">
        <f>CHOOSE( CONTROL!$C$36, 28.3383, 28.3367) * CHOOSE(CONTROL!$C$19, $D$11, 100%, $F$11)</f>
        <v>28.3383</v>
      </c>
      <c r="G827" s="8">
        <f>CHOOSE( CONTROL!$C$36, 27.2727, 27.2711) * CHOOSE( CONTROL!$C$19, $D$11, 100%, $F$11)</f>
        <v>27.2727</v>
      </c>
      <c r="H827" s="4">
        <f>CHOOSE( CONTROL!$C$36, 28.2168, 28.2152) * CHOOSE(CONTROL!$C$19, $D$11, 100%, $F$11)</f>
        <v>28.216799999999999</v>
      </c>
      <c r="I827" s="8">
        <f>CHOOSE( CONTROL!$C$36, 26.8902, 26.8886) * CHOOSE(CONTROL!$C$19, $D$11, 100%, $F$11)</f>
        <v>26.8902</v>
      </c>
      <c r="J827" s="4">
        <f>CHOOSE( CONTROL!$C$36, 26.7448, 26.7432) * CHOOSE(CONTROL!$C$19, $D$11, 100%, $F$11)</f>
        <v>26.744800000000001</v>
      </c>
      <c r="K827" s="4"/>
      <c r="L827" s="9">
        <v>30.7165</v>
      </c>
      <c r="M827" s="9">
        <v>12.063700000000001</v>
      </c>
      <c r="N827" s="9">
        <v>4.9444999999999997</v>
      </c>
      <c r="O827" s="9">
        <v>0.37409999999999999</v>
      </c>
      <c r="P827" s="9">
        <v>1.2927</v>
      </c>
      <c r="Q827" s="9">
        <v>19.688099999999999</v>
      </c>
      <c r="R827" s="9"/>
      <c r="S827" s="11"/>
    </row>
    <row r="828" spans="1:19" ht="15.75">
      <c r="A828" s="13">
        <v>66354</v>
      </c>
      <c r="B828" s="8">
        <f>CHOOSE( CONTROL!$C$36, 25.4733, 25.4717) * CHOOSE(CONTROL!$C$19, $D$11, 100%, $F$11)</f>
        <v>25.473299999999998</v>
      </c>
      <c r="C828" s="8">
        <f>CHOOSE( CONTROL!$C$36, 25.4813, 25.4797) * CHOOSE(CONTROL!$C$19, $D$11, 100%, $F$11)</f>
        <v>25.481300000000001</v>
      </c>
      <c r="D828" s="8">
        <f>CHOOSE( CONTROL!$C$36, 25.496, 25.4944) * CHOOSE( CONTROL!$C$19, $D$11, 100%, $F$11)</f>
        <v>25.495999999999999</v>
      </c>
      <c r="E828" s="12">
        <f>CHOOSE( CONTROL!$C$36, 25.4895, 25.4879) * CHOOSE( CONTROL!$C$19, $D$11, 100%, $F$11)</f>
        <v>25.4895</v>
      </c>
      <c r="F828" s="4">
        <f>CHOOSE( CONTROL!$C$36, 26.2064, 26.2047) * CHOOSE(CONTROL!$C$19, $D$11, 100%, $F$11)</f>
        <v>26.206399999999999</v>
      </c>
      <c r="G828" s="8">
        <f>CHOOSE( CONTROL!$C$36, 25.1705, 25.1689) * CHOOSE( CONTROL!$C$19, $D$11, 100%, $F$11)</f>
        <v>25.170500000000001</v>
      </c>
      <c r="H828" s="4">
        <f>CHOOSE( CONTROL!$C$36, 26.1146, 26.113) * CHOOSE(CONTROL!$C$19, $D$11, 100%, $F$11)</f>
        <v>26.114599999999999</v>
      </c>
      <c r="I828" s="8">
        <f>CHOOSE( CONTROL!$C$36, 24.825, 24.8234) * CHOOSE(CONTROL!$C$19, $D$11, 100%, $F$11)</f>
        <v>24.824999999999999</v>
      </c>
      <c r="J828" s="4">
        <f>CHOOSE( CONTROL!$C$36, 24.6804, 24.6788) * CHOOSE(CONTROL!$C$19, $D$11, 100%, $F$11)</f>
        <v>24.680399999999999</v>
      </c>
      <c r="K828" s="4"/>
      <c r="L828" s="9">
        <v>30.7165</v>
      </c>
      <c r="M828" s="9">
        <v>12.063700000000001</v>
      </c>
      <c r="N828" s="9">
        <v>4.9444999999999997</v>
      </c>
      <c r="O828" s="9">
        <v>0.37409999999999999</v>
      </c>
      <c r="P828" s="9">
        <v>1.2927</v>
      </c>
      <c r="Q828" s="9">
        <v>19.688099999999999</v>
      </c>
      <c r="R828" s="9"/>
      <c r="S828" s="11"/>
    </row>
    <row r="829" spans="1:19" ht="15.75">
      <c r="A829" s="13">
        <v>66384</v>
      </c>
      <c r="B829" s="8">
        <f>CHOOSE( CONTROL!$C$36, 24.9395, 24.9378) * CHOOSE(CONTROL!$C$19, $D$11, 100%, $F$11)</f>
        <v>24.939499999999999</v>
      </c>
      <c r="C829" s="8">
        <f>CHOOSE( CONTROL!$C$36, 24.9475, 24.9458) * CHOOSE(CONTROL!$C$19, $D$11, 100%, $F$11)</f>
        <v>24.947500000000002</v>
      </c>
      <c r="D829" s="8">
        <f>CHOOSE( CONTROL!$C$36, 24.9621, 24.9604) * CHOOSE( CONTROL!$C$19, $D$11, 100%, $F$11)</f>
        <v>24.9621</v>
      </c>
      <c r="E829" s="12">
        <f>CHOOSE( CONTROL!$C$36, 24.9556, 24.9539) * CHOOSE( CONTROL!$C$19, $D$11, 100%, $F$11)</f>
        <v>24.9556</v>
      </c>
      <c r="F829" s="4">
        <f>CHOOSE( CONTROL!$C$36, 25.6725, 25.6708) * CHOOSE(CONTROL!$C$19, $D$11, 100%, $F$11)</f>
        <v>25.672499999999999</v>
      </c>
      <c r="G829" s="8">
        <f>CHOOSE( CONTROL!$C$36, 24.644, 24.6424) * CHOOSE( CONTROL!$C$19, $D$11, 100%, $F$11)</f>
        <v>24.643999999999998</v>
      </c>
      <c r="H829" s="4">
        <f>CHOOSE( CONTROL!$C$36, 25.5882, 25.5865) * CHOOSE(CONTROL!$C$19, $D$11, 100%, $F$11)</f>
        <v>25.588200000000001</v>
      </c>
      <c r="I829" s="8">
        <f>CHOOSE( CONTROL!$C$36, 24.3074, 24.3058) * CHOOSE(CONTROL!$C$19, $D$11, 100%, $F$11)</f>
        <v>24.307400000000001</v>
      </c>
      <c r="J829" s="4">
        <f>CHOOSE( CONTROL!$C$36, 24.1635, 24.1619) * CHOOSE(CONTROL!$C$19, $D$11, 100%, $F$11)</f>
        <v>24.163499999999999</v>
      </c>
      <c r="K829" s="4"/>
      <c r="L829" s="9">
        <v>29.7257</v>
      </c>
      <c r="M829" s="9">
        <v>11.6745</v>
      </c>
      <c r="N829" s="9">
        <v>4.7850000000000001</v>
      </c>
      <c r="O829" s="9">
        <v>0.36199999999999999</v>
      </c>
      <c r="P829" s="9">
        <v>1.2509999999999999</v>
      </c>
      <c r="Q829" s="9">
        <v>19.053000000000001</v>
      </c>
      <c r="R829" s="9"/>
      <c r="S829" s="11"/>
    </row>
    <row r="830" spans="1:19" ht="15.75">
      <c r="A830" s="13">
        <v>66415</v>
      </c>
      <c r="B830" s="8">
        <f>CHOOSE( CONTROL!$C$36, 26.0457, 26.0446) * CHOOSE(CONTROL!$C$19, $D$11, 100%, $F$11)</f>
        <v>26.0457</v>
      </c>
      <c r="C830" s="8">
        <f>CHOOSE( CONTROL!$C$36, 26.051, 26.0499) * CHOOSE(CONTROL!$C$19, $D$11, 100%, $F$11)</f>
        <v>26.050999999999998</v>
      </c>
      <c r="D830" s="8">
        <f>CHOOSE( CONTROL!$C$36, 26.0715, 26.0704) * CHOOSE( CONTROL!$C$19, $D$11, 100%, $F$11)</f>
        <v>26.0715</v>
      </c>
      <c r="E830" s="12">
        <f>CHOOSE( CONTROL!$C$36, 26.0642, 26.0631) * CHOOSE( CONTROL!$C$19, $D$11, 100%, $F$11)</f>
        <v>26.0642</v>
      </c>
      <c r="F830" s="4">
        <f>CHOOSE( CONTROL!$C$36, 26.7804, 26.7793) * CHOOSE(CONTROL!$C$19, $D$11, 100%, $F$11)</f>
        <v>26.7804</v>
      </c>
      <c r="G830" s="8">
        <f>CHOOSE( CONTROL!$C$36, 25.7367, 25.7356) * CHOOSE( CONTROL!$C$19, $D$11, 100%, $F$11)</f>
        <v>25.736699999999999</v>
      </c>
      <c r="H830" s="4">
        <f>CHOOSE( CONTROL!$C$36, 26.6806, 26.6796) * CHOOSE(CONTROL!$C$19, $D$11, 100%, $F$11)</f>
        <v>26.680599999999998</v>
      </c>
      <c r="I830" s="8">
        <f>CHOOSE( CONTROL!$C$36, 25.3818, 25.3808) * CHOOSE(CONTROL!$C$19, $D$11, 100%, $F$11)</f>
        <v>25.381799999999998</v>
      </c>
      <c r="J830" s="4">
        <f>CHOOSE( CONTROL!$C$36, 25.2363, 25.2352) * CHOOSE(CONTROL!$C$19, $D$11, 100%, $F$11)</f>
        <v>25.2363</v>
      </c>
      <c r="K830" s="4"/>
      <c r="L830" s="9">
        <v>31.095300000000002</v>
      </c>
      <c r="M830" s="9">
        <v>12.063700000000001</v>
      </c>
      <c r="N830" s="9">
        <v>4.9444999999999997</v>
      </c>
      <c r="O830" s="9">
        <v>0.37409999999999999</v>
      </c>
      <c r="P830" s="9">
        <v>1.2927</v>
      </c>
      <c r="Q830" s="9">
        <v>19.688099999999999</v>
      </c>
      <c r="R830" s="9"/>
      <c r="S830" s="11"/>
    </row>
    <row r="831" spans="1:19" ht="15.75">
      <c r="A831" s="13">
        <v>66445</v>
      </c>
      <c r="B831" s="8">
        <f>CHOOSE( CONTROL!$C$36, 28.0913, 28.0902) * CHOOSE(CONTROL!$C$19, $D$11, 100%, $F$11)</f>
        <v>28.0913</v>
      </c>
      <c r="C831" s="8">
        <f>CHOOSE( CONTROL!$C$36, 28.0964, 28.0953) * CHOOSE(CONTROL!$C$19, $D$11, 100%, $F$11)</f>
        <v>28.096399999999999</v>
      </c>
      <c r="D831" s="8">
        <f>CHOOSE( CONTROL!$C$36, 28.0756, 28.0745) * CHOOSE( CONTROL!$C$19, $D$11, 100%, $F$11)</f>
        <v>28.075600000000001</v>
      </c>
      <c r="E831" s="12">
        <f>CHOOSE( CONTROL!$C$36, 28.0827, 28.0816) * CHOOSE( CONTROL!$C$19, $D$11, 100%, $F$11)</f>
        <v>28.082699999999999</v>
      </c>
      <c r="F831" s="4">
        <f>CHOOSE( CONTROL!$C$36, 28.7506, 28.7495) * CHOOSE(CONTROL!$C$19, $D$11, 100%, $F$11)</f>
        <v>28.750599999999999</v>
      </c>
      <c r="G831" s="8">
        <f>CHOOSE( CONTROL!$C$36, 27.7342, 27.7331) * CHOOSE( CONTROL!$C$19, $D$11, 100%, $F$11)</f>
        <v>27.734200000000001</v>
      </c>
      <c r="H831" s="4">
        <f>CHOOSE( CONTROL!$C$36, 28.6233, 28.6222) * CHOOSE(CONTROL!$C$19, $D$11, 100%, $F$11)</f>
        <v>28.6233</v>
      </c>
      <c r="I831" s="8">
        <f>CHOOSE( CONTROL!$C$36, 27.4131, 27.4121) * CHOOSE(CONTROL!$C$19, $D$11, 100%, $F$11)</f>
        <v>27.4131</v>
      </c>
      <c r="J831" s="4">
        <f>CHOOSE( CONTROL!$C$36, 27.2175, 27.2164) * CHOOSE(CONTROL!$C$19, $D$11, 100%, $F$11)</f>
        <v>27.217500000000001</v>
      </c>
      <c r="K831" s="4"/>
      <c r="L831" s="9">
        <v>28.360600000000002</v>
      </c>
      <c r="M831" s="9">
        <v>11.6745</v>
      </c>
      <c r="N831" s="9">
        <v>4.7850000000000001</v>
      </c>
      <c r="O831" s="9">
        <v>0.36199999999999999</v>
      </c>
      <c r="P831" s="9">
        <v>1.2509999999999999</v>
      </c>
      <c r="Q831" s="9">
        <v>19.053000000000001</v>
      </c>
      <c r="R831" s="9"/>
      <c r="S831" s="11"/>
    </row>
    <row r="832" spans="1:19" ht="15.75">
      <c r="A832" s="13">
        <v>66476</v>
      </c>
      <c r="B832" s="8">
        <f>CHOOSE( CONTROL!$C$36, 28.0402, 28.0391) * CHOOSE(CONTROL!$C$19, $D$11, 100%, $F$11)</f>
        <v>28.040199999999999</v>
      </c>
      <c r="C832" s="8">
        <f>CHOOSE( CONTROL!$C$36, 28.0453, 28.0442) * CHOOSE(CONTROL!$C$19, $D$11, 100%, $F$11)</f>
        <v>28.045300000000001</v>
      </c>
      <c r="D832" s="8">
        <f>CHOOSE( CONTROL!$C$36, 28.0259, 28.0248) * CHOOSE( CONTROL!$C$19, $D$11, 100%, $F$11)</f>
        <v>28.0259</v>
      </c>
      <c r="E832" s="12">
        <f>CHOOSE( CONTROL!$C$36, 28.0325, 28.0314) * CHOOSE( CONTROL!$C$19, $D$11, 100%, $F$11)</f>
        <v>28.032499999999999</v>
      </c>
      <c r="F832" s="4">
        <f>CHOOSE( CONTROL!$C$36, 28.6994, 28.6984) * CHOOSE(CONTROL!$C$19, $D$11, 100%, $F$11)</f>
        <v>28.699400000000001</v>
      </c>
      <c r="G832" s="8">
        <f>CHOOSE( CONTROL!$C$36, 27.6847, 27.6837) * CHOOSE( CONTROL!$C$19, $D$11, 100%, $F$11)</f>
        <v>27.684699999999999</v>
      </c>
      <c r="H832" s="4">
        <f>CHOOSE( CONTROL!$C$36, 28.5729, 28.5718) * CHOOSE(CONTROL!$C$19, $D$11, 100%, $F$11)</f>
        <v>28.572900000000001</v>
      </c>
      <c r="I832" s="8">
        <f>CHOOSE( CONTROL!$C$36, 27.3679, 27.3668) * CHOOSE(CONTROL!$C$19, $D$11, 100%, $F$11)</f>
        <v>27.367899999999999</v>
      </c>
      <c r="J832" s="4">
        <f>CHOOSE( CONTROL!$C$36, 27.168, 27.1669) * CHOOSE(CONTROL!$C$19, $D$11, 100%, $F$11)</f>
        <v>27.167999999999999</v>
      </c>
      <c r="K832" s="4"/>
      <c r="L832" s="9">
        <v>29.306000000000001</v>
      </c>
      <c r="M832" s="9">
        <v>12.063700000000001</v>
      </c>
      <c r="N832" s="9">
        <v>4.9444999999999997</v>
      </c>
      <c r="O832" s="9">
        <v>0.37409999999999999</v>
      </c>
      <c r="P832" s="9">
        <v>1.2927</v>
      </c>
      <c r="Q832" s="9">
        <v>19.688099999999999</v>
      </c>
      <c r="R832" s="9"/>
      <c r="S832" s="11"/>
    </row>
    <row r="833" spans="1:19" ht="15.75">
      <c r="A833" s="13">
        <v>66507</v>
      </c>
      <c r="B833" s="8">
        <f>CHOOSE( CONTROL!$C$36, 28.8678, 28.8667) * CHOOSE(CONTROL!$C$19, $D$11, 100%, $F$11)</f>
        <v>28.867799999999999</v>
      </c>
      <c r="C833" s="8">
        <f>CHOOSE( CONTROL!$C$36, 28.8729, 28.8718) * CHOOSE(CONTROL!$C$19, $D$11, 100%, $F$11)</f>
        <v>28.872900000000001</v>
      </c>
      <c r="D833" s="8">
        <f>CHOOSE( CONTROL!$C$36, 28.8742, 28.8731) * CHOOSE( CONTROL!$C$19, $D$11, 100%, $F$11)</f>
        <v>28.874199999999998</v>
      </c>
      <c r="E833" s="12">
        <f>CHOOSE( CONTROL!$C$36, 28.8732, 28.8721) * CHOOSE( CONTROL!$C$19, $D$11, 100%, $F$11)</f>
        <v>28.873200000000001</v>
      </c>
      <c r="F833" s="4">
        <f>CHOOSE( CONTROL!$C$36, 29.527, 29.5259) * CHOOSE(CONTROL!$C$19, $D$11, 100%, $F$11)</f>
        <v>29.527000000000001</v>
      </c>
      <c r="G833" s="8">
        <f>CHOOSE( CONTROL!$C$36, 28.5118, 28.5107) * CHOOSE( CONTROL!$C$19, $D$11, 100%, $F$11)</f>
        <v>28.511800000000001</v>
      </c>
      <c r="H833" s="4">
        <f>CHOOSE( CONTROL!$C$36, 29.3889, 29.3879) * CHOOSE(CONTROL!$C$19, $D$11, 100%, $F$11)</f>
        <v>29.3889</v>
      </c>
      <c r="I833" s="8">
        <f>CHOOSE( CONTROL!$C$36, 28.1471, 28.1461) * CHOOSE(CONTROL!$C$19, $D$11, 100%, $F$11)</f>
        <v>28.147099999999998</v>
      </c>
      <c r="J833" s="4">
        <f>CHOOSE( CONTROL!$C$36, 27.9693, 27.9683) * CHOOSE(CONTROL!$C$19, $D$11, 100%, $F$11)</f>
        <v>27.9693</v>
      </c>
      <c r="K833" s="4"/>
      <c r="L833" s="9">
        <v>29.306000000000001</v>
      </c>
      <c r="M833" s="9">
        <v>12.063700000000001</v>
      </c>
      <c r="N833" s="9">
        <v>4.9444999999999997</v>
      </c>
      <c r="O833" s="9">
        <v>0.37409999999999999</v>
      </c>
      <c r="P833" s="9">
        <v>1.2927</v>
      </c>
      <c r="Q833" s="9">
        <v>19.688099999999999</v>
      </c>
      <c r="R833" s="9"/>
      <c r="S833" s="11"/>
    </row>
    <row r="834" spans="1:19" ht="15.75">
      <c r="A834" s="13">
        <v>66535</v>
      </c>
      <c r="B834" s="8">
        <f>CHOOSE( CONTROL!$C$36, 27.0005, 26.9994) * CHOOSE(CONTROL!$C$19, $D$11, 100%, $F$11)</f>
        <v>27.000499999999999</v>
      </c>
      <c r="C834" s="8">
        <f>CHOOSE( CONTROL!$C$36, 27.0056, 27.0045) * CHOOSE(CONTROL!$C$19, $D$11, 100%, $F$11)</f>
        <v>27.005600000000001</v>
      </c>
      <c r="D834" s="8">
        <f>CHOOSE( CONTROL!$C$36, 27.0067, 27.0056) * CHOOSE( CONTROL!$C$19, $D$11, 100%, $F$11)</f>
        <v>27.006699999999999</v>
      </c>
      <c r="E834" s="12">
        <f>CHOOSE( CONTROL!$C$36, 27.0058, 27.0047) * CHOOSE( CONTROL!$C$19, $D$11, 100%, $F$11)</f>
        <v>27.005800000000001</v>
      </c>
      <c r="F834" s="4">
        <f>CHOOSE( CONTROL!$C$36, 27.6597, 27.6586) * CHOOSE(CONTROL!$C$19, $D$11, 100%, $F$11)</f>
        <v>27.659700000000001</v>
      </c>
      <c r="G834" s="8">
        <f>CHOOSE( CONTROL!$C$36, 26.6705, 26.6694) * CHOOSE( CONTROL!$C$19, $D$11, 100%, $F$11)</f>
        <v>26.670500000000001</v>
      </c>
      <c r="H834" s="4">
        <f>CHOOSE( CONTROL!$C$36, 27.5477, 27.5466) * CHOOSE(CONTROL!$C$19, $D$11, 100%, $F$11)</f>
        <v>27.547699999999999</v>
      </c>
      <c r="I834" s="8">
        <f>CHOOSE( CONTROL!$C$36, 26.3377, 26.3367) * CHOOSE(CONTROL!$C$19, $D$11, 100%, $F$11)</f>
        <v>26.337700000000002</v>
      </c>
      <c r="J834" s="4">
        <f>CHOOSE( CONTROL!$C$36, 26.1612, 26.1602) * CHOOSE(CONTROL!$C$19, $D$11, 100%, $F$11)</f>
        <v>26.161200000000001</v>
      </c>
      <c r="K834" s="4"/>
      <c r="L834" s="9">
        <v>26.469899999999999</v>
      </c>
      <c r="M834" s="9">
        <v>10.8962</v>
      </c>
      <c r="N834" s="9">
        <v>4.4660000000000002</v>
      </c>
      <c r="O834" s="9">
        <v>0.33789999999999998</v>
      </c>
      <c r="P834" s="9">
        <v>1.1676</v>
      </c>
      <c r="Q834" s="9">
        <v>17.782800000000002</v>
      </c>
      <c r="R834" s="9"/>
      <c r="S834" s="11"/>
    </row>
    <row r="835" spans="1:19" ht="15.75">
      <c r="A835" s="13">
        <v>66566</v>
      </c>
      <c r="B835" s="8">
        <f>CHOOSE( CONTROL!$C$36, 26.4253, 26.4243) * CHOOSE(CONTROL!$C$19, $D$11, 100%, $F$11)</f>
        <v>26.4253</v>
      </c>
      <c r="C835" s="8">
        <f>CHOOSE( CONTROL!$C$36, 26.4304, 26.4294) * CHOOSE(CONTROL!$C$19, $D$11, 100%, $F$11)</f>
        <v>26.430399999999999</v>
      </c>
      <c r="D835" s="8">
        <f>CHOOSE( CONTROL!$C$36, 26.431, 26.4299) * CHOOSE( CONTROL!$C$19, $D$11, 100%, $F$11)</f>
        <v>26.431000000000001</v>
      </c>
      <c r="E835" s="12">
        <f>CHOOSE( CONTROL!$C$36, 26.4302, 26.4292) * CHOOSE( CONTROL!$C$19, $D$11, 100%, $F$11)</f>
        <v>26.430199999999999</v>
      </c>
      <c r="F835" s="4">
        <f>CHOOSE( CONTROL!$C$36, 27.0846, 27.0835) * CHOOSE(CONTROL!$C$19, $D$11, 100%, $F$11)</f>
        <v>27.084599999999998</v>
      </c>
      <c r="G835" s="8">
        <f>CHOOSE( CONTROL!$C$36, 26.1029, 26.1018) * CHOOSE( CONTROL!$C$19, $D$11, 100%, $F$11)</f>
        <v>26.102900000000002</v>
      </c>
      <c r="H835" s="4">
        <f>CHOOSE( CONTROL!$C$36, 26.9806, 26.9795) * CHOOSE(CONTROL!$C$19, $D$11, 100%, $F$11)</f>
        <v>26.980599999999999</v>
      </c>
      <c r="I835" s="8">
        <f>CHOOSE( CONTROL!$C$36, 25.7786, 25.7775) * CHOOSE(CONTROL!$C$19, $D$11, 100%, $F$11)</f>
        <v>25.778600000000001</v>
      </c>
      <c r="J835" s="4">
        <f>CHOOSE( CONTROL!$C$36, 25.6043, 25.6033) * CHOOSE(CONTROL!$C$19, $D$11, 100%, $F$11)</f>
        <v>25.604299999999999</v>
      </c>
      <c r="K835" s="4"/>
      <c r="L835" s="9">
        <v>29.306000000000001</v>
      </c>
      <c r="M835" s="9">
        <v>12.063700000000001</v>
      </c>
      <c r="N835" s="9">
        <v>4.9444999999999997</v>
      </c>
      <c r="O835" s="9">
        <v>0.37409999999999999</v>
      </c>
      <c r="P835" s="9">
        <v>1.2927</v>
      </c>
      <c r="Q835" s="9">
        <v>19.688099999999999</v>
      </c>
      <c r="R835" s="9"/>
      <c r="S835" s="11"/>
    </row>
    <row r="836" spans="1:19" ht="15.75">
      <c r="A836" s="13">
        <v>66596</v>
      </c>
      <c r="B836" s="8">
        <f>CHOOSE( CONTROL!$C$36, 26.828, 26.8269) * CHOOSE(CONTROL!$C$19, $D$11, 100%, $F$11)</f>
        <v>26.827999999999999</v>
      </c>
      <c r="C836" s="8">
        <f>CHOOSE( CONTROL!$C$36, 26.8325, 26.8314) * CHOOSE(CONTROL!$C$19, $D$11, 100%, $F$11)</f>
        <v>26.8325</v>
      </c>
      <c r="D836" s="8">
        <f>CHOOSE( CONTROL!$C$36, 26.8529, 26.8518) * CHOOSE( CONTROL!$C$19, $D$11, 100%, $F$11)</f>
        <v>26.852900000000002</v>
      </c>
      <c r="E836" s="12">
        <f>CHOOSE( CONTROL!$C$36, 26.8456, 26.8445) * CHOOSE( CONTROL!$C$19, $D$11, 100%, $F$11)</f>
        <v>26.845600000000001</v>
      </c>
      <c r="F836" s="4">
        <f>CHOOSE( CONTROL!$C$36, 27.5624, 27.5613) * CHOOSE(CONTROL!$C$19, $D$11, 100%, $F$11)</f>
        <v>27.5624</v>
      </c>
      <c r="G836" s="8">
        <f>CHOOSE( CONTROL!$C$36, 26.5073, 26.5062) * CHOOSE( CONTROL!$C$19, $D$11, 100%, $F$11)</f>
        <v>26.507300000000001</v>
      </c>
      <c r="H836" s="4">
        <f>CHOOSE( CONTROL!$C$36, 27.4517, 27.4506) * CHOOSE(CONTROL!$C$19, $D$11, 100%, $F$11)</f>
        <v>27.451699999999999</v>
      </c>
      <c r="I836" s="8">
        <f>CHOOSE( CONTROL!$C$36, 26.1374, 26.1363) * CHOOSE(CONTROL!$C$19, $D$11, 100%, $F$11)</f>
        <v>26.1374</v>
      </c>
      <c r="J836" s="4">
        <f>CHOOSE( CONTROL!$C$36, 25.9935, 25.9924) * CHOOSE(CONTROL!$C$19, $D$11, 100%, $F$11)</f>
        <v>25.993500000000001</v>
      </c>
      <c r="K836" s="4"/>
      <c r="L836" s="9">
        <v>30.092199999999998</v>
      </c>
      <c r="M836" s="9">
        <v>11.6745</v>
      </c>
      <c r="N836" s="9">
        <v>4.7850000000000001</v>
      </c>
      <c r="O836" s="9">
        <v>0.36199999999999999</v>
      </c>
      <c r="P836" s="9">
        <v>1.2509999999999999</v>
      </c>
      <c r="Q836" s="9">
        <v>19.053000000000001</v>
      </c>
      <c r="R836" s="9"/>
      <c r="S836" s="11"/>
    </row>
    <row r="837" spans="1:19" ht="15.75">
      <c r="A837" s="13">
        <v>66627</v>
      </c>
      <c r="B837" s="8">
        <f>CHOOSE( CONTROL!$C$36, 27.5452, 27.5435) * CHOOSE(CONTROL!$C$19, $D$11, 100%, $F$11)</f>
        <v>27.545200000000001</v>
      </c>
      <c r="C837" s="8">
        <f>CHOOSE( CONTROL!$C$36, 27.5532, 27.5515) * CHOOSE(CONTROL!$C$19, $D$11, 100%, $F$11)</f>
        <v>27.5532</v>
      </c>
      <c r="D837" s="8">
        <f>CHOOSE( CONTROL!$C$36, 27.5674, 27.5657) * CHOOSE( CONTROL!$C$19, $D$11, 100%, $F$11)</f>
        <v>27.567399999999999</v>
      </c>
      <c r="E837" s="12">
        <f>CHOOSE( CONTROL!$C$36, 27.561, 27.5593) * CHOOSE( CONTROL!$C$19, $D$11, 100%, $F$11)</f>
        <v>27.561</v>
      </c>
      <c r="F837" s="4">
        <f>CHOOSE( CONTROL!$C$36, 28.2782, 28.2766) * CHOOSE(CONTROL!$C$19, $D$11, 100%, $F$11)</f>
        <v>28.278199999999998</v>
      </c>
      <c r="G837" s="8">
        <f>CHOOSE( CONTROL!$C$36, 27.2131, 27.2114) * CHOOSE( CONTROL!$C$19, $D$11, 100%, $F$11)</f>
        <v>27.213100000000001</v>
      </c>
      <c r="H837" s="4">
        <f>CHOOSE( CONTROL!$C$36, 28.1576, 28.1559) * CHOOSE(CONTROL!$C$19, $D$11, 100%, $F$11)</f>
        <v>28.157599999999999</v>
      </c>
      <c r="I837" s="8">
        <f>CHOOSE( CONTROL!$C$36, 26.8305, 26.8289) * CHOOSE(CONTROL!$C$19, $D$11, 100%, $F$11)</f>
        <v>26.830500000000001</v>
      </c>
      <c r="J837" s="4">
        <f>CHOOSE( CONTROL!$C$36, 26.6866, 26.685) * CHOOSE(CONTROL!$C$19, $D$11, 100%, $F$11)</f>
        <v>26.686599999999999</v>
      </c>
      <c r="K837" s="4"/>
      <c r="L837" s="9">
        <v>30.7165</v>
      </c>
      <c r="M837" s="9">
        <v>12.063700000000001</v>
      </c>
      <c r="N837" s="9">
        <v>4.9444999999999997</v>
      </c>
      <c r="O837" s="9">
        <v>0.37409999999999999</v>
      </c>
      <c r="P837" s="9">
        <v>1.2927</v>
      </c>
      <c r="Q837" s="9">
        <v>19.688099999999999</v>
      </c>
      <c r="R837" s="9"/>
      <c r="S837" s="11"/>
    </row>
    <row r="838" spans="1:19" ht="15.75">
      <c r="A838" s="13">
        <v>66657</v>
      </c>
      <c r="B838" s="8">
        <f>CHOOSE( CONTROL!$C$36, 27.1021, 27.1005) * CHOOSE(CONTROL!$C$19, $D$11, 100%, $F$11)</f>
        <v>27.1021</v>
      </c>
      <c r="C838" s="8">
        <f>CHOOSE( CONTROL!$C$36, 27.1101, 27.1085) * CHOOSE(CONTROL!$C$19, $D$11, 100%, $F$11)</f>
        <v>27.110099999999999</v>
      </c>
      <c r="D838" s="8">
        <f>CHOOSE( CONTROL!$C$36, 27.1245, 27.1228) * CHOOSE( CONTROL!$C$19, $D$11, 100%, $F$11)</f>
        <v>27.124500000000001</v>
      </c>
      <c r="E838" s="12">
        <f>CHOOSE( CONTROL!$C$36, 27.1181, 27.1164) * CHOOSE( CONTROL!$C$19, $D$11, 100%, $F$11)</f>
        <v>27.118099999999998</v>
      </c>
      <c r="F838" s="4">
        <f>CHOOSE( CONTROL!$C$36, 27.8351, 27.8335) * CHOOSE(CONTROL!$C$19, $D$11, 100%, $F$11)</f>
        <v>27.835100000000001</v>
      </c>
      <c r="G838" s="8">
        <f>CHOOSE( CONTROL!$C$36, 26.7763, 26.7747) * CHOOSE( CONTROL!$C$19, $D$11, 100%, $F$11)</f>
        <v>26.776299999999999</v>
      </c>
      <c r="H838" s="4">
        <f>CHOOSE( CONTROL!$C$36, 27.7207, 27.719) * CHOOSE(CONTROL!$C$19, $D$11, 100%, $F$11)</f>
        <v>27.720700000000001</v>
      </c>
      <c r="I838" s="8">
        <f>CHOOSE( CONTROL!$C$36, 26.4019, 26.4003) * CHOOSE(CONTROL!$C$19, $D$11, 100%, $F$11)</f>
        <v>26.401900000000001</v>
      </c>
      <c r="J838" s="4">
        <f>CHOOSE( CONTROL!$C$36, 26.2576, 26.256) * CHOOSE(CONTROL!$C$19, $D$11, 100%, $F$11)</f>
        <v>26.2576</v>
      </c>
      <c r="K838" s="4"/>
      <c r="L838" s="9">
        <v>29.7257</v>
      </c>
      <c r="M838" s="9">
        <v>11.6745</v>
      </c>
      <c r="N838" s="9">
        <v>4.7850000000000001</v>
      </c>
      <c r="O838" s="9">
        <v>0.36199999999999999</v>
      </c>
      <c r="P838" s="9">
        <v>1.2509999999999999</v>
      </c>
      <c r="Q838" s="9">
        <v>19.053000000000001</v>
      </c>
      <c r="R838" s="9"/>
      <c r="S838" s="11"/>
    </row>
    <row r="839" spans="1:19" ht="15.75">
      <c r="A839" s="13">
        <v>66688</v>
      </c>
      <c r="B839" s="8">
        <f>CHOOSE( CONTROL!$C$36, 28.2689, 28.2672) * CHOOSE(CONTROL!$C$19, $D$11, 100%, $F$11)</f>
        <v>28.268899999999999</v>
      </c>
      <c r="C839" s="8">
        <f>CHOOSE( CONTROL!$C$36, 28.2769, 28.2752) * CHOOSE(CONTROL!$C$19, $D$11, 100%, $F$11)</f>
        <v>28.276900000000001</v>
      </c>
      <c r="D839" s="8">
        <f>CHOOSE( CONTROL!$C$36, 28.2915, 28.2899) * CHOOSE( CONTROL!$C$19, $D$11, 100%, $F$11)</f>
        <v>28.291499999999999</v>
      </c>
      <c r="E839" s="12">
        <f>CHOOSE( CONTROL!$C$36, 28.285, 28.2834) * CHOOSE( CONTROL!$C$19, $D$11, 100%, $F$11)</f>
        <v>28.285</v>
      </c>
      <c r="F839" s="4">
        <f>CHOOSE( CONTROL!$C$36, 29.0019, 29.0003) * CHOOSE(CONTROL!$C$19, $D$11, 100%, $F$11)</f>
        <v>29.001899999999999</v>
      </c>
      <c r="G839" s="8">
        <f>CHOOSE( CONTROL!$C$36, 27.927, 27.9254) * CHOOSE( CONTROL!$C$19, $D$11, 100%, $F$11)</f>
        <v>27.927</v>
      </c>
      <c r="H839" s="4">
        <f>CHOOSE( CONTROL!$C$36, 28.8712, 28.8695) * CHOOSE(CONTROL!$C$19, $D$11, 100%, $F$11)</f>
        <v>28.871200000000002</v>
      </c>
      <c r="I839" s="8">
        <f>CHOOSE( CONTROL!$C$36, 27.5331, 27.5315) * CHOOSE(CONTROL!$C$19, $D$11, 100%, $F$11)</f>
        <v>27.533100000000001</v>
      </c>
      <c r="J839" s="4">
        <f>CHOOSE( CONTROL!$C$36, 27.3874, 27.3858) * CHOOSE(CONTROL!$C$19, $D$11, 100%, $F$11)</f>
        <v>27.3874</v>
      </c>
      <c r="K839" s="4"/>
      <c r="L839" s="9">
        <v>30.7165</v>
      </c>
      <c r="M839" s="9">
        <v>12.063700000000001</v>
      </c>
      <c r="N839" s="9">
        <v>4.9444999999999997</v>
      </c>
      <c r="O839" s="9">
        <v>0.37409999999999999</v>
      </c>
      <c r="P839" s="9">
        <v>1.2927</v>
      </c>
      <c r="Q839" s="9">
        <v>19.688099999999999</v>
      </c>
      <c r="R839" s="9"/>
      <c r="S839" s="11"/>
    </row>
    <row r="840" spans="1:19" ht="15.75">
      <c r="A840" s="13">
        <v>66719</v>
      </c>
      <c r="B840" s="8">
        <f>CHOOSE( CONTROL!$C$36, 26.0857, 26.0841) * CHOOSE(CONTROL!$C$19, $D$11, 100%, $F$11)</f>
        <v>26.085699999999999</v>
      </c>
      <c r="C840" s="8">
        <f>CHOOSE( CONTROL!$C$36, 26.0937, 26.0921) * CHOOSE(CONTROL!$C$19, $D$11, 100%, $F$11)</f>
        <v>26.093699999999998</v>
      </c>
      <c r="D840" s="8">
        <f>CHOOSE( CONTROL!$C$36, 26.1084, 26.1067) * CHOOSE( CONTROL!$C$19, $D$11, 100%, $F$11)</f>
        <v>26.1084</v>
      </c>
      <c r="E840" s="12">
        <f>CHOOSE( CONTROL!$C$36, 26.1019, 26.1002) * CHOOSE( CONTROL!$C$19, $D$11, 100%, $F$11)</f>
        <v>26.101900000000001</v>
      </c>
      <c r="F840" s="4">
        <f>CHOOSE( CONTROL!$C$36, 26.8187, 26.8171) * CHOOSE(CONTROL!$C$19, $D$11, 100%, $F$11)</f>
        <v>26.8187</v>
      </c>
      <c r="G840" s="8">
        <f>CHOOSE( CONTROL!$C$36, 25.7744, 25.7727) * CHOOSE( CONTROL!$C$19, $D$11, 100%, $F$11)</f>
        <v>25.7744</v>
      </c>
      <c r="H840" s="4">
        <f>CHOOSE( CONTROL!$C$36, 26.7184, 26.7168) * CHOOSE(CONTROL!$C$19, $D$11, 100%, $F$11)</f>
        <v>26.718399999999999</v>
      </c>
      <c r="I840" s="8">
        <f>CHOOSE( CONTROL!$C$36, 25.4183, 25.4167) * CHOOSE(CONTROL!$C$19, $D$11, 100%, $F$11)</f>
        <v>25.418299999999999</v>
      </c>
      <c r="J840" s="4">
        <f>CHOOSE( CONTROL!$C$36, 25.2734, 25.2718) * CHOOSE(CONTROL!$C$19, $D$11, 100%, $F$11)</f>
        <v>25.273399999999999</v>
      </c>
      <c r="K840" s="4"/>
      <c r="L840" s="9">
        <v>30.7165</v>
      </c>
      <c r="M840" s="9">
        <v>12.063700000000001</v>
      </c>
      <c r="N840" s="9">
        <v>4.9444999999999997</v>
      </c>
      <c r="O840" s="9">
        <v>0.37409999999999999</v>
      </c>
      <c r="P840" s="9">
        <v>1.2927</v>
      </c>
      <c r="Q840" s="9">
        <v>19.688099999999999</v>
      </c>
      <c r="R840" s="9"/>
      <c r="S840" s="11"/>
    </row>
    <row r="841" spans="1:19" ht="15.75">
      <c r="A841" s="13">
        <v>66749</v>
      </c>
      <c r="B841" s="8">
        <f>CHOOSE( CONTROL!$C$36, 25.539, 25.5374) * CHOOSE(CONTROL!$C$19, $D$11, 100%, $F$11)</f>
        <v>25.539000000000001</v>
      </c>
      <c r="C841" s="8">
        <f>CHOOSE( CONTROL!$C$36, 25.547, 25.5454) * CHOOSE(CONTROL!$C$19, $D$11, 100%, $F$11)</f>
        <v>25.547000000000001</v>
      </c>
      <c r="D841" s="8">
        <f>CHOOSE( CONTROL!$C$36, 25.5616, 25.5599) * CHOOSE( CONTROL!$C$19, $D$11, 100%, $F$11)</f>
        <v>25.561599999999999</v>
      </c>
      <c r="E841" s="12">
        <f>CHOOSE( CONTROL!$C$36, 25.5551, 25.5534) * CHOOSE( CONTROL!$C$19, $D$11, 100%, $F$11)</f>
        <v>25.555099999999999</v>
      </c>
      <c r="F841" s="4">
        <f>CHOOSE( CONTROL!$C$36, 26.2721, 26.2704) * CHOOSE(CONTROL!$C$19, $D$11, 100%, $F$11)</f>
        <v>26.272099999999998</v>
      </c>
      <c r="G841" s="8">
        <f>CHOOSE( CONTROL!$C$36, 25.2352, 25.2336) * CHOOSE( CONTROL!$C$19, $D$11, 100%, $F$11)</f>
        <v>25.235199999999999</v>
      </c>
      <c r="H841" s="4">
        <f>CHOOSE( CONTROL!$C$36, 26.1794, 26.1777) * CHOOSE(CONTROL!$C$19, $D$11, 100%, $F$11)</f>
        <v>26.179400000000001</v>
      </c>
      <c r="I841" s="8">
        <f>CHOOSE( CONTROL!$C$36, 24.8883, 24.8867) * CHOOSE(CONTROL!$C$19, $D$11, 100%, $F$11)</f>
        <v>24.888300000000001</v>
      </c>
      <c r="J841" s="4">
        <f>CHOOSE( CONTROL!$C$36, 24.744, 24.7424) * CHOOSE(CONTROL!$C$19, $D$11, 100%, $F$11)</f>
        <v>24.744</v>
      </c>
      <c r="K841" s="4"/>
      <c r="L841" s="9">
        <v>29.7257</v>
      </c>
      <c r="M841" s="9">
        <v>11.6745</v>
      </c>
      <c r="N841" s="9">
        <v>4.7850000000000001</v>
      </c>
      <c r="O841" s="9">
        <v>0.36199999999999999</v>
      </c>
      <c r="P841" s="9">
        <v>1.2509999999999999</v>
      </c>
      <c r="Q841" s="9">
        <v>19.053000000000001</v>
      </c>
      <c r="R841" s="9"/>
      <c r="S841" s="11"/>
    </row>
    <row r="842" spans="1:19" ht="15.75">
      <c r="A842" s="13">
        <v>66780</v>
      </c>
      <c r="B842" s="8">
        <f>CHOOSE( CONTROL!$C$36, 26.6719, 26.6708) * CHOOSE(CONTROL!$C$19, $D$11, 100%, $F$11)</f>
        <v>26.671900000000001</v>
      </c>
      <c r="C842" s="8">
        <f>CHOOSE( CONTROL!$C$36, 26.6772, 26.6761) * CHOOSE(CONTROL!$C$19, $D$11, 100%, $F$11)</f>
        <v>26.677199999999999</v>
      </c>
      <c r="D842" s="8">
        <f>CHOOSE( CONTROL!$C$36, 26.6977, 26.6966) * CHOOSE( CONTROL!$C$19, $D$11, 100%, $F$11)</f>
        <v>26.697700000000001</v>
      </c>
      <c r="E842" s="12">
        <f>CHOOSE( CONTROL!$C$36, 26.6904, 26.6893) * CHOOSE( CONTROL!$C$19, $D$11, 100%, $F$11)</f>
        <v>26.6904</v>
      </c>
      <c r="F842" s="4">
        <f>CHOOSE( CONTROL!$C$36, 27.4066, 27.4055) * CHOOSE(CONTROL!$C$19, $D$11, 100%, $F$11)</f>
        <v>27.406600000000001</v>
      </c>
      <c r="G842" s="8">
        <f>CHOOSE( CONTROL!$C$36, 26.3541, 26.3531) * CHOOSE( CONTROL!$C$19, $D$11, 100%, $F$11)</f>
        <v>26.354099999999999</v>
      </c>
      <c r="H842" s="4">
        <f>CHOOSE( CONTROL!$C$36, 27.2981, 27.297) * CHOOSE(CONTROL!$C$19, $D$11, 100%, $F$11)</f>
        <v>27.298100000000002</v>
      </c>
      <c r="I842" s="8">
        <f>CHOOSE( CONTROL!$C$36, 25.9885, 25.9874) * CHOOSE(CONTROL!$C$19, $D$11, 100%, $F$11)</f>
        <v>25.988499999999998</v>
      </c>
      <c r="J842" s="4">
        <f>CHOOSE( CONTROL!$C$36, 25.8426, 25.8416) * CHOOSE(CONTROL!$C$19, $D$11, 100%, $F$11)</f>
        <v>25.842600000000001</v>
      </c>
      <c r="K842" s="4"/>
      <c r="L842" s="9">
        <v>31.095300000000002</v>
      </c>
      <c r="M842" s="9">
        <v>12.063700000000001</v>
      </c>
      <c r="N842" s="9">
        <v>4.9444999999999997</v>
      </c>
      <c r="O842" s="9">
        <v>0.37409999999999999</v>
      </c>
      <c r="P842" s="9">
        <v>1.2927</v>
      </c>
      <c r="Q842" s="9">
        <v>19.688099999999999</v>
      </c>
      <c r="R842" s="9"/>
      <c r="S842" s="11"/>
    </row>
    <row r="843" spans="1:19" ht="15.75">
      <c r="A843" s="13">
        <v>66810</v>
      </c>
      <c r="B843" s="8">
        <f>CHOOSE( CONTROL!$C$36, 28.7667, 28.7656) * CHOOSE(CONTROL!$C$19, $D$11, 100%, $F$11)</f>
        <v>28.7667</v>
      </c>
      <c r="C843" s="8">
        <f>CHOOSE( CONTROL!$C$36, 28.7718, 28.7707) * CHOOSE(CONTROL!$C$19, $D$11, 100%, $F$11)</f>
        <v>28.771799999999999</v>
      </c>
      <c r="D843" s="8">
        <f>CHOOSE( CONTROL!$C$36, 28.751, 28.7499) * CHOOSE( CONTROL!$C$19, $D$11, 100%, $F$11)</f>
        <v>28.751000000000001</v>
      </c>
      <c r="E843" s="12">
        <f>CHOOSE( CONTROL!$C$36, 28.7581, 28.757) * CHOOSE( CONTROL!$C$19, $D$11, 100%, $F$11)</f>
        <v>28.758099999999999</v>
      </c>
      <c r="F843" s="4">
        <f>CHOOSE( CONTROL!$C$36, 29.4259, 29.4248) * CHOOSE(CONTROL!$C$19, $D$11, 100%, $F$11)</f>
        <v>29.425899999999999</v>
      </c>
      <c r="G843" s="8">
        <f>CHOOSE( CONTROL!$C$36, 28.4001, 28.399) * CHOOSE( CONTROL!$C$19, $D$11, 100%, $F$11)</f>
        <v>28.400099999999998</v>
      </c>
      <c r="H843" s="4">
        <f>CHOOSE( CONTROL!$C$36, 29.2892, 29.2882) * CHOOSE(CONTROL!$C$19, $D$11, 100%, $F$11)</f>
        <v>29.289200000000001</v>
      </c>
      <c r="I843" s="8">
        <f>CHOOSE( CONTROL!$C$36, 28.0674, 28.0663) * CHOOSE(CONTROL!$C$19, $D$11, 100%, $F$11)</f>
        <v>28.067399999999999</v>
      </c>
      <c r="J843" s="4">
        <f>CHOOSE( CONTROL!$C$36, 27.8714, 27.8704) * CHOOSE(CONTROL!$C$19, $D$11, 100%, $F$11)</f>
        <v>27.871400000000001</v>
      </c>
      <c r="K843" s="4"/>
      <c r="L843" s="9">
        <v>28.360600000000002</v>
      </c>
      <c r="M843" s="9">
        <v>11.6745</v>
      </c>
      <c r="N843" s="9">
        <v>4.7850000000000001</v>
      </c>
      <c r="O843" s="9">
        <v>0.36199999999999999</v>
      </c>
      <c r="P843" s="9">
        <v>1.2509999999999999</v>
      </c>
      <c r="Q843" s="9">
        <v>19.053000000000001</v>
      </c>
      <c r="R843" s="9"/>
      <c r="S843" s="11"/>
    </row>
    <row r="844" spans="1:19" ht="15.75">
      <c r="A844" s="13">
        <v>66841</v>
      </c>
      <c r="B844" s="8">
        <f>CHOOSE( CONTROL!$C$36, 28.7143, 28.7132) * CHOOSE(CONTROL!$C$19, $D$11, 100%, $F$11)</f>
        <v>28.714300000000001</v>
      </c>
      <c r="C844" s="8">
        <f>CHOOSE( CONTROL!$C$36, 28.7194, 28.7183) * CHOOSE(CONTROL!$C$19, $D$11, 100%, $F$11)</f>
        <v>28.7194</v>
      </c>
      <c r="D844" s="8">
        <f>CHOOSE( CONTROL!$C$36, 28.7, 28.6989) * CHOOSE( CONTROL!$C$19, $D$11, 100%, $F$11)</f>
        <v>28.7</v>
      </c>
      <c r="E844" s="12">
        <f>CHOOSE( CONTROL!$C$36, 28.7066, 28.7055) * CHOOSE( CONTROL!$C$19, $D$11, 100%, $F$11)</f>
        <v>28.706600000000002</v>
      </c>
      <c r="F844" s="4">
        <f>CHOOSE( CONTROL!$C$36, 29.3736, 29.3725) * CHOOSE(CONTROL!$C$19, $D$11, 100%, $F$11)</f>
        <v>29.3736</v>
      </c>
      <c r="G844" s="8">
        <f>CHOOSE( CONTROL!$C$36, 28.3495, 28.3484) * CHOOSE( CONTROL!$C$19, $D$11, 100%, $F$11)</f>
        <v>28.349499999999999</v>
      </c>
      <c r="H844" s="4">
        <f>CHOOSE( CONTROL!$C$36, 29.2376, 29.2365) * CHOOSE(CONTROL!$C$19, $D$11, 100%, $F$11)</f>
        <v>29.2376</v>
      </c>
      <c r="I844" s="8">
        <f>CHOOSE( CONTROL!$C$36, 28.021, 28.0199) * CHOOSE(CONTROL!$C$19, $D$11, 100%, $F$11)</f>
        <v>28.021000000000001</v>
      </c>
      <c r="J844" s="4">
        <f>CHOOSE( CONTROL!$C$36, 27.8207, 27.8197) * CHOOSE(CONTROL!$C$19, $D$11, 100%, $F$11)</f>
        <v>27.820699999999999</v>
      </c>
      <c r="K844" s="4"/>
      <c r="L844" s="9">
        <v>29.306000000000001</v>
      </c>
      <c r="M844" s="9">
        <v>12.063700000000001</v>
      </c>
      <c r="N844" s="9">
        <v>4.9444999999999997</v>
      </c>
      <c r="O844" s="9">
        <v>0.37409999999999999</v>
      </c>
      <c r="P844" s="9">
        <v>1.2927</v>
      </c>
      <c r="Q844" s="9">
        <v>19.688099999999999</v>
      </c>
      <c r="R844" s="9"/>
      <c r="S844" s="11"/>
    </row>
    <row r="845" spans="1:19" ht="15.75">
      <c r="A845" s="13">
        <v>66872</v>
      </c>
      <c r="B845" s="8">
        <f>CHOOSE( CONTROL!$C$36, 29.5618, 29.5607) * CHOOSE(CONTROL!$C$19, $D$11, 100%, $F$11)</f>
        <v>29.561800000000002</v>
      </c>
      <c r="C845" s="8">
        <f>CHOOSE( CONTROL!$C$36, 29.5669, 29.5658) * CHOOSE(CONTROL!$C$19, $D$11, 100%, $F$11)</f>
        <v>29.5669</v>
      </c>
      <c r="D845" s="8">
        <f>CHOOSE( CONTROL!$C$36, 29.5682, 29.5671) * CHOOSE( CONTROL!$C$19, $D$11, 100%, $F$11)</f>
        <v>29.568200000000001</v>
      </c>
      <c r="E845" s="12">
        <f>CHOOSE( CONTROL!$C$36, 29.5672, 29.5661) * CHOOSE( CONTROL!$C$19, $D$11, 100%, $F$11)</f>
        <v>29.5672</v>
      </c>
      <c r="F845" s="4">
        <f>CHOOSE( CONTROL!$C$36, 30.221, 30.2199) * CHOOSE(CONTROL!$C$19, $D$11, 100%, $F$11)</f>
        <v>30.221</v>
      </c>
      <c r="G845" s="8">
        <f>CHOOSE( CONTROL!$C$36, 29.1961, 29.1951) * CHOOSE( CONTROL!$C$19, $D$11, 100%, $F$11)</f>
        <v>29.196100000000001</v>
      </c>
      <c r="H845" s="4">
        <f>CHOOSE( CONTROL!$C$36, 30.0732, 30.0722) * CHOOSE(CONTROL!$C$19, $D$11, 100%, $F$11)</f>
        <v>30.0732</v>
      </c>
      <c r="I845" s="8">
        <f>CHOOSE( CONTROL!$C$36, 28.8195, 28.8184) * CHOOSE(CONTROL!$C$19, $D$11, 100%, $F$11)</f>
        <v>28.819500000000001</v>
      </c>
      <c r="J845" s="4">
        <f>CHOOSE( CONTROL!$C$36, 28.6413, 28.6403) * CHOOSE(CONTROL!$C$19, $D$11, 100%, $F$11)</f>
        <v>28.641300000000001</v>
      </c>
      <c r="K845" s="4"/>
      <c r="L845" s="9">
        <v>29.306000000000001</v>
      </c>
      <c r="M845" s="9">
        <v>12.063700000000001</v>
      </c>
      <c r="N845" s="9">
        <v>4.9444999999999997</v>
      </c>
      <c r="O845" s="9">
        <v>0.37409999999999999</v>
      </c>
      <c r="P845" s="9">
        <v>1.2927</v>
      </c>
      <c r="Q845" s="9">
        <v>19.688099999999999</v>
      </c>
      <c r="R845" s="9"/>
      <c r="S845" s="11"/>
    </row>
    <row r="846" spans="1:19" ht="15.75">
      <c r="A846" s="13">
        <v>66900</v>
      </c>
      <c r="B846" s="8">
        <f>CHOOSE( CONTROL!$C$36, 27.6496, 27.6485) * CHOOSE(CONTROL!$C$19, $D$11, 100%, $F$11)</f>
        <v>27.6496</v>
      </c>
      <c r="C846" s="8">
        <f>CHOOSE( CONTROL!$C$36, 27.6547, 27.6536) * CHOOSE(CONTROL!$C$19, $D$11, 100%, $F$11)</f>
        <v>27.654699999999998</v>
      </c>
      <c r="D846" s="8">
        <f>CHOOSE( CONTROL!$C$36, 27.6559, 27.6548) * CHOOSE( CONTROL!$C$19, $D$11, 100%, $F$11)</f>
        <v>27.655899999999999</v>
      </c>
      <c r="E846" s="12">
        <f>CHOOSE( CONTROL!$C$36, 27.6549, 27.6538) * CHOOSE( CONTROL!$C$19, $D$11, 100%, $F$11)</f>
        <v>27.654900000000001</v>
      </c>
      <c r="F846" s="4">
        <f>CHOOSE( CONTROL!$C$36, 28.3089, 28.3078) * CHOOSE(CONTROL!$C$19, $D$11, 100%, $F$11)</f>
        <v>28.308900000000001</v>
      </c>
      <c r="G846" s="8">
        <f>CHOOSE( CONTROL!$C$36, 27.3106, 27.3095) * CHOOSE( CONTROL!$C$19, $D$11, 100%, $F$11)</f>
        <v>27.310600000000001</v>
      </c>
      <c r="H846" s="4">
        <f>CHOOSE( CONTROL!$C$36, 28.1878, 28.1867) * CHOOSE(CONTROL!$C$19, $D$11, 100%, $F$11)</f>
        <v>28.187799999999999</v>
      </c>
      <c r="I846" s="8">
        <f>CHOOSE( CONTROL!$C$36, 26.9666, 26.9655) * CHOOSE(CONTROL!$C$19, $D$11, 100%, $F$11)</f>
        <v>26.9666</v>
      </c>
      <c r="J846" s="4">
        <f>CHOOSE( CONTROL!$C$36, 26.7898, 26.7887) * CHOOSE(CONTROL!$C$19, $D$11, 100%, $F$11)</f>
        <v>26.7898</v>
      </c>
      <c r="K846" s="4"/>
      <c r="L846" s="9">
        <v>26.469899999999999</v>
      </c>
      <c r="M846" s="9">
        <v>10.8962</v>
      </c>
      <c r="N846" s="9">
        <v>4.4660000000000002</v>
      </c>
      <c r="O846" s="9">
        <v>0.33789999999999998</v>
      </c>
      <c r="P846" s="9">
        <v>1.1676</v>
      </c>
      <c r="Q846" s="9">
        <v>17.782800000000002</v>
      </c>
      <c r="R846" s="9"/>
      <c r="S846" s="11"/>
    </row>
    <row r="847" spans="1:19" ht="15.75">
      <c r="A847" s="13">
        <v>66931</v>
      </c>
      <c r="B847" s="8">
        <f>CHOOSE( CONTROL!$C$36, 27.0607, 27.0596) * CHOOSE(CONTROL!$C$19, $D$11, 100%, $F$11)</f>
        <v>27.060700000000001</v>
      </c>
      <c r="C847" s="8">
        <f>CHOOSE( CONTROL!$C$36, 27.0658, 27.0647) * CHOOSE(CONTROL!$C$19, $D$11, 100%, $F$11)</f>
        <v>27.065799999999999</v>
      </c>
      <c r="D847" s="8">
        <f>CHOOSE( CONTROL!$C$36, 27.0663, 27.0652) * CHOOSE( CONTROL!$C$19, $D$11, 100%, $F$11)</f>
        <v>27.066299999999998</v>
      </c>
      <c r="E847" s="12">
        <f>CHOOSE( CONTROL!$C$36, 27.0656, 27.0645) * CHOOSE( CONTROL!$C$19, $D$11, 100%, $F$11)</f>
        <v>27.0656</v>
      </c>
      <c r="F847" s="4">
        <f>CHOOSE( CONTROL!$C$36, 27.7199, 27.7188) * CHOOSE(CONTROL!$C$19, $D$11, 100%, $F$11)</f>
        <v>27.719899999999999</v>
      </c>
      <c r="G847" s="8">
        <f>CHOOSE( CONTROL!$C$36, 26.7294, 26.7283) * CHOOSE( CONTROL!$C$19, $D$11, 100%, $F$11)</f>
        <v>26.729399999999998</v>
      </c>
      <c r="H847" s="4">
        <f>CHOOSE( CONTROL!$C$36, 27.607, 27.606) * CHOOSE(CONTROL!$C$19, $D$11, 100%, $F$11)</f>
        <v>27.606999999999999</v>
      </c>
      <c r="I847" s="8">
        <f>CHOOSE( CONTROL!$C$36, 26.394, 26.393) * CHOOSE(CONTROL!$C$19, $D$11, 100%, $F$11)</f>
        <v>26.393999999999998</v>
      </c>
      <c r="J847" s="4">
        <f>CHOOSE( CONTROL!$C$36, 26.2195, 26.2185) * CHOOSE(CONTROL!$C$19, $D$11, 100%, $F$11)</f>
        <v>26.2195</v>
      </c>
      <c r="K847" s="4"/>
      <c r="L847" s="9">
        <v>29.306000000000001</v>
      </c>
      <c r="M847" s="9">
        <v>12.063700000000001</v>
      </c>
      <c r="N847" s="9">
        <v>4.9444999999999997</v>
      </c>
      <c r="O847" s="9">
        <v>0.37409999999999999</v>
      </c>
      <c r="P847" s="9">
        <v>1.2927</v>
      </c>
      <c r="Q847" s="9">
        <v>19.688099999999999</v>
      </c>
      <c r="R847" s="9"/>
      <c r="S847" s="11"/>
    </row>
    <row r="848" spans="1:19" ht="15.75">
      <c r="A848" s="13">
        <v>66961</v>
      </c>
      <c r="B848" s="8">
        <f>CHOOSE( CONTROL!$C$36, 27.473, 27.4719) * CHOOSE(CONTROL!$C$19, $D$11, 100%, $F$11)</f>
        <v>27.472999999999999</v>
      </c>
      <c r="C848" s="8">
        <f>CHOOSE( CONTROL!$C$36, 27.4775, 27.4764) * CHOOSE(CONTROL!$C$19, $D$11, 100%, $F$11)</f>
        <v>27.477499999999999</v>
      </c>
      <c r="D848" s="8">
        <f>CHOOSE( CONTROL!$C$36, 27.4979, 27.4968) * CHOOSE( CONTROL!$C$19, $D$11, 100%, $F$11)</f>
        <v>27.497900000000001</v>
      </c>
      <c r="E848" s="12">
        <f>CHOOSE( CONTROL!$C$36, 27.4906, 27.4895) * CHOOSE( CONTROL!$C$19, $D$11, 100%, $F$11)</f>
        <v>27.490600000000001</v>
      </c>
      <c r="F848" s="4">
        <f>CHOOSE( CONTROL!$C$36, 28.2074, 28.2063) * CHOOSE(CONTROL!$C$19, $D$11, 100%, $F$11)</f>
        <v>28.2074</v>
      </c>
      <c r="G848" s="8">
        <f>CHOOSE( CONTROL!$C$36, 27.1433, 27.1422) * CHOOSE( CONTROL!$C$19, $D$11, 100%, $F$11)</f>
        <v>27.1433</v>
      </c>
      <c r="H848" s="4">
        <f>CHOOSE( CONTROL!$C$36, 28.0877, 28.0866) * CHOOSE(CONTROL!$C$19, $D$11, 100%, $F$11)</f>
        <v>28.087700000000002</v>
      </c>
      <c r="I848" s="8">
        <f>CHOOSE( CONTROL!$C$36, 26.7622, 26.7612) * CHOOSE(CONTROL!$C$19, $D$11, 100%, $F$11)</f>
        <v>26.7622</v>
      </c>
      <c r="J848" s="4">
        <f>CHOOSE( CONTROL!$C$36, 26.618, 26.6169) * CHOOSE(CONTROL!$C$19, $D$11, 100%, $F$11)</f>
        <v>26.617999999999999</v>
      </c>
      <c r="K848" s="4"/>
      <c r="L848" s="9">
        <v>30.092199999999998</v>
      </c>
      <c r="M848" s="9">
        <v>11.6745</v>
      </c>
      <c r="N848" s="9">
        <v>4.7850000000000001</v>
      </c>
      <c r="O848" s="9">
        <v>0.36199999999999999</v>
      </c>
      <c r="P848" s="9">
        <v>1.2509999999999999</v>
      </c>
      <c r="Q848" s="9">
        <v>19.053000000000001</v>
      </c>
      <c r="R848" s="9"/>
      <c r="S848" s="11"/>
    </row>
    <row r="849" spans="1:19" ht="15.75">
      <c r="A849" s="13">
        <v>66992</v>
      </c>
      <c r="B849" s="8">
        <f>CHOOSE( CONTROL!$C$36, 28.2074, 28.2057) * CHOOSE(CONTROL!$C$19, $D$11, 100%, $F$11)</f>
        <v>28.2074</v>
      </c>
      <c r="C849" s="8">
        <f>CHOOSE( CONTROL!$C$36, 28.2154, 28.2137) * CHOOSE(CONTROL!$C$19, $D$11, 100%, $F$11)</f>
        <v>28.215399999999999</v>
      </c>
      <c r="D849" s="8">
        <f>CHOOSE( CONTROL!$C$36, 28.2295, 28.2279) * CHOOSE( CONTROL!$C$19, $D$11, 100%, $F$11)</f>
        <v>28.229500000000002</v>
      </c>
      <c r="E849" s="12">
        <f>CHOOSE( CONTROL!$C$36, 28.2232, 28.2215) * CHOOSE( CONTROL!$C$19, $D$11, 100%, $F$11)</f>
        <v>28.223199999999999</v>
      </c>
      <c r="F849" s="4">
        <f>CHOOSE( CONTROL!$C$36, 28.9404, 28.9387) * CHOOSE(CONTROL!$C$19, $D$11, 100%, $F$11)</f>
        <v>28.9404</v>
      </c>
      <c r="G849" s="8">
        <f>CHOOSE( CONTROL!$C$36, 27.866, 27.8644) * CHOOSE( CONTROL!$C$19, $D$11, 100%, $F$11)</f>
        <v>27.866</v>
      </c>
      <c r="H849" s="4">
        <f>CHOOSE( CONTROL!$C$36, 28.8105, 28.8088) * CHOOSE(CONTROL!$C$19, $D$11, 100%, $F$11)</f>
        <v>28.810500000000001</v>
      </c>
      <c r="I849" s="8">
        <f>CHOOSE( CONTROL!$C$36, 27.472, 27.4704) * CHOOSE(CONTROL!$C$19, $D$11, 100%, $F$11)</f>
        <v>27.472000000000001</v>
      </c>
      <c r="J849" s="4">
        <f>CHOOSE( CONTROL!$C$36, 27.3278, 27.3262) * CHOOSE(CONTROL!$C$19, $D$11, 100%, $F$11)</f>
        <v>27.3278</v>
      </c>
      <c r="K849" s="4"/>
      <c r="L849" s="9">
        <v>30.7165</v>
      </c>
      <c r="M849" s="9">
        <v>12.063700000000001</v>
      </c>
      <c r="N849" s="9">
        <v>4.9444999999999997</v>
      </c>
      <c r="O849" s="9">
        <v>0.37409999999999999</v>
      </c>
      <c r="P849" s="9">
        <v>1.2927</v>
      </c>
      <c r="Q849" s="9">
        <v>19.688099999999999</v>
      </c>
      <c r="R849" s="9"/>
      <c r="S849" s="11"/>
    </row>
    <row r="850" spans="1:19" ht="15.75">
      <c r="A850" s="13">
        <v>67022</v>
      </c>
      <c r="B850" s="8">
        <f>CHOOSE( CONTROL!$C$36, 27.7536, 27.752) * CHOOSE(CONTROL!$C$19, $D$11, 100%, $F$11)</f>
        <v>27.753599999999999</v>
      </c>
      <c r="C850" s="8">
        <f>CHOOSE( CONTROL!$C$36, 27.7616, 27.76) * CHOOSE(CONTROL!$C$19, $D$11, 100%, $F$11)</f>
        <v>27.761600000000001</v>
      </c>
      <c r="D850" s="8">
        <f>CHOOSE( CONTROL!$C$36, 27.776, 27.7744) * CHOOSE( CONTROL!$C$19, $D$11, 100%, $F$11)</f>
        <v>27.776</v>
      </c>
      <c r="E850" s="12">
        <f>CHOOSE( CONTROL!$C$36, 27.7696, 27.768) * CHOOSE( CONTROL!$C$19, $D$11, 100%, $F$11)</f>
        <v>27.769600000000001</v>
      </c>
      <c r="F850" s="4">
        <f>CHOOSE( CONTROL!$C$36, 28.4867, 28.485) * CHOOSE(CONTROL!$C$19, $D$11, 100%, $F$11)</f>
        <v>28.486699999999999</v>
      </c>
      <c r="G850" s="8">
        <f>CHOOSE( CONTROL!$C$36, 27.4188, 27.4171) * CHOOSE( CONTROL!$C$19, $D$11, 100%, $F$11)</f>
        <v>27.418800000000001</v>
      </c>
      <c r="H850" s="4">
        <f>CHOOSE( CONTROL!$C$36, 28.3631, 28.3614) * CHOOSE(CONTROL!$C$19, $D$11, 100%, $F$11)</f>
        <v>28.363099999999999</v>
      </c>
      <c r="I850" s="8">
        <f>CHOOSE( CONTROL!$C$36, 27.0331, 27.0315) * CHOOSE(CONTROL!$C$19, $D$11, 100%, $F$11)</f>
        <v>27.033100000000001</v>
      </c>
      <c r="J850" s="4">
        <f>CHOOSE( CONTROL!$C$36, 26.8884, 26.8868) * CHOOSE(CONTROL!$C$19, $D$11, 100%, $F$11)</f>
        <v>26.888400000000001</v>
      </c>
      <c r="K850" s="4"/>
      <c r="L850" s="9">
        <v>29.7257</v>
      </c>
      <c r="M850" s="9">
        <v>11.6745</v>
      </c>
      <c r="N850" s="9">
        <v>4.7850000000000001</v>
      </c>
      <c r="O850" s="9">
        <v>0.36199999999999999</v>
      </c>
      <c r="P850" s="9">
        <v>1.2509999999999999</v>
      </c>
      <c r="Q850" s="9">
        <v>19.053000000000001</v>
      </c>
      <c r="R850" s="9"/>
      <c r="S850" s="11"/>
    </row>
    <row r="851" spans="1:19" ht="15.75">
      <c r="A851" s="13">
        <v>67053</v>
      </c>
      <c r="B851" s="8">
        <f>CHOOSE( CONTROL!$C$36, 28.9485, 28.9468) * CHOOSE(CONTROL!$C$19, $D$11, 100%, $F$11)</f>
        <v>28.948499999999999</v>
      </c>
      <c r="C851" s="8">
        <f>CHOOSE( CONTROL!$C$36, 28.9565, 28.9548) * CHOOSE(CONTROL!$C$19, $D$11, 100%, $F$11)</f>
        <v>28.956499999999998</v>
      </c>
      <c r="D851" s="8">
        <f>CHOOSE( CONTROL!$C$36, 28.9711, 28.9694) * CHOOSE( CONTROL!$C$19, $D$11, 100%, $F$11)</f>
        <v>28.9711</v>
      </c>
      <c r="E851" s="12">
        <f>CHOOSE( CONTROL!$C$36, 28.9646, 28.9629) * CHOOSE( CONTROL!$C$19, $D$11, 100%, $F$11)</f>
        <v>28.964600000000001</v>
      </c>
      <c r="F851" s="4">
        <f>CHOOSE( CONTROL!$C$36, 29.6815, 29.6798) * CHOOSE(CONTROL!$C$19, $D$11, 100%, $F$11)</f>
        <v>29.6815</v>
      </c>
      <c r="G851" s="8">
        <f>CHOOSE( CONTROL!$C$36, 28.5971, 28.5955) * CHOOSE( CONTROL!$C$19, $D$11, 100%, $F$11)</f>
        <v>28.597100000000001</v>
      </c>
      <c r="H851" s="4">
        <f>CHOOSE( CONTROL!$C$36, 29.5412, 29.5396) * CHOOSE(CONTROL!$C$19, $D$11, 100%, $F$11)</f>
        <v>29.5412</v>
      </c>
      <c r="I851" s="8">
        <f>CHOOSE( CONTROL!$C$36, 28.1914, 28.1898) * CHOOSE(CONTROL!$C$19, $D$11, 100%, $F$11)</f>
        <v>28.191400000000002</v>
      </c>
      <c r="J851" s="4">
        <f>CHOOSE( CONTROL!$C$36, 28.0454, 28.0438) * CHOOSE(CONTROL!$C$19, $D$11, 100%, $F$11)</f>
        <v>28.045400000000001</v>
      </c>
      <c r="K851" s="4"/>
      <c r="L851" s="9">
        <v>30.7165</v>
      </c>
      <c r="M851" s="9">
        <v>12.063700000000001</v>
      </c>
      <c r="N851" s="9">
        <v>4.9444999999999997</v>
      </c>
      <c r="O851" s="9">
        <v>0.37409999999999999</v>
      </c>
      <c r="P851" s="9">
        <v>1.2927</v>
      </c>
      <c r="Q851" s="9">
        <v>19.688099999999999</v>
      </c>
      <c r="R851" s="9"/>
      <c r="S851" s="11"/>
    </row>
    <row r="852" spans="1:19" ht="15.75">
      <c r="A852" s="13">
        <v>67084</v>
      </c>
      <c r="B852" s="8">
        <f>CHOOSE( CONTROL!$C$36, 26.7128, 26.7112) * CHOOSE(CONTROL!$C$19, $D$11, 100%, $F$11)</f>
        <v>26.712800000000001</v>
      </c>
      <c r="C852" s="8">
        <f>CHOOSE( CONTROL!$C$36, 26.7208, 26.7191) * CHOOSE(CONTROL!$C$19, $D$11, 100%, $F$11)</f>
        <v>26.720800000000001</v>
      </c>
      <c r="D852" s="8">
        <f>CHOOSE( CONTROL!$C$36, 26.7355, 26.7338) * CHOOSE( CONTROL!$C$19, $D$11, 100%, $F$11)</f>
        <v>26.735499999999998</v>
      </c>
      <c r="E852" s="12">
        <f>CHOOSE( CONTROL!$C$36, 26.729, 26.7273) * CHOOSE( CONTROL!$C$19, $D$11, 100%, $F$11)</f>
        <v>26.728999999999999</v>
      </c>
      <c r="F852" s="4">
        <f>CHOOSE( CONTROL!$C$36, 27.4458, 27.4442) * CHOOSE(CONTROL!$C$19, $D$11, 100%, $F$11)</f>
        <v>27.445799999999998</v>
      </c>
      <c r="G852" s="8">
        <f>CHOOSE( CONTROL!$C$36, 26.3927, 26.3911) * CHOOSE( CONTROL!$C$19, $D$11, 100%, $F$11)</f>
        <v>26.392700000000001</v>
      </c>
      <c r="H852" s="4">
        <f>CHOOSE( CONTROL!$C$36, 27.3368, 27.3351) * CHOOSE(CONTROL!$C$19, $D$11, 100%, $F$11)</f>
        <v>27.3368</v>
      </c>
      <c r="I852" s="8">
        <f>CHOOSE( CONTROL!$C$36, 26.0258, 26.0242) * CHOOSE(CONTROL!$C$19, $D$11, 100%, $F$11)</f>
        <v>26.0258</v>
      </c>
      <c r="J852" s="4">
        <f>CHOOSE( CONTROL!$C$36, 25.8806, 25.879) * CHOOSE(CONTROL!$C$19, $D$11, 100%, $F$11)</f>
        <v>25.880600000000001</v>
      </c>
      <c r="K852" s="4"/>
      <c r="L852" s="9">
        <v>30.7165</v>
      </c>
      <c r="M852" s="9">
        <v>12.063700000000001</v>
      </c>
      <c r="N852" s="9">
        <v>4.9444999999999997</v>
      </c>
      <c r="O852" s="9">
        <v>0.37409999999999999</v>
      </c>
      <c r="P852" s="9">
        <v>1.2927</v>
      </c>
      <c r="Q852" s="9">
        <v>19.688099999999999</v>
      </c>
      <c r="R852" s="9"/>
      <c r="S852" s="11"/>
    </row>
    <row r="853" spans="1:19" ht="15.75">
      <c r="A853" s="13">
        <v>67114</v>
      </c>
      <c r="B853" s="8">
        <f>CHOOSE( CONTROL!$C$36, 26.153, 26.1513) * CHOOSE(CONTROL!$C$19, $D$11, 100%, $F$11)</f>
        <v>26.152999999999999</v>
      </c>
      <c r="C853" s="8">
        <f>CHOOSE( CONTROL!$C$36, 26.161, 26.1593) * CHOOSE(CONTROL!$C$19, $D$11, 100%, $F$11)</f>
        <v>26.161000000000001</v>
      </c>
      <c r="D853" s="8">
        <f>CHOOSE( CONTROL!$C$36, 26.1756, 26.1739) * CHOOSE( CONTROL!$C$19, $D$11, 100%, $F$11)</f>
        <v>26.175599999999999</v>
      </c>
      <c r="E853" s="12">
        <f>CHOOSE( CONTROL!$C$36, 26.1691, 26.1674) * CHOOSE( CONTROL!$C$19, $D$11, 100%, $F$11)</f>
        <v>26.1691</v>
      </c>
      <c r="F853" s="4">
        <f>CHOOSE( CONTROL!$C$36, 26.886, 26.8843) * CHOOSE(CONTROL!$C$19, $D$11, 100%, $F$11)</f>
        <v>26.885999999999999</v>
      </c>
      <c r="G853" s="8">
        <f>CHOOSE( CONTROL!$C$36, 25.8406, 25.839) * CHOOSE( CONTROL!$C$19, $D$11, 100%, $F$11)</f>
        <v>25.840599999999998</v>
      </c>
      <c r="H853" s="4">
        <f>CHOOSE( CONTROL!$C$36, 26.7848, 26.7831) * CHOOSE(CONTROL!$C$19, $D$11, 100%, $F$11)</f>
        <v>26.784800000000001</v>
      </c>
      <c r="I853" s="8">
        <f>CHOOSE( CONTROL!$C$36, 25.4831, 25.4815) * CHOOSE(CONTROL!$C$19, $D$11, 100%, $F$11)</f>
        <v>25.4831</v>
      </c>
      <c r="J853" s="4">
        <f>CHOOSE( CONTROL!$C$36, 25.3385, 25.3369) * CHOOSE(CONTROL!$C$19, $D$11, 100%, $F$11)</f>
        <v>25.3385</v>
      </c>
      <c r="K853" s="4"/>
      <c r="L853" s="9">
        <v>29.7257</v>
      </c>
      <c r="M853" s="9">
        <v>11.6745</v>
      </c>
      <c r="N853" s="9">
        <v>4.7850000000000001</v>
      </c>
      <c r="O853" s="9">
        <v>0.36199999999999999</v>
      </c>
      <c r="P853" s="9">
        <v>1.2509999999999999</v>
      </c>
      <c r="Q853" s="9">
        <v>19.053000000000001</v>
      </c>
      <c r="R853" s="9"/>
      <c r="S853" s="11"/>
    </row>
    <row r="854" spans="1:19" ht="15.75">
      <c r="A854" s="13">
        <v>67145</v>
      </c>
      <c r="B854" s="8">
        <f>CHOOSE( CONTROL!$C$36, 27.3131, 27.312) * CHOOSE(CONTROL!$C$19, $D$11, 100%, $F$11)</f>
        <v>27.313099999999999</v>
      </c>
      <c r="C854" s="8">
        <f>CHOOSE( CONTROL!$C$36, 27.3184, 27.3173) * CHOOSE(CONTROL!$C$19, $D$11, 100%, $F$11)</f>
        <v>27.3184</v>
      </c>
      <c r="D854" s="8">
        <f>CHOOSE( CONTROL!$C$36, 27.3389, 27.3378) * CHOOSE( CONTROL!$C$19, $D$11, 100%, $F$11)</f>
        <v>27.338899999999999</v>
      </c>
      <c r="E854" s="12">
        <f>CHOOSE( CONTROL!$C$36, 27.3316, 27.3305) * CHOOSE( CONTROL!$C$19, $D$11, 100%, $F$11)</f>
        <v>27.331600000000002</v>
      </c>
      <c r="F854" s="4">
        <f>CHOOSE( CONTROL!$C$36, 28.0478, 28.0468) * CHOOSE(CONTROL!$C$19, $D$11, 100%, $F$11)</f>
        <v>28.047799999999999</v>
      </c>
      <c r="G854" s="8">
        <f>CHOOSE( CONTROL!$C$36, 26.9864, 26.9854) * CHOOSE( CONTROL!$C$19, $D$11, 100%, $F$11)</f>
        <v>26.9864</v>
      </c>
      <c r="H854" s="4">
        <f>CHOOSE( CONTROL!$C$36, 27.9304, 27.9293) * CHOOSE(CONTROL!$C$19, $D$11, 100%, $F$11)</f>
        <v>27.930399999999999</v>
      </c>
      <c r="I854" s="8">
        <f>CHOOSE( CONTROL!$C$36, 26.6097, 26.6086) * CHOOSE(CONTROL!$C$19, $D$11, 100%, $F$11)</f>
        <v>26.6097</v>
      </c>
      <c r="J854" s="4">
        <f>CHOOSE( CONTROL!$C$36, 26.4635, 26.4625) * CHOOSE(CONTROL!$C$19, $D$11, 100%, $F$11)</f>
        <v>26.4635</v>
      </c>
      <c r="K854" s="4"/>
      <c r="L854" s="9">
        <v>31.095300000000002</v>
      </c>
      <c r="M854" s="9">
        <v>12.063700000000001</v>
      </c>
      <c r="N854" s="9">
        <v>4.9444999999999997</v>
      </c>
      <c r="O854" s="9">
        <v>0.37409999999999999</v>
      </c>
      <c r="P854" s="9">
        <v>1.2927</v>
      </c>
      <c r="Q854" s="9">
        <v>19.688099999999999</v>
      </c>
      <c r="R854" s="9"/>
      <c r="S854" s="11"/>
    </row>
    <row r="855" spans="1:19" ht="15.75">
      <c r="A855" s="13">
        <v>67175</v>
      </c>
      <c r="B855" s="8">
        <f>CHOOSE( CONTROL!$C$36, 29.4582, 29.4572) * CHOOSE(CONTROL!$C$19, $D$11, 100%, $F$11)</f>
        <v>29.458200000000001</v>
      </c>
      <c r="C855" s="8">
        <f>CHOOSE( CONTROL!$C$36, 29.4633, 29.4623) * CHOOSE(CONTROL!$C$19, $D$11, 100%, $F$11)</f>
        <v>29.4633</v>
      </c>
      <c r="D855" s="8">
        <f>CHOOSE( CONTROL!$C$36, 29.4426, 29.4415) * CHOOSE( CONTROL!$C$19, $D$11, 100%, $F$11)</f>
        <v>29.442599999999999</v>
      </c>
      <c r="E855" s="12">
        <f>CHOOSE( CONTROL!$C$36, 29.4496, 29.4486) * CHOOSE( CONTROL!$C$19, $D$11, 100%, $F$11)</f>
        <v>29.4496</v>
      </c>
      <c r="F855" s="4">
        <f>CHOOSE( CONTROL!$C$36, 30.1175, 30.1164) * CHOOSE(CONTROL!$C$19, $D$11, 100%, $F$11)</f>
        <v>30.1175</v>
      </c>
      <c r="G855" s="8">
        <f>CHOOSE( CONTROL!$C$36, 29.082, 29.0809) * CHOOSE( CONTROL!$C$19, $D$11, 100%, $F$11)</f>
        <v>29.082000000000001</v>
      </c>
      <c r="H855" s="4">
        <f>CHOOSE( CONTROL!$C$36, 29.9712, 29.9701) * CHOOSE(CONTROL!$C$19, $D$11, 100%, $F$11)</f>
        <v>29.9712</v>
      </c>
      <c r="I855" s="8">
        <f>CHOOSE( CONTROL!$C$36, 28.7374, 28.7363) * CHOOSE(CONTROL!$C$19, $D$11, 100%, $F$11)</f>
        <v>28.737400000000001</v>
      </c>
      <c r="J855" s="4">
        <f>CHOOSE( CONTROL!$C$36, 28.5411, 28.54) * CHOOSE(CONTROL!$C$19, $D$11, 100%, $F$11)</f>
        <v>28.5411</v>
      </c>
      <c r="K855" s="4"/>
      <c r="L855" s="9">
        <v>28.360600000000002</v>
      </c>
      <c r="M855" s="9">
        <v>11.6745</v>
      </c>
      <c r="N855" s="9">
        <v>4.7850000000000001</v>
      </c>
      <c r="O855" s="9">
        <v>0.36199999999999999</v>
      </c>
      <c r="P855" s="9">
        <v>1.2509999999999999</v>
      </c>
      <c r="Q855" s="9">
        <v>19.053000000000001</v>
      </c>
      <c r="R855" s="9"/>
      <c r="S855" s="11"/>
    </row>
    <row r="856" spans="1:19" ht="15.75">
      <c r="A856" s="13">
        <v>67206</v>
      </c>
      <c r="B856" s="8">
        <f>CHOOSE( CONTROL!$C$36, 29.4046, 29.4035) * CHOOSE(CONTROL!$C$19, $D$11, 100%, $F$11)</f>
        <v>29.404599999999999</v>
      </c>
      <c r="C856" s="8">
        <f>CHOOSE( CONTROL!$C$36, 29.4097, 29.4086) * CHOOSE(CONTROL!$C$19, $D$11, 100%, $F$11)</f>
        <v>29.409700000000001</v>
      </c>
      <c r="D856" s="8">
        <f>CHOOSE( CONTROL!$C$36, 29.3903, 29.3893) * CHOOSE( CONTROL!$C$19, $D$11, 100%, $F$11)</f>
        <v>29.3903</v>
      </c>
      <c r="E856" s="12">
        <f>CHOOSE( CONTROL!$C$36, 29.3969, 29.3958) * CHOOSE( CONTROL!$C$19, $D$11, 100%, $F$11)</f>
        <v>29.396899999999999</v>
      </c>
      <c r="F856" s="4">
        <f>CHOOSE( CONTROL!$C$36, 30.0639, 30.0628) * CHOOSE(CONTROL!$C$19, $D$11, 100%, $F$11)</f>
        <v>30.0639</v>
      </c>
      <c r="G856" s="8">
        <f>CHOOSE( CONTROL!$C$36, 29.0301, 29.0291) * CHOOSE( CONTROL!$C$19, $D$11, 100%, $F$11)</f>
        <v>29.030100000000001</v>
      </c>
      <c r="H856" s="4">
        <f>CHOOSE( CONTROL!$C$36, 29.9183, 29.9172) * CHOOSE(CONTROL!$C$19, $D$11, 100%, $F$11)</f>
        <v>29.918299999999999</v>
      </c>
      <c r="I856" s="8">
        <f>CHOOSE( CONTROL!$C$36, 28.6897, 28.6887) * CHOOSE(CONTROL!$C$19, $D$11, 100%, $F$11)</f>
        <v>28.689699999999998</v>
      </c>
      <c r="J856" s="4">
        <f>CHOOSE( CONTROL!$C$36, 28.4892, 28.4881) * CHOOSE(CONTROL!$C$19, $D$11, 100%, $F$11)</f>
        <v>28.4892</v>
      </c>
      <c r="K856" s="4"/>
      <c r="L856" s="9">
        <v>29.306000000000001</v>
      </c>
      <c r="M856" s="9">
        <v>12.063700000000001</v>
      </c>
      <c r="N856" s="9">
        <v>4.9444999999999997</v>
      </c>
      <c r="O856" s="9">
        <v>0.37409999999999999</v>
      </c>
      <c r="P856" s="9">
        <v>1.2927</v>
      </c>
      <c r="Q856" s="9">
        <v>19.688099999999999</v>
      </c>
      <c r="R856" s="9"/>
      <c r="S856" s="11"/>
    </row>
    <row r="857" spans="1:19" ht="15.75">
      <c r="A857" s="13">
        <v>67237</v>
      </c>
      <c r="B857" s="8">
        <f>CHOOSE( CONTROL!$C$36, 30.2725, 30.2714) * CHOOSE(CONTROL!$C$19, $D$11, 100%, $F$11)</f>
        <v>30.272500000000001</v>
      </c>
      <c r="C857" s="8">
        <f>CHOOSE( CONTROL!$C$36, 30.2775, 30.2765) * CHOOSE(CONTROL!$C$19, $D$11, 100%, $F$11)</f>
        <v>30.2775</v>
      </c>
      <c r="D857" s="8">
        <f>CHOOSE( CONTROL!$C$36, 30.2788, 30.2778) * CHOOSE( CONTROL!$C$19, $D$11, 100%, $F$11)</f>
        <v>30.2788</v>
      </c>
      <c r="E857" s="12">
        <f>CHOOSE( CONTROL!$C$36, 30.2778, 30.2768) * CHOOSE( CONTROL!$C$19, $D$11, 100%, $F$11)</f>
        <v>30.277799999999999</v>
      </c>
      <c r="F857" s="4">
        <f>CHOOSE( CONTROL!$C$36, 30.9317, 30.9306) * CHOOSE(CONTROL!$C$19, $D$11, 100%, $F$11)</f>
        <v>30.931699999999999</v>
      </c>
      <c r="G857" s="8">
        <f>CHOOSE( CONTROL!$C$36, 29.8969, 29.8958) * CHOOSE( CONTROL!$C$19, $D$11, 100%, $F$11)</f>
        <v>29.896899999999999</v>
      </c>
      <c r="H857" s="4">
        <f>CHOOSE( CONTROL!$C$36, 30.774, 30.7729) * CHOOSE(CONTROL!$C$19, $D$11, 100%, $F$11)</f>
        <v>30.774000000000001</v>
      </c>
      <c r="I857" s="8">
        <f>CHOOSE( CONTROL!$C$36, 29.508, 29.5069) * CHOOSE(CONTROL!$C$19, $D$11, 100%, $F$11)</f>
        <v>29.507999999999999</v>
      </c>
      <c r="J857" s="4">
        <f>CHOOSE( CONTROL!$C$36, 29.3295, 29.3284) * CHOOSE(CONTROL!$C$19, $D$11, 100%, $F$11)</f>
        <v>29.329499999999999</v>
      </c>
      <c r="K857" s="4"/>
      <c r="L857" s="9">
        <v>29.306000000000001</v>
      </c>
      <c r="M857" s="9">
        <v>12.063700000000001</v>
      </c>
      <c r="N857" s="9">
        <v>4.9444999999999997</v>
      </c>
      <c r="O857" s="9">
        <v>0.37409999999999999</v>
      </c>
      <c r="P857" s="9">
        <v>1.2927</v>
      </c>
      <c r="Q857" s="9">
        <v>19.688099999999999</v>
      </c>
      <c r="R857" s="9"/>
      <c r="S857" s="11"/>
    </row>
    <row r="858" spans="1:19" ht="15.75">
      <c r="A858" s="13">
        <v>67266</v>
      </c>
      <c r="B858" s="8">
        <f>CHOOSE( CONTROL!$C$36, 28.3143, 28.3133) * CHOOSE(CONTROL!$C$19, $D$11, 100%, $F$11)</f>
        <v>28.314299999999999</v>
      </c>
      <c r="C858" s="8">
        <f>CHOOSE( CONTROL!$C$36, 28.3194, 28.3184) * CHOOSE(CONTROL!$C$19, $D$11, 100%, $F$11)</f>
        <v>28.319400000000002</v>
      </c>
      <c r="D858" s="8">
        <f>CHOOSE( CONTROL!$C$36, 28.3206, 28.3195) * CHOOSE( CONTROL!$C$19, $D$11, 100%, $F$11)</f>
        <v>28.320599999999999</v>
      </c>
      <c r="E858" s="12">
        <f>CHOOSE( CONTROL!$C$36, 28.3196, 28.3186) * CHOOSE( CONTROL!$C$19, $D$11, 100%, $F$11)</f>
        <v>28.319600000000001</v>
      </c>
      <c r="F858" s="4">
        <f>CHOOSE( CONTROL!$C$36, 28.9736, 28.9725) * CHOOSE(CONTROL!$C$19, $D$11, 100%, $F$11)</f>
        <v>28.973600000000001</v>
      </c>
      <c r="G858" s="8">
        <f>CHOOSE( CONTROL!$C$36, 27.966, 27.9649) * CHOOSE( CONTROL!$C$19, $D$11, 100%, $F$11)</f>
        <v>27.966000000000001</v>
      </c>
      <c r="H858" s="4">
        <f>CHOOSE( CONTROL!$C$36, 28.8432, 28.8422) * CHOOSE(CONTROL!$C$19, $D$11, 100%, $F$11)</f>
        <v>28.8432</v>
      </c>
      <c r="I858" s="8">
        <f>CHOOSE( CONTROL!$C$36, 27.6106, 27.6095) * CHOOSE(CONTROL!$C$19, $D$11, 100%, $F$11)</f>
        <v>27.610600000000002</v>
      </c>
      <c r="J858" s="4">
        <f>CHOOSE( CONTROL!$C$36, 27.4334, 27.4324) * CHOOSE(CONTROL!$C$19, $D$11, 100%, $F$11)</f>
        <v>27.433399999999999</v>
      </c>
      <c r="K858" s="4"/>
      <c r="L858" s="9">
        <v>27.415299999999998</v>
      </c>
      <c r="M858" s="9">
        <v>11.285299999999999</v>
      </c>
      <c r="N858" s="9">
        <v>4.6254999999999997</v>
      </c>
      <c r="O858" s="9">
        <v>0.34989999999999999</v>
      </c>
      <c r="P858" s="9">
        <v>1.2093</v>
      </c>
      <c r="Q858" s="9">
        <v>18.417899999999999</v>
      </c>
      <c r="R858" s="9"/>
      <c r="S858" s="11"/>
    </row>
    <row r="859" spans="1:19" ht="15.75">
      <c r="A859" s="13">
        <v>67297</v>
      </c>
      <c r="B859" s="8">
        <f>CHOOSE( CONTROL!$C$36, 27.7113, 27.7102) * CHOOSE(CONTROL!$C$19, $D$11, 100%, $F$11)</f>
        <v>27.711300000000001</v>
      </c>
      <c r="C859" s="8">
        <f>CHOOSE( CONTROL!$C$36, 27.7164, 27.7153) * CHOOSE(CONTROL!$C$19, $D$11, 100%, $F$11)</f>
        <v>27.7164</v>
      </c>
      <c r="D859" s="8">
        <f>CHOOSE( CONTROL!$C$36, 27.7169, 27.7158) * CHOOSE( CONTROL!$C$19, $D$11, 100%, $F$11)</f>
        <v>27.716899999999999</v>
      </c>
      <c r="E859" s="12">
        <f>CHOOSE( CONTROL!$C$36, 27.7162, 27.7151) * CHOOSE( CONTROL!$C$19, $D$11, 100%, $F$11)</f>
        <v>27.716200000000001</v>
      </c>
      <c r="F859" s="4">
        <f>CHOOSE( CONTROL!$C$36, 28.3705, 28.3694) * CHOOSE(CONTROL!$C$19, $D$11, 100%, $F$11)</f>
        <v>28.3705</v>
      </c>
      <c r="G859" s="8">
        <f>CHOOSE( CONTROL!$C$36, 27.3709, 27.3698) * CHOOSE( CONTROL!$C$19, $D$11, 100%, $F$11)</f>
        <v>27.370899999999999</v>
      </c>
      <c r="H859" s="4">
        <f>CHOOSE( CONTROL!$C$36, 28.2486, 28.2475) * CHOOSE(CONTROL!$C$19, $D$11, 100%, $F$11)</f>
        <v>28.2486</v>
      </c>
      <c r="I859" s="8">
        <f>CHOOSE( CONTROL!$C$36, 27.0243, 27.0233) * CHOOSE(CONTROL!$C$19, $D$11, 100%, $F$11)</f>
        <v>27.0243</v>
      </c>
      <c r="J859" s="4">
        <f>CHOOSE( CONTROL!$C$36, 26.8495, 26.8484) * CHOOSE(CONTROL!$C$19, $D$11, 100%, $F$11)</f>
        <v>26.849499999999999</v>
      </c>
      <c r="K859" s="4"/>
      <c r="L859" s="9">
        <v>29.306000000000001</v>
      </c>
      <c r="M859" s="9">
        <v>12.063700000000001</v>
      </c>
      <c r="N859" s="9">
        <v>4.9444999999999997</v>
      </c>
      <c r="O859" s="9">
        <v>0.37409999999999999</v>
      </c>
      <c r="P859" s="9">
        <v>1.2927</v>
      </c>
      <c r="Q859" s="9">
        <v>19.688099999999999</v>
      </c>
      <c r="R859" s="9"/>
      <c r="S859" s="11"/>
    </row>
    <row r="860" spans="1:19" ht="15.75">
      <c r="A860" s="13">
        <v>67327</v>
      </c>
      <c r="B860" s="8">
        <f>CHOOSE( CONTROL!$C$36, 28.1334, 28.1324) * CHOOSE(CONTROL!$C$19, $D$11, 100%, $F$11)</f>
        <v>28.133400000000002</v>
      </c>
      <c r="C860" s="8">
        <f>CHOOSE( CONTROL!$C$36, 28.138, 28.1369) * CHOOSE(CONTROL!$C$19, $D$11, 100%, $F$11)</f>
        <v>28.138000000000002</v>
      </c>
      <c r="D860" s="8">
        <f>CHOOSE( CONTROL!$C$36, 28.1584, 28.1573) * CHOOSE( CONTROL!$C$19, $D$11, 100%, $F$11)</f>
        <v>28.1584</v>
      </c>
      <c r="E860" s="12">
        <f>CHOOSE( CONTROL!$C$36, 28.1511, 28.15) * CHOOSE( CONTROL!$C$19, $D$11, 100%, $F$11)</f>
        <v>28.1511</v>
      </c>
      <c r="F860" s="4">
        <f>CHOOSE( CONTROL!$C$36, 28.8678, 28.8668) * CHOOSE(CONTROL!$C$19, $D$11, 100%, $F$11)</f>
        <v>28.867799999999999</v>
      </c>
      <c r="G860" s="8">
        <f>CHOOSE( CONTROL!$C$36, 27.7945, 27.7935) * CHOOSE( CONTROL!$C$19, $D$11, 100%, $F$11)</f>
        <v>27.794499999999999</v>
      </c>
      <c r="H860" s="4">
        <f>CHOOSE( CONTROL!$C$36, 28.7389, 28.7379) * CHOOSE(CONTROL!$C$19, $D$11, 100%, $F$11)</f>
        <v>28.738900000000001</v>
      </c>
      <c r="I860" s="8">
        <f>CHOOSE( CONTROL!$C$36, 27.4021, 27.401) * CHOOSE(CONTROL!$C$19, $D$11, 100%, $F$11)</f>
        <v>27.402100000000001</v>
      </c>
      <c r="J860" s="4">
        <f>CHOOSE( CONTROL!$C$36, 27.2575, 27.2565) * CHOOSE(CONTROL!$C$19, $D$11, 100%, $F$11)</f>
        <v>27.2575</v>
      </c>
      <c r="K860" s="4"/>
      <c r="L860" s="9">
        <v>30.092199999999998</v>
      </c>
      <c r="M860" s="9">
        <v>11.6745</v>
      </c>
      <c r="N860" s="9">
        <v>4.7850000000000001</v>
      </c>
      <c r="O860" s="9">
        <v>0.36199999999999999</v>
      </c>
      <c r="P860" s="9">
        <v>1.2509999999999999</v>
      </c>
      <c r="Q860" s="9">
        <v>19.053000000000001</v>
      </c>
      <c r="R860" s="9"/>
      <c r="S860" s="11"/>
    </row>
    <row r="861" spans="1:19" ht="15.75">
      <c r="A861" s="13">
        <v>67358</v>
      </c>
      <c r="B861" s="8">
        <f>CHOOSE( CONTROL!$C$36, 28.8854, 28.8838) * CHOOSE(CONTROL!$C$19, $D$11, 100%, $F$11)</f>
        <v>28.885400000000001</v>
      </c>
      <c r="C861" s="8">
        <f>CHOOSE( CONTROL!$C$36, 28.8934, 28.8918) * CHOOSE(CONTROL!$C$19, $D$11, 100%, $F$11)</f>
        <v>28.8934</v>
      </c>
      <c r="D861" s="8">
        <f>CHOOSE( CONTROL!$C$36, 28.9076, 28.906) * CHOOSE( CONTROL!$C$19, $D$11, 100%, $F$11)</f>
        <v>28.907599999999999</v>
      </c>
      <c r="E861" s="12">
        <f>CHOOSE( CONTROL!$C$36, 28.9012, 28.8996) * CHOOSE( CONTROL!$C$19, $D$11, 100%, $F$11)</f>
        <v>28.901199999999999</v>
      </c>
      <c r="F861" s="4">
        <f>CHOOSE( CONTROL!$C$36, 29.6185, 29.6168) * CHOOSE(CONTROL!$C$19, $D$11, 100%, $F$11)</f>
        <v>29.618500000000001</v>
      </c>
      <c r="G861" s="8">
        <f>CHOOSE( CONTROL!$C$36, 28.5346, 28.533) * CHOOSE( CONTROL!$C$19, $D$11, 100%, $F$11)</f>
        <v>28.534600000000001</v>
      </c>
      <c r="H861" s="4">
        <f>CHOOSE( CONTROL!$C$36, 29.4791, 29.4775) * CHOOSE(CONTROL!$C$19, $D$11, 100%, $F$11)</f>
        <v>29.479099999999999</v>
      </c>
      <c r="I861" s="8">
        <f>CHOOSE( CONTROL!$C$36, 28.1289, 28.1273) * CHOOSE(CONTROL!$C$19, $D$11, 100%, $F$11)</f>
        <v>28.128900000000002</v>
      </c>
      <c r="J861" s="4">
        <f>CHOOSE( CONTROL!$C$36, 27.9844, 27.9827) * CHOOSE(CONTROL!$C$19, $D$11, 100%, $F$11)</f>
        <v>27.984400000000001</v>
      </c>
      <c r="K861" s="4"/>
      <c r="L861" s="9">
        <v>30.7165</v>
      </c>
      <c r="M861" s="9">
        <v>12.063700000000001</v>
      </c>
      <c r="N861" s="9">
        <v>4.9444999999999997</v>
      </c>
      <c r="O861" s="9">
        <v>0.37409999999999999</v>
      </c>
      <c r="P861" s="9">
        <v>1.2927</v>
      </c>
      <c r="Q861" s="9">
        <v>19.688099999999999</v>
      </c>
      <c r="R861" s="9"/>
      <c r="S861" s="11"/>
    </row>
    <row r="862" spans="1:19" ht="15.75">
      <c r="A862" s="13">
        <v>67388</v>
      </c>
      <c r="B862" s="8">
        <f>CHOOSE( CONTROL!$C$36, 28.4208, 28.4191) * CHOOSE(CONTROL!$C$19, $D$11, 100%, $F$11)</f>
        <v>28.4208</v>
      </c>
      <c r="C862" s="8">
        <f>CHOOSE( CONTROL!$C$36, 28.4288, 28.4271) * CHOOSE(CONTROL!$C$19, $D$11, 100%, $F$11)</f>
        <v>28.428799999999999</v>
      </c>
      <c r="D862" s="8">
        <f>CHOOSE( CONTROL!$C$36, 28.4432, 28.4415) * CHOOSE( CONTROL!$C$19, $D$11, 100%, $F$11)</f>
        <v>28.443200000000001</v>
      </c>
      <c r="E862" s="12">
        <f>CHOOSE( CONTROL!$C$36, 28.4368, 28.4351) * CHOOSE( CONTROL!$C$19, $D$11, 100%, $F$11)</f>
        <v>28.436800000000002</v>
      </c>
      <c r="F862" s="4">
        <f>CHOOSE( CONTROL!$C$36, 29.1538, 29.1522) * CHOOSE(CONTROL!$C$19, $D$11, 100%, $F$11)</f>
        <v>29.1538</v>
      </c>
      <c r="G862" s="8">
        <f>CHOOSE( CONTROL!$C$36, 28.0766, 28.075) * CHOOSE( CONTROL!$C$19, $D$11, 100%, $F$11)</f>
        <v>28.076599999999999</v>
      </c>
      <c r="H862" s="4">
        <f>CHOOSE( CONTROL!$C$36, 29.0209, 29.0193) * CHOOSE(CONTROL!$C$19, $D$11, 100%, $F$11)</f>
        <v>29.020900000000001</v>
      </c>
      <c r="I862" s="8">
        <f>CHOOSE( CONTROL!$C$36, 27.6794, 27.6778) * CHOOSE(CONTROL!$C$19, $D$11, 100%, $F$11)</f>
        <v>27.679400000000001</v>
      </c>
      <c r="J862" s="4">
        <f>CHOOSE( CONTROL!$C$36, 27.5345, 27.5329) * CHOOSE(CONTROL!$C$19, $D$11, 100%, $F$11)</f>
        <v>27.534500000000001</v>
      </c>
      <c r="K862" s="4"/>
      <c r="L862" s="9">
        <v>29.7257</v>
      </c>
      <c r="M862" s="9">
        <v>11.6745</v>
      </c>
      <c r="N862" s="9">
        <v>4.7850000000000001</v>
      </c>
      <c r="O862" s="9">
        <v>0.36199999999999999</v>
      </c>
      <c r="P862" s="9">
        <v>1.2509999999999999</v>
      </c>
      <c r="Q862" s="9">
        <v>19.053000000000001</v>
      </c>
      <c r="R862" s="9"/>
      <c r="S862" s="11"/>
    </row>
    <row r="863" spans="1:19" ht="15.75">
      <c r="A863" s="13">
        <v>67419</v>
      </c>
      <c r="B863" s="8">
        <f>CHOOSE( CONTROL!$C$36, 29.6443, 29.6427) * CHOOSE(CONTROL!$C$19, $D$11, 100%, $F$11)</f>
        <v>29.644300000000001</v>
      </c>
      <c r="C863" s="8">
        <f>CHOOSE( CONTROL!$C$36, 29.6523, 29.6507) * CHOOSE(CONTROL!$C$19, $D$11, 100%, $F$11)</f>
        <v>29.6523</v>
      </c>
      <c r="D863" s="8">
        <f>CHOOSE( CONTROL!$C$36, 29.667, 29.6653) * CHOOSE( CONTROL!$C$19, $D$11, 100%, $F$11)</f>
        <v>29.667000000000002</v>
      </c>
      <c r="E863" s="12">
        <f>CHOOSE( CONTROL!$C$36, 29.6605, 29.6588) * CHOOSE( CONTROL!$C$19, $D$11, 100%, $F$11)</f>
        <v>29.660499999999999</v>
      </c>
      <c r="F863" s="4">
        <f>CHOOSE( CONTROL!$C$36, 30.3774, 30.3757) * CHOOSE(CONTROL!$C$19, $D$11, 100%, $F$11)</f>
        <v>30.377400000000002</v>
      </c>
      <c r="G863" s="8">
        <f>CHOOSE( CONTROL!$C$36, 29.2833, 29.2817) * CHOOSE( CONTROL!$C$19, $D$11, 100%, $F$11)</f>
        <v>29.283300000000001</v>
      </c>
      <c r="H863" s="4">
        <f>CHOOSE( CONTROL!$C$36, 30.2274, 30.2258) * CHOOSE(CONTROL!$C$19, $D$11, 100%, $F$11)</f>
        <v>30.227399999999999</v>
      </c>
      <c r="I863" s="8">
        <f>CHOOSE( CONTROL!$C$36, 28.8656, 28.864) * CHOOSE(CONTROL!$C$19, $D$11, 100%, $F$11)</f>
        <v>28.865600000000001</v>
      </c>
      <c r="J863" s="4">
        <f>CHOOSE( CONTROL!$C$36, 28.7192, 28.7176) * CHOOSE(CONTROL!$C$19, $D$11, 100%, $F$11)</f>
        <v>28.719200000000001</v>
      </c>
      <c r="K863" s="4"/>
      <c r="L863" s="9">
        <v>30.7165</v>
      </c>
      <c r="M863" s="9">
        <v>12.063700000000001</v>
      </c>
      <c r="N863" s="9">
        <v>4.9444999999999997</v>
      </c>
      <c r="O863" s="9">
        <v>0.37409999999999999</v>
      </c>
      <c r="P863" s="9">
        <v>1.2927</v>
      </c>
      <c r="Q863" s="9">
        <v>19.688099999999999</v>
      </c>
      <c r="R863" s="9"/>
      <c r="S863" s="11"/>
    </row>
    <row r="864" spans="1:19" ht="15.75">
      <c r="A864" s="13">
        <v>67450</v>
      </c>
      <c r="B864" s="8">
        <f>CHOOSE( CONTROL!$C$36, 27.355, 27.3533) * CHOOSE(CONTROL!$C$19, $D$11, 100%, $F$11)</f>
        <v>27.355</v>
      </c>
      <c r="C864" s="8">
        <f>CHOOSE( CONTROL!$C$36, 27.363, 27.3613) * CHOOSE(CONTROL!$C$19, $D$11, 100%, $F$11)</f>
        <v>27.363</v>
      </c>
      <c r="D864" s="8">
        <f>CHOOSE( CONTROL!$C$36, 27.3777, 27.376) * CHOOSE( CONTROL!$C$19, $D$11, 100%, $F$11)</f>
        <v>27.377700000000001</v>
      </c>
      <c r="E864" s="12">
        <f>CHOOSE( CONTROL!$C$36, 27.3712, 27.3695) * CHOOSE( CONTROL!$C$19, $D$11, 100%, $F$11)</f>
        <v>27.371200000000002</v>
      </c>
      <c r="F864" s="4">
        <f>CHOOSE( CONTROL!$C$36, 28.088, 28.0863) * CHOOSE(CONTROL!$C$19, $D$11, 100%, $F$11)</f>
        <v>28.088000000000001</v>
      </c>
      <c r="G864" s="8">
        <f>CHOOSE( CONTROL!$C$36, 27.0259, 27.0243) * CHOOSE( CONTROL!$C$19, $D$11, 100%, $F$11)</f>
        <v>27.0259</v>
      </c>
      <c r="H864" s="4">
        <f>CHOOSE( CONTROL!$C$36, 27.97, 27.9684) * CHOOSE(CONTROL!$C$19, $D$11, 100%, $F$11)</f>
        <v>27.97</v>
      </c>
      <c r="I864" s="8">
        <f>CHOOSE( CONTROL!$C$36, 26.6479, 26.6463) * CHOOSE(CONTROL!$C$19, $D$11, 100%, $F$11)</f>
        <v>26.6479</v>
      </c>
      <c r="J864" s="4">
        <f>CHOOSE( CONTROL!$C$36, 26.5024, 26.5008) * CHOOSE(CONTROL!$C$19, $D$11, 100%, $F$11)</f>
        <v>26.502400000000002</v>
      </c>
      <c r="K864" s="4"/>
      <c r="L864" s="9">
        <v>30.7165</v>
      </c>
      <c r="M864" s="9">
        <v>12.063700000000001</v>
      </c>
      <c r="N864" s="9">
        <v>4.9444999999999997</v>
      </c>
      <c r="O864" s="9">
        <v>0.37409999999999999</v>
      </c>
      <c r="P864" s="9">
        <v>1.2927</v>
      </c>
      <c r="Q864" s="9">
        <v>19.688099999999999</v>
      </c>
      <c r="R864" s="9"/>
      <c r="S864" s="11"/>
    </row>
    <row r="865" spans="1:19" ht="15.75">
      <c r="A865" s="13">
        <v>67480</v>
      </c>
      <c r="B865" s="8">
        <f>CHOOSE( CONTROL!$C$36, 26.7817, 26.78) * CHOOSE(CONTROL!$C$19, $D$11, 100%, $F$11)</f>
        <v>26.781700000000001</v>
      </c>
      <c r="C865" s="8">
        <f>CHOOSE( CONTROL!$C$36, 26.7897, 26.788) * CHOOSE(CONTROL!$C$19, $D$11, 100%, $F$11)</f>
        <v>26.7897</v>
      </c>
      <c r="D865" s="8">
        <f>CHOOSE( CONTROL!$C$36, 26.8043, 26.8026) * CHOOSE( CONTROL!$C$19, $D$11, 100%, $F$11)</f>
        <v>26.804300000000001</v>
      </c>
      <c r="E865" s="12">
        <f>CHOOSE( CONTROL!$C$36, 26.7978, 26.7961) * CHOOSE( CONTROL!$C$19, $D$11, 100%, $F$11)</f>
        <v>26.797799999999999</v>
      </c>
      <c r="F865" s="4">
        <f>CHOOSE( CONTROL!$C$36, 27.5147, 27.5131) * CHOOSE(CONTROL!$C$19, $D$11, 100%, $F$11)</f>
        <v>27.514700000000001</v>
      </c>
      <c r="G865" s="8">
        <f>CHOOSE( CONTROL!$C$36, 26.4605, 26.4589) * CHOOSE( CONTROL!$C$19, $D$11, 100%, $F$11)</f>
        <v>26.4605</v>
      </c>
      <c r="H865" s="4">
        <f>CHOOSE( CONTROL!$C$36, 27.4047, 27.4031) * CHOOSE(CONTROL!$C$19, $D$11, 100%, $F$11)</f>
        <v>27.404699999999998</v>
      </c>
      <c r="I865" s="8">
        <f>CHOOSE( CONTROL!$C$36, 26.0922, 26.0906) * CHOOSE(CONTROL!$C$19, $D$11, 100%, $F$11)</f>
        <v>26.092199999999998</v>
      </c>
      <c r="J865" s="4">
        <f>CHOOSE( CONTROL!$C$36, 25.9473, 25.9457) * CHOOSE(CONTROL!$C$19, $D$11, 100%, $F$11)</f>
        <v>25.947299999999998</v>
      </c>
      <c r="K865" s="4"/>
      <c r="L865" s="9">
        <v>29.7257</v>
      </c>
      <c r="M865" s="9">
        <v>11.6745</v>
      </c>
      <c r="N865" s="9">
        <v>4.7850000000000001</v>
      </c>
      <c r="O865" s="9">
        <v>0.36199999999999999</v>
      </c>
      <c r="P865" s="9">
        <v>1.2509999999999999</v>
      </c>
      <c r="Q865" s="9">
        <v>19.053000000000001</v>
      </c>
      <c r="R865" s="9"/>
      <c r="S865" s="11"/>
    </row>
    <row r="866" spans="1:19" ht="15.75">
      <c r="A866" s="13">
        <v>67511</v>
      </c>
      <c r="B866" s="8">
        <f>CHOOSE( CONTROL!$C$36, 27.9697, 27.9686) * CHOOSE(CONTROL!$C$19, $D$11, 100%, $F$11)</f>
        <v>27.9697</v>
      </c>
      <c r="C866" s="8">
        <f>CHOOSE( CONTROL!$C$36, 27.9751, 27.974) * CHOOSE(CONTROL!$C$19, $D$11, 100%, $F$11)</f>
        <v>27.975100000000001</v>
      </c>
      <c r="D866" s="8">
        <f>CHOOSE( CONTROL!$C$36, 27.9956, 27.9945) * CHOOSE( CONTROL!$C$19, $D$11, 100%, $F$11)</f>
        <v>27.9956</v>
      </c>
      <c r="E866" s="12">
        <f>CHOOSE( CONTROL!$C$36, 27.9883, 27.9872) * CHOOSE( CONTROL!$C$19, $D$11, 100%, $F$11)</f>
        <v>27.988299999999999</v>
      </c>
      <c r="F866" s="4">
        <f>CHOOSE( CONTROL!$C$36, 28.7045, 28.7034) * CHOOSE(CONTROL!$C$19, $D$11, 100%, $F$11)</f>
        <v>28.704499999999999</v>
      </c>
      <c r="G866" s="8">
        <f>CHOOSE( CONTROL!$C$36, 27.6339, 27.6328) * CHOOSE( CONTROL!$C$19, $D$11, 100%, $F$11)</f>
        <v>27.633900000000001</v>
      </c>
      <c r="H866" s="4">
        <f>CHOOSE( CONTROL!$C$36, 28.5779, 28.5768) * CHOOSE(CONTROL!$C$19, $D$11, 100%, $F$11)</f>
        <v>28.5779</v>
      </c>
      <c r="I866" s="8">
        <f>CHOOSE( CONTROL!$C$36, 27.2458, 27.2448) * CHOOSE(CONTROL!$C$19, $D$11, 100%, $F$11)</f>
        <v>27.245799999999999</v>
      </c>
      <c r="J866" s="4">
        <f>CHOOSE( CONTROL!$C$36, 27.0994, 27.0983) * CHOOSE(CONTROL!$C$19, $D$11, 100%, $F$11)</f>
        <v>27.099399999999999</v>
      </c>
      <c r="K866" s="4"/>
      <c r="L866" s="9">
        <v>31.095300000000002</v>
      </c>
      <c r="M866" s="9">
        <v>12.063700000000001</v>
      </c>
      <c r="N866" s="9">
        <v>4.9444999999999997</v>
      </c>
      <c r="O866" s="9">
        <v>0.37409999999999999</v>
      </c>
      <c r="P866" s="9">
        <v>1.2927</v>
      </c>
      <c r="Q866" s="9">
        <v>19.688099999999999</v>
      </c>
      <c r="R866" s="9"/>
      <c r="S866" s="11"/>
    </row>
    <row r="867" spans="1:19" ht="15.75">
      <c r="A867" s="13">
        <v>67541</v>
      </c>
      <c r="B867" s="8">
        <f>CHOOSE( CONTROL!$C$36, 30.1664, 30.1653) * CHOOSE(CONTROL!$C$19, $D$11, 100%, $F$11)</f>
        <v>30.166399999999999</v>
      </c>
      <c r="C867" s="8">
        <f>CHOOSE( CONTROL!$C$36, 30.1715, 30.1704) * CHOOSE(CONTROL!$C$19, $D$11, 100%, $F$11)</f>
        <v>30.171500000000002</v>
      </c>
      <c r="D867" s="8">
        <f>CHOOSE( CONTROL!$C$36, 30.1508, 30.1497) * CHOOSE( CONTROL!$C$19, $D$11, 100%, $F$11)</f>
        <v>30.1508</v>
      </c>
      <c r="E867" s="12">
        <f>CHOOSE( CONTROL!$C$36, 30.1578, 30.1567) * CHOOSE( CONTROL!$C$19, $D$11, 100%, $F$11)</f>
        <v>30.157800000000002</v>
      </c>
      <c r="F867" s="4">
        <f>CHOOSE( CONTROL!$C$36, 30.8257, 30.8246) * CHOOSE(CONTROL!$C$19, $D$11, 100%, $F$11)</f>
        <v>30.825700000000001</v>
      </c>
      <c r="G867" s="8">
        <f>CHOOSE( CONTROL!$C$36, 29.7803, 29.7793) * CHOOSE( CONTROL!$C$19, $D$11, 100%, $F$11)</f>
        <v>29.7803</v>
      </c>
      <c r="H867" s="4">
        <f>CHOOSE( CONTROL!$C$36, 30.6695, 30.6684) * CHOOSE(CONTROL!$C$19, $D$11, 100%, $F$11)</f>
        <v>30.669499999999999</v>
      </c>
      <c r="I867" s="8">
        <f>CHOOSE( CONTROL!$C$36, 29.4235, 29.4224) * CHOOSE(CONTROL!$C$19, $D$11, 100%, $F$11)</f>
        <v>29.423500000000001</v>
      </c>
      <c r="J867" s="4">
        <f>CHOOSE( CONTROL!$C$36, 29.2268, 29.2258) * CHOOSE(CONTROL!$C$19, $D$11, 100%, $F$11)</f>
        <v>29.226800000000001</v>
      </c>
      <c r="K867" s="4"/>
      <c r="L867" s="9">
        <v>28.360600000000002</v>
      </c>
      <c r="M867" s="9">
        <v>11.6745</v>
      </c>
      <c r="N867" s="9">
        <v>4.7850000000000001</v>
      </c>
      <c r="O867" s="9">
        <v>0.36199999999999999</v>
      </c>
      <c r="P867" s="9">
        <v>1.2509999999999999</v>
      </c>
      <c r="Q867" s="9">
        <v>19.053000000000001</v>
      </c>
      <c r="R867" s="9"/>
      <c r="S867" s="11"/>
    </row>
    <row r="868" spans="1:19" ht="15.75">
      <c r="A868" s="13">
        <v>67572</v>
      </c>
      <c r="B868" s="8">
        <f>CHOOSE( CONTROL!$C$36, 30.1115, 30.1105) * CHOOSE(CONTROL!$C$19, $D$11, 100%, $F$11)</f>
        <v>30.111499999999999</v>
      </c>
      <c r="C868" s="8">
        <f>CHOOSE( CONTROL!$C$36, 30.1166, 30.1156) * CHOOSE(CONTROL!$C$19, $D$11, 100%, $F$11)</f>
        <v>30.116599999999998</v>
      </c>
      <c r="D868" s="8">
        <f>CHOOSE( CONTROL!$C$36, 30.0972, 30.0962) * CHOOSE( CONTROL!$C$19, $D$11, 100%, $F$11)</f>
        <v>30.097200000000001</v>
      </c>
      <c r="E868" s="12">
        <f>CHOOSE( CONTROL!$C$36, 30.1038, 30.1028) * CHOOSE( CONTROL!$C$19, $D$11, 100%, $F$11)</f>
        <v>30.1038</v>
      </c>
      <c r="F868" s="4">
        <f>CHOOSE( CONTROL!$C$36, 30.7708, 30.7697) * CHOOSE(CONTROL!$C$19, $D$11, 100%, $F$11)</f>
        <v>30.770800000000001</v>
      </c>
      <c r="G868" s="8">
        <f>CHOOSE( CONTROL!$C$36, 29.7272, 29.7261) * CHOOSE( CONTROL!$C$19, $D$11, 100%, $F$11)</f>
        <v>29.7272</v>
      </c>
      <c r="H868" s="4">
        <f>CHOOSE( CONTROL!$C$36, 30.6153, 30.6143) * CHOOSE(CONTROL!$C$19, $D$11, 100%, $F$11)</f>
        <v>30.615300000000001</v>
      </c>
      <c r="I868" s="8">
        <f>CHOOSE( CONTROL!$C$36, 29.3746, 29.3735) * CHOOSE(CONTROL!$C$19, $D$11, 100%, $F$11)</f>
        <v>29.374600000000001</v>
      </c>
      <c r="J868" s="4">
        <f>CHOOSE( CONTROL!$C$36, 29.1737, 29.1726) * CHOOSE(CONTROL!$C$19, $D$11, 100%, $F$11)</f>
        <v>29.1737</v>
      </c>
      <c r="K868" s="4"/>
      <c r="L868" s="9">
        <v>29.306000000000001</v>
      </c>
      <c r="M868" s="9">
        <v>12.063700000000001</v>
      </c>
      <c r="N868" s="9">
        <v>4.9444999999999997</v>
      </c>
      <c r="O868" s="9">
        <v>0.37409999999999999</v>
      </c>
      <c r="P868" s="9">
        <v>1.2927</v>
      </c>
      <c r="Q868" s="9">
        <v>19.688099999999999</v>
      </c>
      <c r="R868" s="9"/>
      <c r="S868" s="11"/>
    </row>
    <row r="869" spans="1:19" ht="15.75">
      <c r="A869" s="13">
        <v>67603</v>
      </c>
      <c r="B869" s="8">
        <f>CHOOSE( CONTROL!$C$36, 31.0002, 30.9991) * CHOOSE(CONTROL!$C$19, $D$11, 100%, $F$11)</f>
        <v>31.0002</v>
      </c>
      <c r="C869" s="8">
        <f>CHOOSE( CONTROL!$C$36, 31.0053, 31.0042) * CHOOSE(CONTROL!$C$19, $D$11, 100%, $F$11)</f>
        <v>31.005299999999998</v>
      </c>
      <c r="D869" s="8">
        <f>CHOOSE( CONTROL!$C$36, 31.0066, 31.0055) * CHOOSE( CONTROL!$C$19, $D$11, 100%, $F$11)</f>
        <v>31.006599999999999</v>
      </c>
      <c r="E869" s="12">
        <f>CHOOSE( CONTROL!$C$36, 31.0056, 31.0045) * CHOOSE( CONTROL!$C$19, $D$11, 100%, $F$11)</f>
        <v>31.005600000000001</v>
      </c>
      <c r="F869" s="4">
        <f>CHOOSE( CONTROL!$C$36, 31.6595, 31.6584) * CHOOSE(CONTROL!$C$19, $D$11, 100%, $F$11)</f>
        <v>31.659500000000001</v>
      </c>
      <c r="G869" s="8">
        <f>CHOOSE( CONTROL!$C$36, 30.6145, 30.6134) * CHOOSE( CONTROL!$C$19, $D$11, 100%, $F$11)</f>
        <v>30.6145</v>
      </c>
      <c r="H869" s="4">
        <f>CHOOSE( CONTROL!$C$36, 31.4916, 31.4905) * CHOOSE(CONTROL!$C$19, $D$11, 100%, $F$11)</f>
        <v>31.491599999999998</v>
      </c>
      <c r="I869" s="8">
        <f>CHOOSE( CONTROL!$C$36, 30.213, 30.212) * CHOOSE(CONTROL!$C$19, $D$11, 100%, $F$11)</f>
        <v>30.213000000000001</v>
      </c>
      <c r="J869" s="4">
        <f>CHOOSE( CONTROL!$C$36, 30.0342, 30.0331) * CHOOSE(CONTROL!$C$19, $D$11, 100%, $F$11)</f>
        <v>30.034199999999998</v>
      </c>
      <c r="K869" s="4"/>
      <c r="L869" s="9">
        <v>29.306000000000001</v>
      </c>
      <c r="M869" s="9">
        <v>12.063700000000001</v>
      </c>
      <c r="N869" s="9">
        <v>4.9444999999999997</v>
      </c>
      <c r="O869" s="9">
        <v>0.37409999999999999</v>
      </c>
      <c r="P869" s="9">
        <v>1.2927</v>
      </c>
      <c r="Q869" s="9">
        <v>19.688099999999999</v>
      </c>
      <c r="R869" s="9"/>
      <c r="S869" s="11"/>
    </row>
    <row r="870" spans="1:19" ht="15.75">
      <c r="A870" s="13">
        <v>67631</v>
      </c>
      <c r="B870" s="8">
        <f>CHOOSE( CONTROL!$C$36, 28.9951, 28.994) * CHOOSE(CONTROL!$C$19, $D$11, 100%, $F$11)</f>
        <v>28.995100000000001</v>
      </c>
      <c r="C870" s="8">
        <f>CHOOSE( CONTROL!$C$36, 29.0002, 28.9991) * CHOOSE(CONTROL!$C$19, $D$11, 100%, $F$11)</f>
        <v>29.0002</v>
      </c>
      <c r="D870" s="8">
        <f>CHOOSE( CONTROL!$C$36, 29.0013, 29.0002) * CHOOSE( CONTROL!$C$19, $D$11, 100%, $F$11)</f>
        <v>29.001300000000001</v>
      </c>
      <c r="E870" s="12">
        <f>CHOOSE( CONTROL!$C$36, 29.0004, 28.9993) * CHOOSE( CONTROL!$C$19, $D$11, 100%, $F$11)</f>
        <v>29.000399999999999</v>
      </c>
      <c r="F870" s="4">
        <f>CHOOSE( CONTROL!$C$36, 29.6543, 29.6532) * CHOOSE(CONTROL!$C$19, $D$11, 100%, $F$11)</f>
        <v>29.654299999999999</v>
      </c>
      <c r="G870" s="8">
        <f>CHOOSE( CONTROL!$C$36, 28.6372, 28.6362) * CHOOSE( CONTROL!$C$19, $D$11, 100%, $F$11)</f>
        <v>28.6372</v>
      </c>
      <c r="H870" s="4">
        <f>CHOOSE( CONTROL!$C$36, 29.5144, 29.5134) * CHOOSE(CONTROL!$C$19, $D$11, 100%, $F$11)</f>
        <v>29.514399999999998</v>
      </c>
      <c r="I870" s="8">
        <f>CHOOSE( CONTROL!$C$36, 28.27, 28.269) * CHOOSE(CONTROL!$C$19, $D$11, 100%, $F$11)</f>
        <v>28.27</v>
      </c>
      <c r="J870" s="4">
        <f>CHOOSE( CONTROL!$C$36, 28.0926, 28.0915) * CHOOSE(CONTROL!$C$19, $D$11, 100%, $F$11)</f>
        <v>28.092600000000001</v>
      </c>
      <c r="K870" s="4"/>
      <c r="L870" s="9">
        <v>26.469899999999999</v>
      </c>
      <c r="M870" s="9">
        <v>10.8962</v>
      </c>
      <c r="N870" s="9">
        <v>4.4660000000000002</v>
      </c>
      <c r="O870" s="9">
        <v>0.33789999999999998</v>
      </c>
      <c r="P870" s="9">
        <v>1.1676</v>
      </c>
      <c r="Q870" s="9">
        <v>17.782800000000002</v>
      </c>
      <c r="R870" s="9"/>
      <c r="S870" s="11"/>
    </row>
    <row r="871" spans="1:19" ht="15.75">
      <c r="A871" s="13">
        <v>67662</v>
      </c>
      <c r="B871" s="8">
        <f>CHOOSE( CONTROL!$C$36, 28.3775, 28.3764) * CHOOSE(CONTROL!$C$19, $D$11, 100%, $F$11)</f>
        <v>28.377500000000001</v>
      </c>
      <c r="C871" s="8">
        <f>CHOOSE( CONTROL!$C$36, 28.3826, 28.3815) * CHOOSE(CONTROL!$C$19, $D$11, 100%, $F$11)</f>
        <v>28.3826</v>
      </c>
      <c r="D871" s="8">
        <f>CHOOSE( CONTROL!$C$36, 28.3831, 28.382) * CHOOSE( CONTROL!$C$19, $D$11, 100%, $F$11)</f>
        <v>28.383099999999999</v>
      </c>
      <c r="E871" s="12">
        <f>CHOOSE( CONTROL!$C$36, 28.3824, 28.3813) * CHOOSE( CONTROL!$C$19, $D$11, 100%, $F$11)</f>
        <v>28.382400000000001</v>
      </c>
      <c r="F871" s="4">
        <f>CHOOSE( CONTROL!$C$36, 29.0367, 29.0356) * CHOOSE(CONTROL!$C$19, $D$11, 100%, $F$11)</f>
        <v>29.0367</v>
      </c>
      <c r="G871" s="8">
        <f>CHOOSE( CONTROL!$C$36, 28.0278, 28.0267) * CHOOSE( CONTROL!$C$19, $D$11, 100%, $F$11)</f>
        <v>28.027799999999999</v>
      </c>
      <c r="H871" s="4">
        <f>CHOOSE( CONTROL!$C$36, 28.9055, 28.9044) * CHOOSE(CONTROL!$C$19, $D$11, 100%, $F$11)</f>
        <v>28.9055</v>
      </c>
      <c r="I871" s="8">
        <f>CHOOSE( CONTROL!$C$36, 27.6697, 27.6687) * CHOOSE(CONTROL!$C$19, $D$11, 100%, $F$11)</f>
        <v>27.669699999999999</v>
      </c>
      <c r="J871" s="4">
        <f>CHOOSE( CONTROL!$C$36, 27.4946, 27.4935) * CHOOSE(CONTROL!$C$19, $D$11, 100%, $F$11)</f>
        <v>27.494599999999998</v>
      </c>
      <c r="K871" s="4"/>
      <c r="L871" s="9">
        <v>29.306000000000001</v>
      </c>
      <c r="M871" s="9">
        <v>12.063700000000001</v>
      </c>
      <c r="N871" s="9">
        <v>4.9444999999999997</v>
      </c>
      <c r="O871" s="9">
        <v>0.37409999999999999</v>
      </c>
      <c r="P871" s="9">
        <v>1.2927</v>
      </c>
      <c r="Q871" s="9">
        <v>19.688099999999999</v>
      </c>
      <c r="R871" s="9"/>
      <c r="S871" s="11"/>
    </row>
    <row r="872" spans="1:19" ht="15.75">
      <c r="A872" s="13">
        <v>67692</v>
      </c>
      <c r="B872" s="8">
        <f>CHOOSE( CONTROL!$C$36, 28.8098, 28.8087) * CHOOSE(CONTROL!$C$19, $D$11, 100%, $F$11)</f>
        <v>28.809799999999999</v>
      </c>
      <c r="C872" s="8">
        <f>CHOOSE( CONTROL!$C$36, 28.8143, 28.8132) * CHOOSE(CONTROL!$C$19, $D$11, 100%, $F$11)</f>
        <v>28.814299999999999</v>
      </c>
      <c r="D872" s="8">
        <f>CHOOSE( CONTROL!$C$36, 28.8347, 28.8336) * CHOOSE( CONTROL!$C$19, $D$11, 100%, $F$11)</f>
        <v>28.834700000000002</v>
      </c>
      <c r="E872" s="12">
        <f>CHOOSE( CONTROL!$C$36, 28.8274, 28.8263) * CHOOSE( CONTROL!$C$19, $D$11, 100%, $F$11)</f>
        <v>28.827400000000001</v>
      </c>
      <c r="F872" s="4">
        <f>CHOOSE( CONTROL!$C$36, 29.5442, 29.5431) * CHOOSE(CONTROL!$C$19, $D$11, 100%, $F$11)</f>
        <v>29.5442</v>
      </c>
      <c r="G872" s="8">
        <f>CHOOSE( CONTROL!$C$36, 28.4614, 28.4604) * CHOOSE( CONTROL!$C$19, $D$11, 100%, $F$11)</f>
        <v>28.461400000000001</v>
      </c>
      <c r="H872" s="4">
        <f>CHOOSE( CONTROL!$C$36, 29.4059, 29.4048) * CHOOSE(CONTROL!$C$19, $D$11, 100%, $F$11)</f>
        <v>29.405899999999999</v>
      </c>
      <c r="I872" s="8">
        <f>CHOOSE( CONTROL!$C$36, 28.0573, 28.0563) * CHOOSE(CONTROL!$C$19, $D$11, 100%, $F$11)</f>
        <v>28.057300000000001</v>
      </c>
      <c r="J872" s="4">
        <f>CHOOSE( CONTROL!$C$36, 27.9124, 27.9114) * CHOOSE(CONTROL!$C$19, $D$11, 100%, $F$11)</f>
        <v>27.912400000000002</v>
      </c>
      <c r="K872" s="4"/>
      <c r="L872" s="9">
        <v>30.092199999999998</v>
      </c>
      <c r="M872" s="9">
        <v>11.6745</v>
      </c>
      <c r="N872" s="9">
        <v>4.7850000000000001</v>
      </c>
      <c r="O872" s="9">
        <v>0.36199999999999999</v>
      </c>
      <c r="P872" s="9">
        <v>1.2509999999999999</v>
      </c>
      <c r="Q872" s="9">
        <v>19.053000000000001</v>
      </c>
      <c r="R872" s="9"/>
      <c r="S872" s="11"/>
    </row>
    <row r="873" spans="1:19" ht="15.75">
      <c r="A873" s="13">
        <v>67723</v>
      </c>
      <c r="B873" s="8">
        <f>CHOOSE( CONTROL!$C$36, 29.5798, 29.5781) * CHOOSE(CONTROL!$C$19, $D$11, 100%, $F$11)</f>
        <v>29.579799999999999</v>
      </c>
      <c r="C873" s="8">
        <f>CHOOSE( CONTROL!$C$36, 29.5878, 29.5861) * CHOOSE(CONTROL!$C$19, $D$11, 100%, $F$11)</f>
        <v>29.587800000000001</v>
      </c>
      <c r="D873" s="8">
        <f>CHOOSE( CONTROL!$C$36, 29.602, 29.6003) * CHOOSE( CONTROL!$C$19, $D$11, 100%, $F$11)</f>
        <v>29.602</v>
      </c>
      <c r="E873" s="12">
        <f>CHOOSE( CONTROL!$C$36, 29.5956, 29.5939) * CHOOSE( CONTROL!$C$19, $D$11, 100%, $F$11)</f>
        <v>29.595600000000001</v>
      </c>
      <c r="F873" s="4">
        <f>CHOOSE( CONTROL!$C$36, 30.3128, 30.3112) * CHOOSE(CONTROL!$C$19, $D$11, 100%, $F$11)</f>
        <v>30.312799999999999</v>
      </c>
      <c r="G873" s="8">
        <f>CHOOSE( CONTROL!$C$36, 29.2193, 29.2177) * CHOOSE( CONTROL!$C$19, $D$11, 100%, $F$11)</f>
        <v>29.2193</v>
      </c>
      <c r="H873" s="4">
        <f>CHOOSE( CONTROL!$C$36, 30.1638, 30.1621) * CHOOSE(CONTROL!$C$19, $D$11, 100%, $F$11)</f>
        <v>30.163799999999998</v>
      </c>
      <c r="I873" s="8">
        <f>CHOOSE( CONTROL!$C$36, 28.8016, 28.8) * CHOOSE(CONTROL!$C$19, $D$11, 100%, $F$11)</f>
        <v>28.801600000000001</v>
      </c>
      <c r="J873" s="4">
        <f>CHOOSE( CONTROL!$C$36, 28.6567, 28.6551) * CHOOSE(CONTROL!$C$19, $D$11, 100%, $F$11)</f>
        <v>28.656700000000001</v>
      </c>
      <c r="K873" s="4"/>
      <c r="L873" s="9">
        <v>30.7165</v>
      </c>
      <c r="M873" s="9">
        <v>12.063700000000001</v>
      </c>
      <c r="N873" s="9">
        <v>4.9444999999999997</v>
      </c>
      <c r="O873" s="9">
        <v>0.37409999999999999</v>
      </c>
      <c r="P873" s="9">
        <v>1.2927</v>
      </c>
      <c r="Q873" s="9">
        <v>19.688099999999999</v>
      </c>
      <c r="R873" s="9"/>
      <c r="S873" s="11"/>
    </row>
    <row r="874" spans="1:19" ht="15.75">
      <c r="A874" s="13">
        <v>67753</v>
      </c>
      <c r="B874" s="8">
        <f>CHOOSE( CONTROL!$C$36, 29.104, 29.1023) * CHOOSE(CONTROL!$C$19, $D$11, 100%, $F$11)</f>
        <v>29.103999999999999</v>
      </c>
      <c r="C874" s="8">
        <f>CHOOSE( CONTROL!$C$36, 29.112, 29.1103) * CHOOSE(CONTROL!$C$19, $D$11, 100%, $F$11)</f>
        <v>29.111999999999998</v>
      </c>
      <c r="D874" s="8">
        <f>CHOOSE( CONTROL!$C$36, 29.1264, 29.1247) * CHOOSE( CONTROL!$C$19, $D$11, 100%, $F$11)</f>
        <v>29.1264</v>
      </c>
      <c r="E874" s="12">
        <f>CHOOSE( CONTROL!$C$36, 29.12, 29.1183) * CHOOSE( CONTROL!$C$19, $D$11, 100%, $F$11)</f>
        <v>29.12</v>
      </c>
      <c r="F874" s="4">
        <f>CHOOSE( CONTROL!$C$36, 29.837, 29.8354) * CHOOSE(CONTROL!$C$19, $D$11, 100%, $F$11)</f>
        <v>29.837</v>
      </c>
      <c r="G874" s="8">
        <f>CHOOSE( CONTROL!$C$36, 28.7503, 28.7487) * CHOOSE( CONTROL!$C$19, $D$11, 100%, $F$11)</f>
        <v>28.750299999999999</v>
      </c>
      <c r="H874" s="4">
        <f>CHOOSE( CONTROL!$C$36, 29.6946, 29.693) * CHOOSE(CONTROL!$C$19, $D$11, 100%, $F$11)</f>
        <v>29.694600000000001</v>
      </c>
      <c r="I874" s="8">
        <f>CHOOSE( CONTROL!$C$36, 28.3413, 28.3397) * CHOOSE(CONTROL!$C$19, $D$11, 100%, $F$11)</f>
        <v>28.3413</v>
      </c>
      <c r="J874" s="4">
        <f>CHOOSE( CONTROL!$C$36, 28.196, 28.1944) * CHOOSE(CONTROL!$C$19, $D$11, 100%, $F$11)</f>
        <v>28.196000000000002</v>
      </c>
      <c r="K874" s="4"/>
      <c r="L874" s="9">
        <v>29.7257</v>
      </c>
      <c r="M874" s="9">
        <v>11.6745</v>
      </c>
      <c r="N874" s="9">
        <v>4.7850000000000001</v>
      </c>
      <c r="O874" s="9">
        <v>0.36199999999999999</v>
      </c>
      <c r="P874" s="9">
        <v>1.2509999999999999</v>
      </c>
      <c r="Q874" s="9">
        <v>19.053000000000001</v>
      </c>
      <c r="R874" s="9"/>
      <c r="S874" s="11"/>
    </row>
    <row r="875" spans="1:19" ht="15.75">
      <c r="A875" s="13">
        <v>67784</v>
      </c>
      <c r="B875" s="8">
        <f>CHOOSE( CONTROL!$C$36, 30.3569, 30.3553) * CHOOSE(CONTROL!$C$19, $D$11, 100%, $F$11)</f>
        <v>30.3569</v>
      </c>
      <c r="C875" s="8">
        <f>CHOOSE( CONTROL!$C$36, 30.3649, 30.3633) * CHOOSE(CONTROL!$C$19, $D$11, 100%, $F$11)</f>
        <v>30.364899999999999</v>
      </c>
      <c r="D875" s="8">
        <f>CHOOSE( CONTROL!$C$36, 30.3796, 30.3779) * CHOOSE( CONTROL!$C$19, $D$11, 100%, $F$11)</f>
        <v>30.3796</v>
      </c>
      <c r="E875" s="12">
        <f>CHOOSE( CONTROL!$C$36, 30.3731, 30.3714) * CHOOSE( CONTROL!$C$19, $D$11, 100%, $F$11)</f>
        <v>30.373100000000001</v>
      </c>
      <c r="F875" s="4">
        <f>CHOOSE( CONTROL!$C$36, 31.09, 31.0883) * CHOOSE(CONTROL!$C$19, $D$11, 100%, $F$11)</f>
        <v>31.09</v>
      </c>
      <c r="G875" s="8">
        <f>CHOOSE( CONTROL!$C$36, 29.9859, 29.9843) * CHOOSE( CONTROL!$C$19, $D$11, 100%, $F$11)</f>
        <v>29.985900000000001</v>
      </c>
      <c r="H875" s="4">
        <f>CHOOSE( CONTROL!$C$36, 30.9301, 30.9284) * CHOOSE(CONTROL!$C$19, $D$11, 100%, $F$11)</f>
        <v>30.930099999999999</v>
      </c>
      <c r="I875" s="8">
        <f>CHOOSE( CONTROL!$C$36, 29.556, 29.5543) * CHOOSE(CONTROL!$C$19, $D$11, 100%, $F$11)</f>
        <v>29.556000000000001</v>
      </c>
      <c r="J875" s="4">
        <f>CHOOSE( CONTROL!$C$36, 29.4092, 29.4076) * CHOOSE(CONTROL!$C$19, $D$11, 100%, $F$11)</f>
        <v>29.409199999999998</v>
      </c>
      <c r="K875" s="4"/>
      <c r="L875" s="9">
        <v>30.7165</v>
      </c>
      <c r="M875" s="9">
        <v>12.063700000000001</v>
      </c>
      <c r="N875" s="9">
        <v>4.9444999999999997</v>
      </c>
      <c r="O875" s="9">
        <v>0.37409999999999999</v>
      </c>
      <c r="P875" s="9">
        <v>1.2927</v>
      </c>
      <c r="Q875" s="9">
        <v>19.688099999999999</v>
      </c>
      <c r="R875" s="9"/>
      <c r="S875" s="11"/>
    </row>
    <row r="876" spans="1:19" ht="15.75">
      <c r="A876" s="13">
        <v>67815</v>
      </c>
      <c r="B876" s="8">
        <f>CHOOSE( CONTROL!$C$36, 28.0126, 28.0109) * CHOOSE(CONTROL!$C$19, $D$11, 100%, $F$11)</f>
        <v>28.012599999999999</v>
      </c>
      <c r="C876" s="8">
        <f>CHOOSE( CONTROL!$C$36, 28.0206, 28.0189) * CHOOSE(CONTROL!$C$19, $D$11, 100%, $F$11)</f>
        <v>28.020600000000002</v>
      </c>
      <c r="D876" s="8">
        <f>CHOOSE( CONTROL!$C$36, 28.0353, 28.0336) * CHOOSE( CONTROL!$C$19, $D$11, 100%, $F$11)</f>
        <v>28.035299999999999</v>
      </c>
      <c r="E876" s="12">
        <f>CHOOSE( CONTROL!$C$36, 28.0288, 28.0271) * CHOOSE( CONTROL!$C$19, $D$11, 100%, $F$11)</f>
        <v>28.0288</v>
      </c>
      <c r="F876" s="4">
        <f>CHOOSE( CONTROL!$C$36, 28.7456, 28.7439) * CHOOSE(CONTROL!$C$19, $D$11, 100%, $F$11)</f>
        <v>28.7456</v>
      </c>
      <c r="G876" s="8">
        <f>CHOOSE( CONTROL!$C$36, 27.6743, 27.6727) * CHOOSE( CONTROL!$C$19, $D$11, 100%, $F$11)</f>
        <v>27.674299999999999</v>
      </c>
      <c r="H876" s="4">
        <f>CHOOSE( CONTROL!$C$36, 28.6184, 28.6168) * CHOOSE(CONTROL!$C$19, $D$11, 100%, $F$11)</f>
        <v>28.618400000000001</v>
      </c>
      <c r="I876" s="8">
        <f>CHOOSE( CONTROL!$C$36, 27.285, 27.2834) * CHOOSE(CONTROL!$C$19, $D$11, 100%, $F$11)</f>
        <v>27.285</v>
      </c>
      <c r="J876" s="4">
        <f>CHOOSE( CONTROL!$C$36, 27.1392, 27.1376) * CHOOSE(CONTROL!$C$19, $D$11, 100%, $F$11)</f>
        <v>27.139199999999999</v>
      </c>
      <c r="K876" s="4"/>
      <c r="L876" s="9">
        <v>30.7165</v>
      </c>
      <c r="M876" s="9">
        <v>12.063700000000001</v>
      </c>
      <c r="N876" s="9">
        <v>4.9444999999999997</v>
      </c>
      <c r="O876" s="9">
        <v>0.37409999999999999</v>
      </c>
      <c r="P876" s="9">
        <v>1.2927</v>
      </c>
      <c r="Q876" s="9">
        <v>19.688099999999999</v>
      </c>
      <c r="R876" s="9"/>
      <c r="S876" s="11"/>
    </row>
    <row r="877" spans="1:19" ht="15.75">
      <c r="A877" s="13">
        <v>67845</v>
      </c>
      <c r="B877" s="8">
        <f>CHOOSE( CONTROL!$C$36, 27.4255, 27.4238) * CHOOSE(CONTROL!$C$19, $D$11, 100%, $F$11)</f>
        <v>27.4255</v>
      </c>
      <c r="C877" s="8">
        <f>CHOOSE( CONTROL!$C$36, 27.4335, 27.4318) * CHOOSE(CONTROL!$C$19, $D$11, 100%, $F$11)</f>
        <v>27.433499999999999</v>
      </c>
      <c r="D877" s="8">
        <f>CHOOSE( CONTROL!$C$36, 27.4481, 27.4464) * CHOOSE( CONTROL!$C$19, $D$11, 100%, $F$11)</f>
        <v>27.4481</v>
      </c>
      <c r="E877" s="12">
        <f>CHOOSE( CONTROL!$C$36, 27.4416, 27.4399) * CHOOSE( CONTROL!$C$19, $D$11, 100%, $F$11)</f>
        <v>27.441600000000001</v>
      </c>
      <c r="F877" s="4">
        <f>CHOOSE( CONTROL!$C$36, 28.1585, 28.1569) * CHOOSE(CONTROL!$C$19, $D$11, 100%, $F$11)</f>
        <v>28.1585</v>
      </c>
      <c r="G877" s="8">
        <f>CHOOSE( CONTROL!$C$36, 27.0954, 27.0937) * CHOOSE( CONTROL!$C$19, $D$11, 100%, $F$11)</f>
        <v>27.095400000000001</v>
      </c>
      <c r="H877" s="4">
        <f>CHOOSE( CONTROL!$C$36, 28.0395, 28.0379) * CHOOSE(CONTROL!$C$19, $D$11, 100%, $F$11)</f>
        <v>28.0395</v>
      </c>
      <c r="I877" s="8">
        <f>CHOOSE( CONTROL!$C$36, 26.7159, 26.7143) * CHOOSE(CONTROL!$C$19, $D$11, 100%, $F$11)</f>
        <v>26.715900000000001</v>
      </c>
      <c r="J877" s="4">
        <f>CHOOSE( CONTROL!$C$36, 26.5707, 26.5691) * CHOOSE(CONTROL!$C$19, $D$11, 100%, $F$11)</f>
        <v>26.570699999999999</v>
      </c>
      <c r="K877" s="4"/>
      <c r="L877" s="9">
        <v>29.7257</v>
      </c>
      <c r="M877" s="9">
        <v>11.6745</v>
      </c>
      <c r="N877" s="9">
        <v>4.7850000000000001</v>
      </c>
      <c r="O877" s="9">
        <v>0.36199999999999999</v>
      </c>
      <c r="P877" s="9">
        <v>1.2509999999999999</v>
      </c>
      <c r="Q877" s="9">
        <v>19.053000000000001</v>
      </c>
      <c r="R877" s="9"/>
      <c r="S877" s="11"/>
    </row>
    <row r="878" spans="1:19" ht="15.75">
      <c r="A878" s="13">
        <v>67876</v>
      </c>
      <c r="B878" s="8">
        <f>CHOOSE( CONTROL!$C$36, 28.6421, 28.6411) * CHOOSE(CONTROL!$C$19, $D$11, 100%, $F$11)</f>
        <v>28.642099999999999</v>
      </c>
      <c r="C878" s="8">
        <f>CHOOSE( CONTROL!$C$36, 28.6475, 28.6464) * CHOOSE(CONTROL!$C$19, $D$11, 100%, $F$11)</f>
        <v>28.647500000000001</v>
      </c>
      <c r="D878" s="8">
        <f>CHOOSE( CONTROL!$C$36, 28.668, 28.6669) * CHOOSE( CONTROL!$C$19, $D$11, 100%, $F$11)</f>
        <v>28.667999999999999</v>
      </c>
      <c r="E878" s="12">
        <f>CHOOSE( CONTROL!$C$36, 28.6607, 28.6596) * CHOOSE( CONTROL!$C$19, $D$11, 100%, $F$11)</f>
        <v>28.660699999999999</v>
      </c>
      <c r="F878" s="4">
        <f>CHOOSE( CONTROL!$C$36, 29.3769, 29.3758) * CHOOSE(CONTROL!$C$19, $D$11, 100%, $F$11)</f>
        <v>29.376899999999999</v>
      </c>
      <c r="G878" s="8">
        <f>CHOOSE( CONTROL!$C$36, 28.297, 28.2959) * CHOOSE( CONTROL!$C$19, $D$11, 100%, $F$11)</f>
        <v>28.297000000000001</v>
      </c>
      <c r="H878" s="4">
        <f>CHOOSE( CONTROL!$C$36, 29.2409, 29.2398) * CHOOSE(CONTROL!$C$19, $D$11, 100%, $F$11)</f>
        <v>29.2409</v>
      </c>
      <c r="I878" s="8">
        <f>CHOOSE( CONTROL!$C$36, 27.8972, 27.8962) * CHOOSE(CONTROL!$C$19, $D$11, 100%, $F$11)</f>
        <v>27.897200000000002</v>
      </c>
      <c r="J878" s="4">
        <f>CHOOSE( CONTROL!$C$36, 27.7505, 27.7494) * CHOOSE(CONTROL!$C$19, $D$11, 100%, $F$11)</f>
        <v>27.750499999999999</v>
      </c>
      <c r="K878" s="4"/>
      <c r="L878" s="9">
        <v>31.095300000000002</v>
      </c>
      <c r="M878" s="9">
        <v>12.063700000000001</v>
      </c>
      <c r="N878" s="9">
        <v>4.9444999999999997</v>
      </c>
      <c r="O878" s="9">
        <v>0.37409999999999999</v>
      </c>
      <c r="P878" s="9">
        <v>1.2927</v>
      </c>
      <c r="Q878" s="9">
        <v>19.688099999999999</v>
      </c>
      <c r="R878" s="9"/>
      <c r="S878" s="11"/>
    </row>
    <row r="879" spans="1:19" ht="15.75">
      <c r="A879" s="13">
        <v>67906</v>
      </c>
      <c r="B879" s="8">
        <f>CHOOSE( CONTROL!$C$36, 30.8916, 30.8906) * CHOOSE(CONTROL!$C$19, $D$11, 100%, $F$11)</f>
        <v>30.8916</v>
      </c>
      <c r="C879" s="8">
        <f>CHOOSE( CONTROL!$C$36, 30.8967, 30.8957) * CHOOSE(CONTROL!$C$19, $D$11, 100%, $F$11)</f>
        <v>30.896699999999999</v>
      </c>
      <c r="D879" s="8">
        <f>CHOOSE( CONTROL!$C$36, 30.876, 30.8749) * CHOOSE( CONTROL!$C$19, $D$11, 100%, $F$11)</f>
        <v>30.876000000000001</v>
      </c>
      <c r="E879" s="12">
        <f>CHOOSE( CONTROL!$C$36, 30.883, 30.882) * CHOOSE( CONTROL!$C$19, $D$11, 100%, $F$11)</f>
        <v>30.882999999999999</v>
      </c>
      <c r="F879" s="4">
        <f>CHOOSE( CONTROL!$C$36, 31.5509, 31.5498) * CHOOSE(CONTROL!$C$19, $D$11, 100%, $F$11)</f>
        <v>31.550899999999999</v>
      </c>
      <c r="G879" s="8">
        <f>CHOOSE( CONTROL!$C$36, 30.4954, 30.4943) * CHOOSE( CONTROL!$C$19, $D$11, 100%, $F$11)</f>
        <v>30.4954</v>
      </c>
      <c r="H879" s="4">
        <f>CHOOSE( CONTROL!$C$36, 31.3846, 31.3835) * CHOOSE(CONTROL!$C$19, $D$11, 100%, $F$11)</f>
        <v>31.384599999999999</v>
      </c>
      <c r="I879" s="8">
        <f>CHOOSE( CONTROL!$C$36, 30.126, 30.125) * CHOOSE(CONTROL!$C$19, $D$11, 100%, $F$11)</f>
        <v>30.126000000000001</v>
      </c>
      <c r="J879" s="4">
        <f>CHOOSE( CONTROL!$C$36, 29.929, 29.928) * CHOOSE(CONTROL!$C$19, $D$11, 100%, $F$11)</f>
        <v>29.928999999999998</v>
      </c>
      <c r="K879" s="4"/>
      <c r="L879" s="9">
        <v>28.360600000000002</v>
      </c>
      <c r="M879" s="9">
        <v>11.6745</v>
      </c>
      <c r="N879" s="9">
        <v>4.7850000000000001</v>
      </c>
      <c r="O879" s="9">
        <v>0.36199999999999999</v>
      </c>
      <c r="P879" s="9">
        <v>1.2509999999999999</v>
      </c>
      <c r="Q879" s="9">
        <v>19.053000000000001</v>
      </c>
      <c r="R879" s="9"/>
      <c r="S879" s="11"/>
    </row>
    <row r="880" spans="1:19" ht="15.75">
      <c r="A880" s="13">
        <v>67937</v>
      </c>
      <c r="B880" s="8">
        <f>CHOOSE( CONTROL!$C$36, 30.8354, 30.8343) * CHOOSE(CONTROL!$C$19, $D$11, 100%, $F$11)</f>
        <v>30.8354</v>
      </c>
      <c r="C880" s="8">
        <f>CHOOSE( CONTROL!$C$36, 30.8405, 30.8394) * CHOOSE(CONTROL!$C$19, $D$11, 100%, $F$11)</f>
        <v>30.840499999999999</v>
      </c>
      <c r="D880" s="8">
        <f>CHOOSE( CONTROL!$C$36, 30.8211, 30.82) * CHOOSE( CONTROL!$C$19, $D$11, 100%, $F$11)</f>
        <v>30.821100000000001</v>
      </c>
      <c r="E880" s="12">
        <f>CHOOSE( CONTROL!$C$36, 30.8277, 30.8266) * CHOOSE( CONTROL!$C$19, $D$11, 100%, $F$11)</f>
        <v>30.8277</v>
      </c>
      <c r="F880" s="4">
        <f>CHOOSE( CONTROL!$C$36, 31.4947, 31.4936) * CHOOSE(CONTROL!$C$19, $D$11, 100%, $F$11)</f>
        <v>31.494700000000002</v>
      </c>
      <c r="G880" s="8">
        <f>CHOOSE( CONTROL!$C$36, 30.441, 30.4399) * CHOOSE( CONTROL!$C$19, $D$11, 100%, $F$11)</f>
        <v>30.440999999999999</v>
      </c>
      <c r="H880" s="4">
        <f>CHOOSE( CONTROL!$C$36, 31.3291, 31.3281) * CHOOSE(CONTROL!$C$19, $D$11, 100%, $F$11)</f>
        <v>31.3291</v>
      </c>
      <c r="I880" s="8">
        <f>CHOOSE( CONTROL!$C$36, 30.0759, 30.0748) * CHOOSE(CONTROL!$C$19, $D$11, 100%, $F$11)</f>
        <v>30.075900000000001</v>
      </c>
      <c r="J880" s="4">
        <f>CHOOSE( CONTROL!$C$36, 29.8746, 29.8736) * CHOOSE(CONTROL!$C$19, $D$11, 100%, $F$11)</f>
        <v>29.874600000000001</v>
      </c>
      <c r="K880" s="4"/>
      <c r="L880" s="9">
        <v>29.306000000000001</v>
      </c>
      <c r="M880" s="9">
        <v>12.063700000000001</v>
      </c>
      <c r="N880" s="9">
        <v>4.9444999999999997</v>
      </c>
      <c r="O880" s="9">
        <v>0.37409999999999999</v>
      </c>
      <c r="P880" s="9">
        <v>1.2927</v>
      </c>
      <c r="Q880" s="9">
        <v>19.688099999999999</v>
      </c>
      <c r="R880" s="9"/>
      <c r="S880" s="11"/>
    </row>
    <row r="881" spans="1:19" ht="15.75">
      <c r="A881" s="13">
        <v>67968</v>
      </c>
      <c r="B881" s="8">
        <f>CHOOSE( CONTROL!$C$36, 31.7455, 31.7444) * CHOOSE(CONTROL!$C$19, $D$11, 100%, $F$11)</f>
        <v>31.7455</v>
      </c>
      <c r="C881" s="8">
        <f>CHOOSE( CONTROL!$C$36, 31.7506, 31.7495) * CHOOSE(CONTROL!$C$19, $D$11, 100%, $F$11)</f>
        <v>31.750599999999999</v>
      </c>
      <c r="D881" s="8">
        <f>CHOOSE( CONTROL!$C$36, 31.7518, 31.7508) * CHOOSE( CONTROL!$C$19, $D$11, 100%, $F$11)</f>
        <v>31.751799999999999</v>
      </c>
      <c r="E881" s="12">
        <f>CHOOSE( CONTROL!$C$36, 31.7508, 31.7498) * CHOOSE( CONTROL!$C$19, $D$11, 100%, $F$11)</f>
        <v>31.750800000000002</v>
      </c>
      <c r="F881" s="4">
        <f>CHOOSE( CONTROL!$C$36, 32.4047, 32.4036) * CHOOSE(CONTROL!$C$19, $D$11, 100%, $F$11)</f>
        <v>32.404699999999998</v>
      </c>
      <c r="G881" s="8">
        <f>CHOOSE( CONTROL!$C$36, 31.3494, 31.3483) * CHOOSE( CONTROL!$C$19, $D$11, 100%, $F$11)</f>
        <v>31.349399999999999</v>
      </c>
      <c r="H881" s="4">
        <f>CHOOSE( CONTROL!$C$36, 32.2265, 32.2254) * CHOOSE(CONTROL!$C$19, $D$11, 100%, $F$11)</f>
        <v>32.226500000000001</v>
      </c>
      <c r="I881" s="8">
        <f>CHOOSE( CONTROL!$C$36, 30.935, 30.9339) * CHOOSE(CONTROL!$C$19, $D$11, 100%, $F$11)</f>
        <v>30.934999999999999</v>
      </c>
      <c r="J881" s="4">
        <f>CHOOSE( CONTROL!$C$36, 30.7558, 30.7547) * CHOOSE(CONTROL!$C$19, $D$11, 100%, $F$11)</f>
        <v>30.755800000000001</v>
      </c>
      <c r="K881" s="4"/>
      <c r="L881" s="9">
        <v>29.306000000000001</v>
      </c>
      <c r="M881" s="9">
        <v>12.063700000000001</v>
      </c>
      <c r="N881" s="9">
        <v>4.9444999999999997</v>
      </c>
      <c r="O881" s="9">
        <v>0.37409999999999999</v>
      </c>
      <c r="P881" s="9">
        <v>1.2927</v>
      </c>
      <c r="Q881" s="9">
        <v>19.688099999999999</v>
      </c>
      <c r="R881" s="9"/>
      <c r="S881" s="11"/>
    </row>
    <row r="882" spans="1:19" ht="15.75">
      <c r="A882" s="13">
        <v>67996</v>
      </c>
      <c r="B882" s="8">
        <f>CHOOSE( CONTROL!$C$36, 29.6921, 29.691) * CHOOSE(CONTROL!$C$19, $D$11, 100%, $F$11)</f>
        <v>29.6921</v>
      </c>
      <c r="C882" s="8">
        <f>CHOOSE( CONTROL!$C$36, 29.6972, 29.6961) * CHOOSE(CONTROL!$C$19, $D$11, 100%, $F$11)</f>
        <v>29.697199999999999</v>
      </c>
      <c r="D882" s="8">
        <f>CHOOSE( CONTROL!$C$36, 29.6984, 29.6973) * CHOOSE( CONTROL!$C$19, $D$11, 100%, $F$11)</f>
        <v>29.698399999999999</v>
      </c>
      <c r="E882" s="12">
        <f>CHOOSE( CONTROL!$C$36, 29.6974, 29.6963) * CHOOSE( CONTROL!$C$19, $D$11, 100%, $F$11)</f>
        <v>29.697399999999998</v>
      </c>
      <c r="F882" s="4">
        <f>CHOOSE( CONTROL!$C$36, 30.3514, 30.3503) * CHOOSE(CONTROL!$C$19, $D$11, 100%, $F$11)</f>
        <v>30.351400000000002</v>
      </c>
      <c r="G882" s="8">
        <f>CHOOSE( CONTROL!$C$36, 29.3246, 29.3235) * CHOOSE( CONTROL!$C$19, $D$11, 100%, $F$11)</f>
        <v>29.3246</v>
      </c>
      <c r="H882" s="4">
        <f>CHOOSE( CONTROL!$C$36, 30.2018, 30.2007) * CHOOSE(CONTROL!$C$19, $D$11, 100%, $F$11)</f>
        <v>30.201799999999999</v>
      </c>
      <c r="I882" s="8">
        <f>CHOOSE( CONTROL!$C$36, 28.9453, 28.9443) * CHOOSE(CONTROL!$C$19, $D$11, 100%, $F$11)</f>
        <v>28.9453</v>
      </c>
      <c r="J882" s="4">
        <f>CHOOSE( CONTROL!$C$36, 28.7675, 28.7665) * CHOOSE(CONTROL!$C$19, $D$11, 100%, $F$11)</f>
        <v>28.767499999999998</v>
      </c>
      <c r="K882" s="4"/>
      <c r="L882" s="9">
        <v>26.469899999999999</v>
      </c>
      <c r="M882" s="9">
        <v>10.8962</v>
      </c>
      <c r="N882" s="9">
        <v>4.4660000000000002</v>
      </c>
      <c r="O882" s="9">
        <v>0.33789999999999998</v>
      </c>
      <c r="P882" s="9">
        <v>1.1676</v>
      </c>
      <c r="Q882" s="9">
        <v>17.782800000000002</v>
      </c>
      <c r="R882" s="9"/>
      <c r="S882" s="11"/>
    </row>
    <row r="883" spans="1:19" ht="15.75">
      <c r="A883" s="13">
        <v>68027</v>
      </c>
      <c r="B883" s="8">
        <f>CHOOSE( CONTROL!$C$36, 29.0597, 29.0586) * CHOOSE(CONTROL!$C$19, $D$11, 100%, $F$11)</f>
        <v>29.059699999999999</v>
      </c>
      <c r="C883" s="8">
        <f>CHOOSE( CONTROL!$C$36, 29.0648, 29.0637) * CHOOSE(CONTROL!$C$19, $D$11, 100%, $F$11)</f>
        <v>29.064800000000002</v>
      </c>
      <c r="D883" s="8">
        <f>CHOOSE( CONTROL!$C$36, 29.0653, 29.0642) * CHOOSE( CONTROL!$C$19, $D$11, 100%, $F$11)</f>
        <v>29.065300000000001</v>
      </c>
      <c r="E883" s="12">
        <f>CHOOSE( CONTROL!$C$36, 29.0646, 29.0635) * CHOOSE( CONTROL!$C$19, $D$11, 100%, $F$11)</f>
        <v>29.064599999999999</v>
      </c>
      <c r="F883" s="4">
        <f>CHOOSE( CONTROL!$C$36, 29.719, 29.7179) * CHOOSE(CONTROL!$C$19, $D$11, 100%, $F$11)</f>
        <v>29.719000000000001</v>
      </c>
      <c r="G883" s="8">
        <f>CHOOSE( CONTROL!$C$36, 28.7005, 28.6994) * CHOOSE( CONTROL!$C$19, $D$11, 100%, $F$11)</f>
        <v>28.700500000000002</v>
      </c>
      <c r="H883" s="4">
        <f>CHOOSE( CONTROL!$C$36, 29.5782, 29.5771) * CHOOSE(CONTROL!$C$19, $D$11, 100%, $F$11)</f>
        <v>29.578199999999999</v>
      </c>
      <c r="I883" s="8">
        <f>CHOOSE( CONTROL!$C$36, 28.3307, 28.3296) * CHOOSE(CONTROL!$C$19, $D$11, 100%, $F$11)</f>
        <v>28.3307</v>
      </c>
      <c r="J883" s="4">
        <f>CHOOSE( CONTROL!$C$36, 28.1552, 28.1541) * CHOOSE(CONTROL!$C$19, $D$11, 100%, $F$11)</f>
        <v>28.155200000000001</v>
      </c>
      <c r="K883" s="4"/>
      <c r="L883" s="9">
        <v>29.306000000000001</v>
      </c>
      <c r="M883" s="9">
        <v>12.063700000000001</v>
      </c>
      <c r="N883" s="9">
        <v>4.9444999999999997</v>
      </c>
      <c r="O883" s="9">
        <v>0.37409999999999999</v>
      </c>
      <c r="P883" s="9">
        <v>1.2927</v>
      </c>
      <c r="Q883" s="9">
        <v>19.688099999999999</v>
      </c>
      <c r="R883" s="9"/>
      <c r="S883" s="11"/>
    </row>
    <row r="884" spans="1:19" ht="15.75">
      <c r="A884" s="13">
        <v>68057</v>
      </c>
      <c r="B884" s="8">
        <f>CHOOSE( CONTROL!$C$36, 29.5024, 29.5013) * CHOOSE(CONTROL!$C$19, $D$11, 100%, $F$11)</f>
        <v>29.502400000000002</v>
      </c>
      <c r="C884" s="8">
        <f>CHOOSE( CONTROL!$C$36, 29.5069, 29.5058) * CHOOSE(CONTROL!$C$19, $D$11, 100%, $F$11)</f>
        <v>29.506900000000002</v>
      </c>
      <c r="D884" s="8">
        <f>CHOOSE( CONTROL!$C$36, 29.5273, 29.5262) * CHOOSE( CONTROL!$C$19, $D$11, 100%, $F$11)</f>
        <v>29.5273</v>
      </c>
      <c r="E884" s="12">
        <f>CHOOSE( CONTROL!$C$36, 29.52, 29.5189) * CHOOSE( CONTROL!$C$19, $D$11, 100%, $F$11)</f>
        <v>29.52</v>
      </c>
      <c r="F884" s="4">
        <f>CHOOSE( CONTROL!$C$36, 30.2368, 30.2357) * CHOOSE(CONTROL!$C$19, $D$11, 100%, $F$11)</f>
        <v>30.236799999999999</v>
      </c>
      <c r="G884" s="8">
        <f>CHOOSE( CONTROL!$C$36, 29.1444, 29.1433) * CHOOSE( CONTROL!$C$19, $D$11, 100%, $F$11)</f>
        <v>29.144400000000001</v>
      </c>
      <c r="H884" s="4">
        <f>CHOOSE( CONTROL!$C$36, 30.0888, 30.0877) * CHOOSE(CONTROL!$C$19, $D$11, 100%, $F$11)</f>
        <v>30.088799999999999</v>
      </c>
      <c r="I884" s="8">
        <f>CHOOSE( CONTROL!$C$36, 28.7283, 28.7273) * CHOOSE(CONTROL!$C$19, $D$11, 100%, $F$11)</f>
        <v>28.728300000000001</v>
      </c>
      <c r="J884" s="4">
        <f>CHOOSE( CONTROL!$C$36, 28.5831, 28.582) * CHOOSE(CONTROL!$C$19, $D$11, 100%, $F$11)</f>
        <v>28.583100000000002</v>
      </c>
      <c r="K884" s="4"/>
      <c r="L884" s="9">
        <v>30.092199999999998</v>
      </c>
      <c r="M884" s="9">
        <v>11.6745</v>
      </c>
      <c r="N884" s="9">
        <v>4.7850000000000001</v>
      </c>
      <c r="O884" s="9">
        <v>0.36199999999999999</v>
      </c>
      <c r="P884" s="9">
        <v>1.2509999999999999</v>
      </c>
      <c r="Q884" s="9">
        <v>19.053000000000001</v>
      </c>
      <c r="R884" s="9"/>
      <c r="S884" s="11"/>
    </row>
    <row r="885" spans="1:19" ht="15.75">
      <c r="A885" s="13">
        <v>68088</v>
      </c>
      <c r="B885" s="8">
        <f>CHOOSE( CONTROL!$C$36, 30.2908, 30.2892) * CHOOSE(CONTROL!$C$19, $D$11, 100%, $F$11)</f>
        <v>30.290800000000001</v>
      </c>
      <c r="C885" s="8">
        <f>CHOOSE( CONTROL!$C$36, 30.2988, 30.2972) * CHOOSE(CONTROL!$C$19, $D$11, 100%, $F$11)</f>
        <v>30.2988</v>
      </c>
      <c r="D885" s="8">
        <f>CHOOSE( CONTROL!$C$36, 30.313, 30.3114) * CHOOSE( CONTROL!$C$19, $D$11, 100%, $F$11)</f>
        <v>30.312999999999999</v>
      </c>
      <c r="E885" s="12">
        <f>CHOOSE( CONTROL!$C$36, 30.3066, 30.305) * CHOOSE( CONTROL!$C$19, $D$11, 100%, $F$11)</f>
        <v>30.3066</v>
      </c>
      <c r="F885" s="4">
        <f>CHOOSE( CONTROL!$C$36, 31.0239, 31.0222) * CHOOSE(CONTROL!$C$19, $D$11, 100%, $F$11)</f>
        <v>31.023900000000001</v>
      </c>
      <c r="G885" s="8">
        <f>CHOOSE( CONTROL!$C$36, 29.9204, 29.9188) * CHOOSE( CONTROL!$C$19, $D$11, 100%, $F$11)</f>
        <v>29.920400000000001</v>
      </c>
      <c r="H885" s="4">
        <f>CHOOSE( CONTROL!$C$36, 30.8649, 30.8633) * CHOOSE(CONTROL!$C$19, $D$11, 100%, $F$11)</f>
        <v>30.864899999999999</v>
      </c>
      <c r="I885" s="8">
        <f>CHOOSE( CONTROL!$C$36, 29.4904, 29.4888) * CHOOSE(CONTROL!$C$19, $D$11, 100%, $F$11)</f>
        <v>29.490400000000001</v>
      </c>
      <c r="J885" s="4">
        <f>CHOOSE( CONTROL!$C$36, 29.3452, 29.3436) * CHOOSE(CONTROL!$C$19, $D$11, 100%, $F$11)</f>
        <v>29.345199999999998</v>
      </c>
      <c r="K885" s="4"/>
      <c r="L885" s="9">
        <v>30.7165</v>
      </c>
      <c r="M885" s="9">
        <v>12.063700000000001</v>
      </c>
      <c r="N885" s="9">
        <v>4.9444999999999997</v>
      </c>
      <c r="O885" s="9">
        <v>0.37409999999999999</v>
      </c>
      <c r="P885" s="9">
        <v>1.2927</v>
      </c>
      <c r="Q885" s="9">
        <v>19.688099999999999</v>
      </c>
      <c r="R885" s="9"/>
      <c r="S885" s="11"/>
    </row>
    <row r="886" spans="1:19" ht="15.75">
      <c r="A886" s="13">
        <v>68118</v>
      </c>
      <c r="B886" s="8">
        <f>CHOOSE( CONTROL!$C$36, 29.8036, 29.802) * CHOOSE(CONTROL!$C$19, $D$11, 100%, $F$11)</f>
        <v>29.803599999999999</v>
      </c>
      <c r="C886" s="8">
        <f>CHOOSE( CONTROL!$C$36, 29.8116, 29.81) * CHOOSE(CONTROL!$C$19, $D$11, 100%, $F$11)</f>
        <v>29.811599999999999</v>
      </c>
      <c r="D886" s="8">
        <f>CHOOSE( CONTROL!$C$36, 29.826, 29.8243) * CHOOSE( CONTROL!$C$19, $D$11, 100%, $F$11)</f>
        <v>29.826000000000001</v>
      </c>
      <c r="E886" s="12">
        <f>CHOOSE( CONTROL!$C$36, 29.8196, 29.8179) * CHOOSE( CONTROL!$C$19, $D$11, 100%, $F$11)</f>
        <v>29.819600000000001</v>
      </c>
      <c r="F886" s="4">
        <f>CHOOSE( CONTROL!$C$36, 30.5367, 30.535) * CHOOSE(CONTROL!$C$19, $D$11, 100%, $F$11)</f>
        <v>30.5367</v>
      </c>
      <c r="G886" s="8">
        <f>CHOOSE( CONTROL!$C$36, 29.4402, 29.4385) * CHOOSE( CONTROL!$C$19, $D$11, 100%, $F$11)</f>
        <v>29.440200000000001</v>
      </c>
      <c r="H886" s="4">
        <f>CHOOSE( CONTROL!$C$36, 30.3845, 30.3828) * CHOOSE(CONTROL!$C$19, $D$11, 100%, $F$11)</f>
        <v>30.384499999999999</v>
      </c>
      <c r="I886" s="8">
        <f>CHOOSE( CONTROL!$C$36, 29.0191, 29.0175) * CHOOSE(CONTROL!$C$19, $D$11, 100%, $F$11)</f>
        <v>29.019100000000002</v>
      </c>
      <c r="J886" s="4">
        <f>CHOOSE( CONTROL!$C$36, 28.8734, 28.8718) * CHOOSE(CONTROL!$C$19, $D$11, 100%, $F$11)</f>
        <v>28.8734</v>
      </c>
      <c r="K886" s="4"/>
      <c r="L886" s="9">
        <v>29.7257</v>
      </c>
      <c r="M886" s="9">
        <v>11.6745</v>
      </c>
      <c r="N886" s="9">
        <v>4.7850000000000001</v>
      </c>
      <c r="O886" s="9">
        <v>0.36199999999999999</v>
      </c>
      <c r="P886" s="9">
        <v>1.2509999999999999</v>
      </c>
      <c r="Q886" s="9">
        <v>19.053000000000001</v>
      </c>
      <c r="R886" s="9"/>
      <c r="S886" s="11"/>
    </row>
    <row r="887" spans="1:19" ht="15.75">
      <c r="A887" s="13">
        <v>68149</v>
      </c>
      <c r="B887" s="8">
        <f>CHOOSE( CONTROL!$C$36, 31.0867, 31.085) * CHOOSE(CONTROL!$C$19, $D$11, 100%, $F$11)</f>
        <v>31.0867</v>
      </c>
      <c r="C887" s="8">
        <f>CHOOSE( CONTROL!$C$36, 31.0947, 31.093) * CHOOSE(CONTROL!$C$19, $D$11, 100%, $F$11)</f>
        <v>31.0947</v>
      </c>
      <c r="D887" s="8">
        <f>CHOOSE( CONTROL!$C$36, 31.1093, 31.1076) * CHOOSE( CONTROL!$C$19, $D$11, 100%, $F$11)</f>
        <v>31.109300000000001</v>
      </c>
      <c r="E887" s="12">
        <f>CHOOSE( CONTROL!$C$36, 31.1028, 31.1011) * CHOOSE( CONTROL!$C$19, $D$11, 100%, $F$11)</f>
        <v>31.102799999999998</v>
      </c>
      <c r="F887" s="4">
        <f>CHOOSE( CONTROL!$C$36, 31.8197, 31.818) * CHOOSE(CONTROL!$C$19, $D$11, 100%, $F$11)</f>
        <v>31.819700000000001</v>
      </c>
      <c r="G887" s="8">
        <f>CHOOSE( CONTROL!$C$36, 30.7055, 30.7039) * CHOOSE( CONTROL!$C$19, $D$11, 100%, $F$11)</f>
        <v>30.705500000000001</v>
      </c>
      <c r="H887" s="4">
        <f>CHOOSE( CONTROL!$C$36, 31.6496, 31.648) * CHOOSE(CONTROL!$C$19, $D$11, 100%, $F$11)</f>
        <v>31.6496</v>
      </c>
      <c r="I887" s="8">
        <f>CHOOSE( CONTROL!$C$36, 30.2629, 30.2613) * CHOOSE(CONTROL!$C$19, $D$11, 100%, $F$11)</f>
        <v>30.262899999999998</v>
      </c>
      <c r="J887" s="4">
        <f>CHOOSE( CONTROL!$C$36, 30.1158, 30.1142) * CHOOSE(CONTROL!$C$19, $D$11, 100%, $F$11)</f>
        <v>30.1158</v>
      </c>
      <c r="K887" s="4"/>
      <c r="L887" s="9">
        <v>30.7165</v>
      </c>
      <c r="M887" s="9">
        <v>12.063700000000001</v>
      </c>
      <c r="N887" s="9">
        <v>4.9444999999999997</v>
      </c>
      <c r="O887" s="9">
        <v>0.37409999999999999</v>
      </c>
      <c r="P887" s="9">
        <v>1.2927</v>
      </c>
      <c r="Q887" s="9">
        <v>19.688099999999999</v>
      </c>
      <c r="R887" s="9"/>
      <c r="S887" s="11"/>
    </row>
    <row r="888" spans="1:19" ht="15.75">
      <c r="A888" s="13">
        <v>68180</v>
      </c>
      <c r="B888" s="8">
        <f>CHOOSE( CONTROL!$C$36, 28.686, 28.6843) * CHOOSE(CONTROL!$C$19, $D$11, 100%, $F$11)</f>
        <v>28.686</v>
      </c>
      <c r="C888" s="8">
        <f>CHOOSE( CONTROL!$C$36, 28.694, 28.6923) * CHOOSE(CONTROL!$C$19, $D$11, 100%, $F$11)</f>
        <v>28.693999999999999</v>
      </c>
      <c r="D888" s="8">
        <f>CHOOSE( CONTROL!$C$36, 28.7086, 28.707) * CHOOSE( CONTROL!$C$19, $D$11, 100%, $F$11)</f>
        <v>28.708600000000001</v>
      </c>
      <c r="E888" s="12">
        <f>CHOOSE( CONTROL!$C$36, 28.7021, 28.7005) * CHOOSE( CONTROL!$C$19, $D$11, 100%, $F$11)</f>
        <v>28.702100000000002</v>
      </c>
      <c r="F888" s="4">
        <f>CHOOSE( CONTROL!$C$36, 29.419, 29.4173) * CHOOSE(CONTROL!$C$19, $D$11, 100%, $F$11)</f>
        <v>29.419</v>
      </c>
      <c r="G888" s="8">
        <f>CHOOSE( CONTROL!$C$36, 28.3383, 28.3367) * CHOOSE( CONTROL!$C$19, $D$11, 100%, $F$11)</f>
        <v>28.3383</v>
      </c>
      <c r="H888" s="4">
        <f>CHOOSE( CONTROL!$C$36, 29.2824, 29.2808) * CHOOSE(CONTROL!$C$19, $D$11, 100%, $F$11)</f>
        <v>29.282399999999999</v>
      </c>
      <c r="I888" s="8">
        <f>CHOOSE( CONTROL!$C$36, 27.9373, 27.9357) * CHOOSE(CONTROL!$C$19, $D$11, 100%, $F$11)</f>
        <v>27.9373</v>
      </c>
      <c r="J888" s="4">
        <f>CHOOSE( CONTROL!$C$36, 27.7912, 27.7896) * CHOOSE(CONTROL!$C$19, $D$11, 100%, $F$11)</f>
        <v>27.7912</v>
      </c>
      <c r="K888" s="4"/>
      <c r="L888" s="9">
        <v>30.7165</v>
      </c>
      <c r="M888" s="9">
        <v>12.063700000000001</v>
      </c>
      <c r="N888" s="9">
        <v>4.9444999999999997</v>
      </c>
      <c r="O888" s="9">
        <v>0.37409999999999999</v>
      </c>
      <c r="P888" s="9">
        <v>1.2927</v>
      </c>
      <c r="Q888" s="9">
        <v>19.688099999999999</v>
      </c>
      <c r="R888" s="9"/>
      <c r="S888" s="11"/>
    </row>
    <row r="889" spans="1:19" ht="15.75">
      <c r="A889" s="13">
        <v>68210</v>
      </c>
      <c r="B889" s="8">
        <f>CHOOSE( CONTROL!$C$36, 28.0848, 28.0831) * CHOOSE(CONTROL!$C$19, $D$11, 100%, $F$11)</f>
        <v>28.084800000000001</v>
      </c>
      <c r="C889" s="8">
        <f>CHOOSE( CONTROL!$C$36, 28.0928, 28.0911) * CHOOSE(CONTROL!$C$19, $D$11, 100%, $F$11)</f>
        <v>28.0928</v>
      </c>
      <c r="D889" s="8">
        <f>CHOOSE( CONTROL!$C$36, 28.1074, 28.1057) * CHOOSE( CONTROL!$C$19, $D$11, 100%, $F$11)</f>
        <v>28.107399999999998</v>
      </c>
      <c r="E889" s="12">
        <f>CHOOSE( CONTROL!$C$36, 28.1009, 28.0992) * CHOOSE( CONTROL!$C$19, $D$11, 100%, $F$11)</f>
        <v>28.100899999999999</v>
      </c>
      <c r="F889" s="4">
        <f>CHOOSE( CONTROL!$C$36, 28.8178, 28.8162) * CHOOSE(CONTROL!$C$19, $D$11, 100%, $F$11)</f>
        <v>28.817799999999998</v>
      </c>
      <c r="G889" s="8">
        <f>CHOOSE( CONTROL!$C$36, 27.7455, 27.7438) * CHOOSE( CONTROL!$C$19, $D$11, 100%, $F$11)</f>
        <v>27.7455</v>
      </c>
      <c r="H889" s="4">
        <f>CHOOSE( CONTROL!$C$36, 28.6896, 28.688) * CHOOSE(CONTROL!$C$19, $D$11, 100%, $F$11)</f>
        <v>28.689599999999999</v>
      </c>
      <c r="I889" s="8">
        <f>CHOOSE( CONTROL!$C$36, 27.3546, 27.353) * CHOOSE(CONTROL!$C$19, $D$11, 100%, $F$11)</f>
        <v>27.354600000000001</v>
      </c>
      <c r="J889" s="4">
        <f>CHOOSE( CONTROL!$C$36, 27.2091, 27.2075) * CHOOSE(CONTROL!$C$19, $D$11, 100%, $F$11)</f>
        <v>27.209099999999999</v>
      </c>
      <c r="K889" s="4"/>
      <c r="L889" s="9">
        <v>29.7257</v>
      </c>
      <c r="M889" s="9">
        <v>11.6745</v>
      </c>
      <c r="N889" s="9">
        <v>4.7850000000000001</v>
      </c>
      <c r="O889" s="9">
        <v>0.36199999999999999</v>
      </c>
      <c r="P889" s="9">
        <v>1.2509999999999999</v>
      </c>
      <c r="Q889" s="9">
        <v>19.053000000000001</v>
      </c>
      <c r="R889" s="9"/>
      <c r="S889" s="11"/>
    </row>
    <row r="890" spans="1:19" ht="15.75">
      <c r="A890" s="13">
        <v>68241</v>
      </c>
      <c r="B890" s="8">
        <f>CHOOSE( CONTROL!$C$36, 29.3307, 29.3296) * CHOOSE(CONTROL!$C$19, $D$11, 100%, $F$11)</f>
        <v>29.3307</v>
      </c>
      <c r="C890" s="8">
        <f>CHOOSE( CONTROL!$C$36, 29.3361, 29.335) * CHOOSE(CONTROL!$C$19, $D$11, 100%, $F$11)</f>
        <v>29.336099999999998</v>
      </c>
      <c r="D890" s="8">
        <f>CHOOSE( CONTROL!$C$36, 29.3566, 29.3555) * CHOOSE( CONTROL!$C$19, $D$11, 100%, $F$11)</f>
        <v>29.3566</v>
      </c>
      <c r="E890" s="12">
        <f>CHOOSE( CONTROL!$C$36, 29.3493, 29.3482) * CHOOSE( CONTROL!$C$19, $D$11, 100%, $F$11)</f>
        <v>29.349299999999999</v>
      </c>
      <c r="F890" s="4">
        <f>CHOOSE( CONTROL!$C$36, 30.0655, 30.0644) * CHOOSE(CONTROL!$C$19, $D$11, 100%, $F$11)</f>
        <v>30.0655</v>
      </c>
      <c r="G890" s="8">
        <f>CHOOSE( CONTROL!$C$36, 28.9759, 28.9749) * CHOOSE( CONTROL!$C$19, $D$11, 100%, $F$11)</f>
        <v>28.975899999999999</v>
      </c>
      <c r="H890" s="4">
        <f>CHOOSE( CONTROL!$C$36, 29.9199, 29.9188) * CHOOSE(CONTROL!$C$19, $D$11, 100%, $F$11)</f>
        <v>29.919899999999998</v>
      </c>
      <c r="I890" s="8">
        <f>CHOOSE( CONTROL!$C$36, 28.5643, 28.5633) * CHOOSE(CONTROL!$C$19, $D$11, 100%, $F$11)</f>
        <v>28.564299999999999</v>
      </c>
      <c r="J890" s="4">
        <f>CHOOSE( CONTROL!$C$36, 28.4172, 28.4161) * CHOOSE(CONTROL!$C$19, $D$11, 100%, $F$11)</f>
        <v>28.417200000000001</v>
      </c>
      <c r="K890" s="4"/>
      <c r="L890" s="9">
        <v>31.095300000000002</v>
      </c>
      <c r="M890" s="9">
        <v>12.063700000000001</v>
      </c>
      <c r="N890" s="9">
        <v>4.9444999999999997</v>
      </c>
      <c r="O890" s="9">
        <v>0.37409999999999999</v>
      </c>
      <c r="P890" s="9">
        <v>1.2927</v>
      </c>
      <c r="Q890" s="9">
        <v>19.688099999999999</v>
      </c>
      <c r="R890" s="9"/>
      <c r="S890" s="11"/>
    </row>
    <row r="891" spans="1:19" ht="15.75">
      <c r="A891" s="13">
        <v>68271</v>
      </c>
      <c r="B891" s="8">
        <f>CHOOSE( CONTROL!$C$36, 31.6343, 31.6332) * CHOOSE(CONTROL!$C$19, $D$11, 100%, $F$11)</f>
        <v>31.6343</v>
      </c>
      <c r="C891" s="8">
        <f>CHOOSE( CONTROL!$C$36, 31.6394, 31.6383) * CHOOSE(CONTROL!$C$19, $D$11, 100%, $F$11)</f>
        <v>31.639399999999998</v>
      </c>
      <c r="D891" s="8">
        <f>CHOOSE( CONTROL!$C$36, 31.6186, 31.6175) * CHOOSE( CONTROL!$C$19, $D$11, 100%, $F$11)</f>
        <v>31.618600000000001</v>
      </c>
      <c r="E891" s="12">
        <f>CHOOSE( CONTROL!$C$36, 31.6257, 31.6246) * CHOOSE( CONTROL!$C$19, $D$11, 100%, $F$11)</f>
        <v>31.625699999999998</v>
      </c>
      <c r="F891" s="4">
        <f>CHOOSE( CONTROL!$C$36, 32.2935, 32.2924) * CHOOSE(CONTROL!$C$19, $D$11, 100%, $F$11)</f>
        <v>32.293500000000002</v>
      </c>
      <c r="G891" s="8">
        <f>CHOOSE( CONTROL!$C$36, 31.2277, 31.2266) * CHOOSE( CONTROL!$C$19, $D$11, 100%, $F$11)</f>
        <v>31.227699999999999</v>
      </c>
      <c r="H891" s="4">
        <f>CHOOSE( CONTROL!$C$36, 32.1168, 32.1158) * CHOOSE(CONTROL!$C$19, $D$11, 100%, $F$11)</f>
        <v>32.116799999999998</v>
      </c>
      <c r="I891" s="8">
        <f>CHOOSE( CONTROL!$C$36, 30.8455, 30.8444) * CHOOSE(CONTROL!$C$19, $D$11, 100%, $F$11)</f>
        <v>30.845500000000001</v>
      </c>
      <c r="J891" s="4">
        <f>CHOOSE( CONTROL!$C$36, 30.6481, 30.6471) * CHOOSE(CONTROL!$C$19, $D$11, 100%, $F$11)</f>
        <v>30.648099999999999</v>
      </c>
      <c r="K891" s="4"/>
      <c r="L891" s="9">
        <v>28.360600000000002</v>
      </c>
      <c r="M891" s="9">
        <v>11.6745</v>
      </c>
      <c r="N891" s="9">
        <v>4.7850000000000001</v>
      </c>
      <c r="O891" s="9">
        <v>0.36199999999999999</v>
      </c>
      <c r="P891" s="9">
        <v>1.2509999999999999</v>
      </c>
      <c r="Q891" s="9">
        <v>19.053000000000001</v>
      </c>
      <c r="R891" s="9"/>
      <c r="S891" s="11"/>
    </row>
    <row r="892" spans="1:19" ht="15.75">
      <c r="A892" s="13">
        <v>68302</v>
      </c>
      <c r="B892" s="8">
        <f>CHOOSE( CONTROL!$C$36, 31.5767, 31.5756) * CHOOSE(CONTROL!$C$19, $D$11, 100%, $F$11)</f>
        <v>31.576699999999999</v>
      </c>
      <c r="C892" s="8">
        <f>CHOOSE( CONTROL!$C$36, 31.5818, 31.5807) * CHOOSE(CONTROL!$C$19, $D$11, 100%, $F$11)</f>
        <v>31.581800000000001</v>
      </c>
      <c r="D892" s="8">
        <f>CHOOSE( CONTROL!$C$36, 31.5624, 31.5613) * CHOOSE( CONTROL!$C$19, $D$11, 100%, $F$11)</f>
        <v>31.5624</v>
      </c>
      <c r="E892" s="12">
        <f>CHOOSE( CONTROL!$C$36, 31.569, 31.5679) * CHOOSE( CONTROL!$C$19, $D$11, 100%, $F$11)</f>
        <v>31.568999999999999</v>
      </c>
      <c r="F892" s="4">
        <f>CHOOSE( CONTROL!$C$36, 32.236, 32.2349) * CHOOSE(CONTROL!$C$19, $D$11, 100%, $F$11)</f>
        <v>32.235999999999997</v>
      </c>
      <c r="G892" s="8">
        <f>CHOOSE( CONTROL!$C$36, 31.1719, 31.1708) * CHOOSE( CONTROL!$C$19, $D$11, 100%, $F$11)</f>
        <v>31.171900000000001</v>
      </c>
      <c r="H892" s="4">
        <f>CHOOSE( CONTROL!$C$36, 32.0601, 32.059) * CHOOSE(CONTROL!$C$19, $D$11, 100%, $F$11)</f>
        <v>32.060099999999998</v>
      </c>
      <c r="I892" s="8">
        <f>CHOOSE( CONTROL!$C$36, 30.794, 30.793) * CHOOSE(CONTROL!$C$19, $D$11, 100%, $F$11)</f>
        <v>30.794</v>
      </c>
      <c r="J892" s="4">
        <f>CHOOSE( CONTROL!$C$36, 30.5924, 30.5913) * CHOOSE(CONTROL!$C$19, $D$11, 100%, $F$11)</f>
        <v>30.592400000000001</v>
      </c>
      <c r="K892" s="4"/>
      <c r="L892" s="9">
        <v>29.306000000000001</v>
      </c>
      <c r="M892" s="9">
        <v>12.063700000000001</v>
      </c>
      <c r="N892" s="9">
        <v>4.9444999999999997</v>
      </c>
      <c r="O892" s="9">
        <v>0.37409999999999999</v>
      </c>
      <c r="P892" s="9">
        <v>1.2927</v>
      </c>
      <c r="Q892" s="9">
        <v>19.688099999999999</v>
      </c>
      <c r="R892" s="9"/>
      <c r="S892" s="11"/>
    </row>
    <row r="893" spans="1:19" ht="15.75">
      <c r="A893" s="13">
        <v>68333</v>
      </c>
      <c r="B893" s="8">
        <f>CHOOSE( CONTROL!$C$36, 32.5086, 32.5075) * CHOOSE(CONTROL!$C$19, $D$11, 100%, $F$11)</f>
        <v>32.508600000000001</v>
      </c>
      <c r="C893" s="8">
        <f>CHOOSE( CONTROL!$C$36, 32.5137, 32.5126) * CHOOSE(CONTROL!$C$19, $D$11, 100%, $F$11)</f>
        <v>32.5137</v>
      </c>
      <c r="D893" s="8">
        <f>CHOOSE( CONTROL!$C$36, 32.515, 32.5139) * CHOOSE( CONTROL!$C$19, $D$11, 100%, $F$11)</f>
        <v>32.515000000000001</v>
      </c>
      <c r="E893" s="12">
        <f>CHOOSE( CONTROL!$C$36, 32.514, 32.5129) * CHOOSE( CONTROL!$C$19, $D$11, 100%, $F$11)</f>
        <v>32.514000000000003</v>
      </c>
      <c r="F893" s="4">
        <f>CHOOSE( CONTROL!$C$36, 33.1679, 33.1668) * CHOOSE(CONTROL!$C$19, $D$11, 100%, $F$11)</f>
        <v>33.167900000000003</v>
      </c>
      <c r="G893" s="8">
        <f>CHOOSE( CONTROL!$C$36, 32.1019, 32.1008) * CHOOSE( CONTROL!$C$19, $D$11, 100%, $F$11)</f>
        <v>32.101900000000001</v>
      </c>
      <c r="H893" s="4">
        <f>CHOOSE( CONTROL!$C$36, 32.979, 32.9779) * CHOOSE(CONTROL!$C$19, $D$11, 100%, $F$11)</f>
        <v>32.978999999999999</v>
      </c>
      <c r="I893" s="8">
        <f>CHOOSE( CONTROL!$C$36, 31.6743, 31.6733) * CHOOSE(CONTROL!$C$19, $D$11, 100%, $F$11)</f>
        <v>31.674299999999999</v>
      </c>
      <c r="J893" s="4">
        <f>CHOOSE( CONTROL!$C$36, 31.4947, 31.4937) * CHOOSE(CONTROL!$C$19, $D$11, 100%, $F$11)</f>
        <v>31.494700000000002</v>
      </c>
      <c r="K893" s="4"/>
      <c r="L893" s="9">
        <v>29.306000000000001</v>
      </c>
      <c r="M893" s="9">
        <v>12.063700000000001</v>
      </c>
      <c r="N893" s="9">
        <v>4.9444999999999997</v>
      </c>
      <c r="O893" s="9">
        <v>0.37409999999999999</v>
      </c>
      <c r="P893" s="9">
        <v>1.2927</v>
      </c>
      <c r="Q893" s="9">
        <v>19.688099999999999</v>
      </c>
      <c r="R893" s="9"/>
      <c r="S893" s="11"/>
    </row>
    <row r="894" spans="1:19" ht="15.75">
      <c r="A894" s="13">
        <v>68361</v>
      </c>
      <c r="B894" s="8">
        <f>CHOOSE( CONTROL!$C$36, 30.4059, 30.4048) * CHOOSE(CONTROL!$C$19, $D$11, 100%, $F$11)</f>
        <v>30.405899999999999</v>
      </c>
      <c r="C894" s="8">
        <f>CHOOSE( CONTROL!$C$36, 30.411, 30.4099) * CHOOSE(CONTROL!$C$19, $D$11, 100%, $F$11)</f>
        <v>30.411000000000001</v>
      </c>
      <c r="D894" s="8">
        <f>CHOOSE( CONTROL!$C$36, 30.4122, 30.4111) * CHOOSE( CONTROL!$C$19, $D$11, 100%, $F$11)</f>
        <v>30.412199999999999</v>
      </c>
      <c r="E894" s="12">
        <f>CHOOSE( CONTROL!$C$36, 30.4112, 30.4101) * CHOOSE( CONTROL!$C$19, $D$11, 100%, $F$11)</f>
        <v>30.411200000000001</v>
      </c>
      <c r="F894" s="4">
        <f>CHOOSE( CONTROL!$C$36, 31.0652, 31.0641) * CHOOSE(CONTROL!$C$19, $D$11, 100%, $F$11)</f>
        <v>31.065200000000001</v>
      </c>
      <c r="G894" s="8">
        <f>CHOOSE( CONTROL!$C$36, 30.0284, 30.0274) * CHOOSE( CONTROL!$C$19, $D$11, 100%, $F$11)</f>
        <v>30.028400000000001</v>
      </c>
      <c r="H894" s="4">
        <f>CHOOSE( CONTROL!$C$36, 30.9056, 30.9046) * CHOOSE(CONTROL!$C$19, $D$11, 100%, $F$11)</f>
        <v>30.9056</v>
      </c>
      <c r="I894" s="8">
        <f>CHOOSE( CONTROL!$C$36, 29.6369, 29.6358) * CHOOSE(CONTROL!$C$19, $D$11, 100%, $F$11)</f>
        <v>29.636900000000001</v>
      </c>
      <c r="J894" s="4">
        <f>CHOOSE( CONTROL!$C$36, 29.4587, 29.4577) * CHOOSE(CONTROL!$C$19, $D$11, 100%, $F$11)</f>
        <v>29.4587</v>
      </c>
      <c r="K894" s="4"/>
      <c r="L894" s="9">
        <v>26.469899999999999</v>
      </c>
      <c r="M894" s="9">
        <v>10.8962</v>
      </c>
      <c r="N894" s="9">
        <v>4.4660000000000002</v>
      </c>
      <c r="O894" s="9">
        <v>0.33789999999999998</v>
      </c>
      <c r="P894" s="9">
        <v>1.1676</v>
      </c>
      <c r="Q894" s="9">
        <v>17.782800000000002</v>
      </c>
      <c r="R894" s="9"/>
      <c r="S894" s="11"/>
    </row>
    <row r="895" spans="1:19" ht="15.75">
      <c r="A895" s="13">
        <v>68392</v>
      </c>
      <c r="B895" s="8">
        <f>CHOOSE( CONTROL!$C$36, 29.7583, 29.7572) * CHOOSE(CONTROL!$C$19, $D$11, 100%, $F$11)</f>
        <v>29.758299999999998</v>
      </c>
      <c r="C895" s="8">
        <f>CHOOSE( CONTROL!$C$36, 29.7634, 29.7623) * CHOOSE(CONTROL!$C$19, $D$11, 100%, $F$11)</f>
        <v>29.763400000000001</v>
      </c>
      <c r="D895" s="8">
        <f>CHOOSE( CONTROL!$C$36, 29.7639, 29.7629) * CHOOSE( CONTROL!$C$19, $D$11, 100%, $F$11)</f>
        <v>29.7639</v>
      </c>
      <c r="E895" s="12">
        <f>CHOOSE( CONTROL!$C$36, 29.7632, 29.7621) * CHOOSE( CONTROL!$C$19, $D$11, 100%, $F$11)</f>
        <v>29.763200000000001</v>
      </c>
      <c r="F895" s="4">
        <f>CHOOSE( CONTROL!$C$36, 30.4176, 30.4165) * CHOOSE(CONTROL!$C$19, $D$11, 100%, $F$11)</f>
        <v>30.4176</v>
      </c>
      <c r="G895" s="8">
        <f>CHOOSE( CONTROL!$C$36, 29.3894, 29.3883) * CHOOSE( CONTROL!$C$19, $D$11, 100%, $F$11)</f>
        <v>29.389399999999998</v>
      </c>
      <c r="H895" s="4">
        <f>CHOOSE( CONTROL!$C$36, 30.2671, 30.266) * CHOOSE(CONTROL!$C$19, $D$11, 100%, $F$11)</f>
        <v>30.267099999999999</v>
      </c>
      <c r="I895" s="8">
        <f>CHOOSE( CONTROL!$C$36, 29.0075, 29.0064) * CHOOSE(CONTROL!$C$19, $D$11, 100%, $F$11)</f>
        <v>29.0075</v>
      </c>
      <c r="J895" s="4">
        <f>CHOOSE( CONTROL!$C$36, 28.8316, 28.8306) * CHOOSE(CONTROL!$C$19, $D$11, 100%, $F$11)</f>
        <v>28.831600000000002</v>
      </c>
      <c r="K895" s="4"/>
      <c r="L895" s="9">
        <v>29.306000000000001</v>
      </c>
      <c r="M895" s="9">
        <v>12.063700000000001</v>
      </c>
      <c r="N895" s="9">
        <v>4.9444999999999997</v>
      </c>
      <c r="O895" s="9">
        <v>0.37409999999999999</v>
      </c>
      <c r="P895" s="9">
        <v>1.2927</v>
      </c>
      <c r="Q895" s="9">
        <v>19.688099999999999</v>
      </c>
      <c r="R895" s="9"/>
      <c r="S895" s="11"/>
    </row>
    <row r="896" spans="1:19" ht="15.75">
      <c r="A896" s="13">
        <v>68422</v>
      </c>
      <c r="B896" s="8">
        <f>CHOOSE( CONTROL!$C$36, 30.2116, 30.2105) * CHOOSE(CONTROL!$C$19, $D$11, 100%, $F$11)</f>
        <v>30.211600000000001</v>
      </c>
      <c r="C896" s="8">
        <f>CHOOSE( CONTROL!$C$36, 30.2162, 30.2151) * CHOOSE(CONTROL!$C$19, $D$11, 100%, $F$11)</f>
        <v>30.216200000000001</v>
      </c>
      <c r="D896" s="8">
        <f>CHOOSE( CONTROL!$C$36, 30.2365, 30.2355) * CHOOSE( CONTROL!$C$19, $D$11, 100%, $F$11)</f>
        <v>30.236499999999999</v>
      </c>
      <c r="E896" s="12">
        <f>CHOOSE( CONTROL!$C$36, 30.2293, 30.2282) * CHOOSE( CONTROL!$C$19, $D$11, 100%, $F$11)</f>
        <v>30.229299999999999</v>
      </c>
      <c r="F896" s="4">
        <f>CHOOSE( CONTROL!$C$36, 30.946, 30.9449) * CHOOSE(CONTROL!$C$19, $D$11, 100%, $F$11)</f>
        <v>30.946000000000002</v>
      </c>
      <c r="G896" s="8">
        <f>CHOOSE( CONTROL!$C$36, 29.8437, 29.8427) * CHOOSE( CONTROL!$C$19, $D$11, 100%, $F$11)</f>
        <v>29.843699999999998</v>
      </c>
      <c r="H896" s="4">
        <f>CHOOSE( CONTROL!$C$36, 30.7881, 30.7871) * CHOOSE(CONTROL!$C$19, $D$11, 100%, $F$11)</f>
        <v>30.7881</v>
      </c>
      <c r="I896" s="8">
        <f>CHOOSE( CONTROL!$C$36, 29.4154, 29.4143) * CHOOSE(CONTROL!$C$19, $D$11, 100%, $F$11)</f>
        <v>29.415400000000002</v>
      </c>
      <c r="J896" s="4">
        <f>CHOOSE( CONTROL!$C$36, 29.2698, 29.2688) * CHOOSE(CONTROL!$C$19, $D$11, 100%, $F$11)</f>
        <v>29.2698</v>
      </c>
      <c r="K896" s="4"/>
      <c r="L896" s="9">
        <v>30.092199999999998</v>
      </c>
      <c r="M896" s="9">
        <v>11.6745</v>
      </c>
      <c r="N896" s="9">
        <v>4.7850000000000001</v>
      </c>
      <c r="O896" s="9">
        <v>0.36199999999999999</v>
      </c>
      <c r="P896" s="9">
        <v>1.2509999999999999</v>
      </c>
      <c r="Q896" s="9">
        <v>19.053000000000001</v>
      </c>
      <c r="R896" s="9"/>
      <c r="S896" s="11"/>
    </row>
    <row r="897" spans="1:19" ht="15.75">
      <c r="A897" s="13">
        <v>68453</v>
      </c>
      <c r="B897" s="8">
        <f>CHOOSE( CONTROL!$C$36, 31.019, 31.0173) * CHOOSE(CONTROL!$C$19, $D$11, 100%, $F$11)</f>
        <v>31.018999999999998</v>
      </c>
      <c r="C897" s="8">
        <f>CHOOSE( CONTROL!$C$36, 31.027, 31.0253) * CHOOSE(CONTROL!$C$19, $D$11, 100%, $F$11)</f>
        <v>31.027000000000001</v>
      </c>
      <c r="D897" s="8">
        <f>CHOOSE( CONTROL!$C$36, 31.0412, 31.0395) * CHOOSE( CONTROL!$C$19, $D$11, 100%, $F$11)</f>
        <v>31.0412</v>
      </c>
      <c r="E897" s="12">
        <f>CHOOSE( CONTROL!$C$36, 31.0348, 31.0331) * CHOOSE( CONTROL!$C$19, $D$11, 100%, $F$11)</f>
        <v>31.034800000000001</v>
      </c>
      <c r="F897" s="4">
        <f>CHOOSE( CONTROL!$C$36, 31.752, 31.7503) * CHOOSE(CONTROL!$C$19, $D$11, 100%, $F$11)</f>
        <v>31.751999999999999</v>
      </c>
      <c r="G897" s="8">
        <f>CHOOSE( CONTROL!$C$36, 30.6384, 30.6368) * CHOOSE( CONTROL!$C$19, $D$11, 100%, $F$11)</f>
        <v>30.638400000000001</v>
      </c>
      <c r="H897" s="4">
        <f>CHOOSE( CONTROL!$C$36, 31.5829, 31.5812) * CHOOSE(CONTROL!$C$19, $D$11, 100%, $F$11)</f>
        <v>31.582899999999999</v>
      </c>
      <c r="I897" s="8">
        <f>CHOOSE( CONTROL!$C$36, 30.1958, 30.1942) * CHOOSE(CONTROL!$C$19, $D$11, 100%, $F$11)</f>
        <v>30.195799999999998</v>
      </c>
      <c r="J897" s="4">
        <f>CHOOSE( CONTROL!$C$36, 30.0503, 30.0487) * CHOOSE(CONTROL!$C$19, $D$11, 100%, $F$11)</f>
        <v>30.0503</v>
      </c>
      <c r="K897" s="4"/>
      <c r="L897" s="9">
        <v>30.7165</v>
      </c>
      <c r="M897" s="9">
        <v>12.063700000000001</v>
      </c>
      <c r="N897" s="9">
        <v>4.9444999999999997</v>
      </c>
      <c r="O897" s="9">
        <v>0.37409999999999999</v>
      </c>
      <c r="P897" s="9">
        <v>1.2927</v>
      </c>
      <c r="Q897" s="9">
        <v>19.688099999999999</v>
      </c>
      <c r="R897" s="9"/>
      <c r="S897" s="11"/>
    </row>
    <row r="898" spans="1:19" ht="15.75">
      <c r="A898" s="13">
        <v>68483</v>
      </c>
      <c r="B898" s="8">
        <f>CHOOSE( CONTROL!$C$36, 30.5201, 30.5184) * CHOOSE(CONTROL!$C$19, $D$11, 100%, $F$11)</f>
        <v>30.520099999999999</v>
      </c>
      <c r="C898" s="8">
        <f>CHOOSE( CONTROL!$C$36, 30.528, 30.5264) * CHOOSE(CONTROL!$C$19, $D$11, 100%, $F$11)</f>
        <v>30.527999999999999</v>
      </c>
      <c r="D898" s="8">
        <f>CHOOSE( CONTROL!$C$36, 30.5424, 30.5408) * CHOOSE( CONTROL!$C$19, $D$11, 100%, $F$11)</f>
        <v>30.542400000000001</v>
      </c>
      <c r="E898" s="12">
        <f>CHOOSE( CONTROL!$C$36, 30.536, 30.5344) * CHOOSE( CONTROL!$C$19, $D$11, 100%, $F$11)</f>
        <v>30.536000000000001</v>
      </c>
      <c r="F898" s="4">
        <f>CHOOSE( CONTROL!$C$36, 31.2531, 31.2514) * CHOOSE(CONTROL!$C$19, $D$11, 100%, $F$11)</f>
        <v>31.2531</v>
      </c>
      <c r="G898" s="8">
        <f>CHOOSE( CONTROL!$C$36, 30.1466, 30.145) * CHOOSE( CONTROL!$C$19, $D$11, 100%, $F$11)</f>
        <v>30.146599999999999</v>
      </c>
      <c r="H898" s="4">
        <f>CHOOSE( CONTROL!$C$36, 31.0909, 31.0893) * CHOOSE(CONTROL!$C$19, $D$11, 100%, $F$11)</f>
        <v>31.090900000000001</v>
      </c>
      <c r="I898" s="8">
        <f>CHOOSE( CONTROL!$C$36, 29.7131, 29.7115) * CHOOSE(CONTROL!$C$19, $D$11, 100%, $F$11)</f>
        <v>29.713100000000001</v>
      </c>
      <c r="J898" s="4">
        <f>CHOOSE( CONTROL!$C$36, 29.5672, 29.5656) * CHOOSE(CONTROL!$C$19, $D$11, 100%, $F$11)</f>
        <v>29.5672</v>
      </c>
      <c r="K898" s="4"/>
      <c r="L898" s="9">
        <v>29.7257</v>
      </c>
      <c r="M898" s="9">
        <v>11.6745</v>
      </c>
      <c r="N898" s="9">
        <v>4.7850000000000001</v>
      </c>
      <c r="O898" s="9">
        <v>0.36199999999999999</v>
      </c>
      <c r="P898" s="9">
        <v>1.2509999999999999</v>
      </c>
      <c r="Q898" s="9">
        <v>19.053000000000001</v>
      </c>
      <c r="R898" s="9"/>
      <c r="S898" s="11"/>
    </row>
    <row r="899" spans="1:19" ht="15.75">
      <c r="A899" s="13">
        <v>68514</v>
      </c>
      <c r="B899" s="8">
        <f>CHOOSE( CONTROL!$C$36, 31.8339, 31.8323) * CHOOSE(CONTROL!$C$19, $D$11, 100%, $F$11)</f>
        <v>31.8339</v>
      </c>
      <c r="C899" s="8">
        <f>CHOOSE( CONTROL!$C$36, 31.8419, 31.8403) * CHOOSE(CONTROL!$C$19, $D$11, 100%, $F$11)</f>
        <v>31.841899999999999</v>
      </c>
      <c r="D899" s="8">
        <f>CHOOSE( CONTROL!$C$36, 31.8565, 31.8549) * CHOOSE( CONTROL!$C$19, $D$11, 100%, $F$11)</f>
        <v>31.8565</v>
      </c>
      <c r="E899" s="12">
        <f>CHOOSE( CONTROL!$C$36, 31.85, 31.8484) * CHOOSE( CONTROL!$C$19, $D$11, 100%, $F$11)</f>
        <v>31.85</v>
      </c>
      <c r="F899" s="4">
        <f>CHOOSE( CONTROL!$C$36, 32.5669, 32.5653) * CHOOSE(CONTROL!$C$19, $D$11, 100%, $F$11)</f>
        <v>32.566899999999997</v>
      </c>
      <c r="G899" s="8">
        <f>CHOOSE( CONTROL!$C$36, 31.4423, 31.4407) * CHOOSE( CONTROL!$C$19, $D$11, 100%, $F$11)</f>
        <v>31.442299999999999</v>
      </c>
      <c r="H899" s="4">
        <f>CHOOSE( CONTROL!$C$36, 32.3864, 32.3848) * CHOOSE(CONTROL!$C$19, $D$11, 100%, $F$11)</f>
        <v>32.386400000000002</v>
      </c>
      <c r="I899" s="8">
        <f>CHOOSE( CONTROL!$C$36, 30.9868, 30.9852) * CHOOSE(CONTROL!$C$19, $D$11, 100%, $F$11)</f>
        <v>30.986799999999999</v>
      </c>
      <c r="J899" s="4">
        <f>CHOOSE( CONTROL!$C$36, 30.8394, 30.8378) * CHOOSE(CONTROL!$C$19, $D$11, 100%, $F$11)</f>
        <v>30.839400000000001</v>
      </c>
      <c r="K899" s="4"/>
      <c r="L899" s="9">
        <v>30.7165</v>
      </c>
      <c r="M899" s="9">
        <v>12.063700000000001</v>
      </c>
      <c r="N899" s="9">
        <v>4.9444999999999997</v>
      </c>
      <c r="O899" s="9">
        <v>0.37409999999999999</v>
      </c>
      <c r="P899" s="9">
        <v>1.2927</v>
      </c>
      <c r="Q899" s="9">
        <v>19.688099999999999</v>
      </c>
      <c r="R899" s="9"/>
      <c r="S899" s="11"/>
    </row>
    <row r="900" spans="1:19" ht="15.75">
      <c r="A900" s="13">
        <v>68545</v>
      </c>
      <c r="B900" s="8">
        <f>CHOOSE( CONTROL!$C$36, 29.3755, 29.3739) * CHOOSE(CONTROL!$C$19, $D$11, 100%, $F$11)</f>
        <v>29.375499999999999</v>
      </c>
      <c r="C900" s="8">
        <f>CHOOSE( CONTROL!$C$36, 29.3835, 29.3819) * CHOOSE(CONTROL!$C$19, $D$11, 100%, $F$11)</f>
        <v>29.383500000000002</v>
      </c>
      <c r="D900" s="8">
        <f>CHOOSE( CONTROL!$C$36, 29.3982, 29.3966) * CHOOSE( CONTROL!$C$19, $D$11, 100%, $F$11)</f>
        <v>29.398199999999999</v>
      </c>
      <c r="E900" s="12">
        <f>CHOOSE( CONTROL!$C$36, 29.3917, 29.3901) * CHOOSE( CONTROL!$C$19, $D$11, 100%, $F$11)</f>
        <v>29.3917</v>
      </c>
      <c r="F900" s="4">
        <f>CHOOSE( CONTROL!$C$36, 30.1086, 30.1069) * CHOOSE(CONTROL!$C$19, $D$11, 100%, $F$11)</f>
        <v>30.108599999999999</v>
      </c>
      <c r="G900" s="8">
        <f>CHOOSE( CONTROL!$C$36, 29.0183, 29.0166) * CHOOSE( CONTROL!$C$19, $D$11, 100%, $F$11)</f>
        <v>29.0183</v>
      </c>
      <c r="H900" s="4">
        <f>CHOOSE( CONTROL!$C$36, 29.9624, 29.9607) * CHOOSE(CONTROL!$C$19, $D$11, 100%, $F$11)</f>
        <v>29.962399999999999</v>
      </c>
      <c r="I900" s="8">
        <f>CHOOSE( CONTROL!$C$36, 28.6054, 28.6038) * CHOOSE(CONTROL!$C$19, $D$11, 100%, $F$11)</f>
        <v>28.605399999999999</v>
      </c>
      <c r="J900" s="4">
        <f>CHOOSE( CONTROL!$C$36, 28.4589, 28.4573) * CHOOSE(CONTROL!$C$19, $D$11, 100%, $F$11)</f>
        <v>28.4589</v>
      </c>
      <c r="K900" s="4"/>
      <c r="L900" s="9">
        <v>30.7165</v>
      </c>
      <c r="M900" s="9">
        <v>12.063700000000001</v>
      </c>
      <c r="N900" s="9">
        <v>4.9444999999999997</v>
      </c>
      <c r="O900" s="9">
        <v>0.37409999999999999</v>
      </c>
      <c r="P900" s="9">
        <v>1.2927</v>
      </c>
      <c r="Q900" s="9">
        <v>19.688099999999999</v>
      </c>
      <c r="R900" s="9"/>
      <c r="S900" s="11"/>
    </row>
    <row r="901" spans="1:19" ht="15.75">
      <c r="A901" s="13">
        <v>68575</v>
      </c>
      <c r="B901" s="8">
        <f>CHOOSE( CONTROL!$C$36, 28.7599, 28.7583) * CHOOSE(CONTROL!$C$19, $D$11, 100%, $F$11)</f>
        <v>28.759899999999998</v>
      </c>
      <c r="C901" s="8">
        <f>CHOOSE( CONTROL!$C$36, 28.7679, 28.7663) * CHOOSE(CONTROL!$C$19, $D$11, 100%, $F$11)</f>
        <v>28.767900000000001</v>
      </c>
      <c r="D901" s="8">
        <f>CHOOSE( CONTROL!$C$36, 28.7825, 28.7809) * CHOOSE( CONTROL!$C$19, $D$11, 100%, $F$11)</f>
        <v>28.782499999999999</v>
      </c>
      <c r="E901" s="12">
        <f>CHOOSE( CONTROL!$C$36, 28.776, 28.7744) * CHOOSE( CONTROL!$C$19, $D$11, 100%, $F$11)</f>
        <v>28.776</v>
      </c>
      <c r="F901" s="4">
        <f>CHOOSE( CONTROL!$C$36, 29.493, 29.4913) * CHOOSE(CONTROL!$C$19, $D$11, 100%, $F$11)</f>
        <v>29.492999999999999</v>
      </c>
      <c r="G901" s="8">
        <f>CHOOSE( CONTROL!$C$36, 28.4112, 28.4095) * CHOOSE( CONTROL!$C$19, $D$11, 100%, $F$11)</f>
        <v>28.411200000000001</v>
      </c>
      <c r="H901" s="4">
        <f>CHOOSE( CONTROL!$C$36, 29.3553, 29.3537) * CHOOSE(CONTROL!$C$19, $D$11, 100%, $F$11)</f>
        <v>29.3553</v>
      </c>
      <c r="I901" s="8">
        <f>CHOOSE( CONTROL!$C$36, 28.0086, 28.007) * CHOOSE(CONTROL!$C$19, $D$11, 100%, $F$11)</f>
        <v>28.008600000000001</v>
      </c>
      <c r="J901" s="4">
        <f>CHOOSE( CONTROL!$C$36, 27.8628, 27.8612) * CHOOSE(CONTROL!$C$19, $D$11, 100%, $F$11)</f>
        <v>27.8628</v>
      </c>
      <c r="K901" s="4"/>
      <c r="L901" s="9">
        <v>29.7257</v>
      </c>
      <c r="M901" s="9">
        <v>11.6745</v>
      </c>
      <c r="N901" s="9">
        <v>4.7850000000000001</v>
      </c>
      <c r="O901" s="9">
        <v>0.36199999999999999</v>
      </c>
      <c r="P901" s="9">
        <v>1.2509999999999999</v>
      </c>
      <c r="Q901" s="9">
        <v>19.053000000000001</v>
      </c>
      <c r="R901" s="9"/>
      <c r="S901" s="11"/>
    </row>
    <row r="902" spans="1:19" ht="15.75">
      <c r="A902" s="13">
        <v>68606</v>
      </c>
      <c r="B902" s="8">
        <f>CHOOSE( CONTROL!$C$36, 30.0358, 30.0348) * CHOOSE(CONTROL!$C$19, $D$11, 100%, $F$11)</f>
        <v>30.035799999999998</v>
      </c>
      <c r="C902" s="8">
        <f>CHOOSE( CONTROL!$C$36, 30.0412, 30.0401) * CHOOSE(CONTROL!$C$19, $D$11, 100%, $F$11)</f>
        <v>30.0412</v>
      </c>
      <c r="D902" s="8">
        <f>CHOOSE( CONTROL!$C$36, 30.0617, 30.0606) * CHOOSE( CONTROL!$C$19, $D$11, 100%, $F$11)</f>
        <v>30.061699999999998</v>
      </c>
      <c r="E902" s="12">
        <f>CHOOSE( CONTROL!$C$36, 30.0544, 30.0533) * CHOOSE( CONTROL!$C$19, $D$11, 100%, $F$11)</f>
        <v>30.054400000000001</v>
      </c>
      <c r="F902" s="4">
        <f>CHOOSE( CONTROL!$C$36, 30.7706, 30.7695) * CHOOSE(CONTROL!$C$19, $D$11, 100%, $F$11)</f>
        <v>30.770600000000002</v>
      </c>
      <c r="G902" s="8">
        <f>CHOOSE( CONTROL!$C$36, 29.6712, 29.6701) * CHOOSE( CONTROL!$C$19, $D$11, 100%, $F$11)</f>
        <v>29.671199999999999</v>
      </c>
      <c r="H902" s="4">
        <f>CHOOSE( CONTROL!$C$36, 30.6152, 30.6141) * CHOOSE(CONTROL!$C$19, $D$11, 100%, $F$11)</f>
        <v>30.615200000000002</v>
      </c>
      <c r="I902" s="8">
        <f>CHOOSE( CONTROL!$C$36, 29.2474, 29.2464) * CHOOSE(CONTROL!$C$19, $D$11, 100%, $F$11)</f>
        <v>29.247399999999999</v>
      </c>
      <c r="J902" s="4">
        <f>CHOOSE( CONTROL!$C$36, 29.1, 29.0989) * CHOOSE(CONTROL!$C$19, $D$11, 100%, $F$11)</f>
        <v>29.1</v>
      </c>
      <c r="K902" s="4"/>
      <c r="L902" s="9">
        <v>31.095300000000002</v>
      </c>
      <c r="M902" s="9">
        <v>12.063700000000001</v>
      </c>
      <c r="N902" s="9">
        <v>4.9444999999999997</v>
      </c>
      <c r="O902" s="9">
        <v>0.37409999999999999</v>
      </c>
      <c r="P902" s="9">
        <v>1.2927</v>
      </c>
      <c r="Q902" s="9">
        <v>19.688099999999999</v>
      </c>
      <c r="R902" s="9"/>
      <c r="S902" s="11"/>
    </row>
    <row r="903" spans="1:19" ht="15.75">
      <c r="A903" s="13">
        <v>68636</v>
      </c>
      <c r="B903" s="8">
        <f>CHOOSE( CONTROL!$C$36, 32.3948, 32.3937) * CHOOSE(CONTROL!$C$19, $D$11, 100%, $F$11)</f>
        <v>32.394799999999996</v>
      </c>
      <c r="C903" s="8">
        <f>CHOOSE( CONTROL!$C$36, 32.3999, 32.3988) * CHOOSE(CONTROL!$C$19, $D$11, 100%, $F$11)</f>
        <v>32.399900000000002</v>
      </c>
      <c r="D903" s="8">
        <f>CHOOSE( CONTROL!$C$36, 32.3791, 32.378) * CHOOSE( CONTROL!$C$19, $D$11, 100%, $F$11)</f>
        <v>32.379100000000001</v>
      </c>
      <c r="E903" s="12">
        <f>CHOOSE( CONTROL!$C$36, 32.3862, 32.3851) * CHOOSE( CONTROL!$C$19, $D$11, 100%, $F$11)</f>
        <v>32.386200000000002</v>
      </c>
      <c r="F903" s="4">
        <f>CHOOSE( CONTROL!$C$36, 33.054, 33.0529) * CHOOSE(CONTROL!$C$19, $D$11, 100%, $F$11)</f>
        <v>33.054000000000002</v>
      </c>
      <c r="G903" s="8">
        <f>CHOOSE( CONTROL!$C$36, 31.9776, 31.9765) * CHOOSE( CONTROL!$C$19, $D$11, 100%, $F$11)</f>
        <v>31.977599999999999</v>
      </c>
      <c r="H903" s="4">
        <f>CHOOSE( CONTROL!$C$36, 32.8667, 32.8656) * CHOOSE(CONTROL!$C$19, $D$11, 100%, $F$11)</f>
        <v>32.866700000000002</v>
      </c>
      <c r="I903" s="8">
        <f>CHOOSE( CONTROL!$C$36, 31.5822, 31.5812) * CHOOSE(CONTROL!$C$19, $D$11, 100%, $F$11)</f>
        <v>31.5822</v>
      </c>
      <c r="J903" s="4">
        <f>CHOOSE( CONTROL!$C$36, 31.3845, 31.3835) * CHOOSE(CONTROL!$C$19, $D$11, 100%, $F$11)</f>
        <v>31.384499999999999</v>
      </c>
      <c r="K903" s="4"/>
      <c r="L903" s="9">
        <v>28.360600000000002</v>
      </c>
      <c r="M903" s="9">
        <v>11.6745</v>
      </c>
      <c r="N903" s="9">
        <v>4.7850000000000001</v>
      </c>
      <c r="O903" s="9">
        <v>0.36199999999999999</v>
      </c>
      <c r="P903" s="9">
        <v>1.2509999999999999</v>
      </c>
      <c r="Q903" s="9">
        <v>19.053000000000001</v>
      </c>
      <c r="R903" s="9"/>
      <c r="S903" s="11"/>
    </row>
    <row r="904" spans="1:19" ht="15.75">
      <c r="A904" s="13">
        <v>68667</v>
      </c>
      <c r="B904" s="8">
        <f>CHOOSE( CONTROL!$C$36, 32.3358, 32.3347) * CHOOSE(CONTROL!$C$19, $D$11, 100%, $F$11)</f>
        <v>32.335799999999999</v>
      </c>
      <c r="C904" s="8">
        <f>CHOOSE( CONTROL!$C$36, 32.3409, 32.3398) * CHOOSE(CONTROL!$C$19, $D$11, 100%, $F$11)</f>
        <v>32.340899999999998</v>
      </c>
      <c r="D904" s="8">
        <f>CHOOSE( CONTROL!$C$36, 32.3215, 32.3204) * CHOOSE( CONTROL!$C$19, $D$11, 100%, $F$11)</f>
        <v>32.3215</v>
      </c>
      <c r="E904" s="12">
        <f>CHOOSE( CONTROL!$C$36, 32.3281, 32.327) * CHOOSE( CONTROL!$C$19, $D$11, 100%, $F$11)</f>
        <v>32.328099999999999</v>
      </c>
      <c r="F904" s="4">
        <f>CHOOSE( CONTROL!$C$36, 32.9951, 32.994) * CHOOSE(CONTROL!$C$19, $D$11, 100%, $F$11)</f>
        <v>32.995100000000001</v>
      </c>
      <c r="G904" s="8">
        <f>CHOOSE( CONTROL!$C$36, 31.9204, 31.9194) * CHOOSE( CONTROL!$C$19, $D$11, 100%, $F$11)</f>
        <v>31.920400000000001</v>
      </c>
      <c r="H904" s="4">
        <f>CHOOSE( CONTROL!$C$36, 32.8086, 32.8075) * CHOOSE(CONTROL!$C$19, $D$11, 100%, $F$11)</f>
        <v>32.808599999999998</v>
      </c>
      <c r="I904" s="8">
        <f>CHOOSE( CONTROL!$C$36, 31.5294, 31.5284) * CHOOSE(CONTROL!$C$19, $D$11, 100%, $F$11)</f>
        <v>31.529399999999999</v>
      </c>
      <c r="J904" s="4">
        <f>CHOOSE( CONTROL!$C$36, 31.3274, 31.3264) * CHOOSE(CONTROL!$C$19, $D$11, 100%, $F$11)</f>
        <v>31.327400000000001</v>
      </c>
      <c r="K904" s="4"/>
      <c r="L904" s="9">
        <v>29.306000000000001</v>
      </c>
      <c r="M904" s="9">
        <v>12.063700000000001</v>
      </c>
      <c r="N904" s="9">
        <v>4.9444999999999997</v>
      </c>
      <c r="O904" s="9">
        <v>0.37409999999999999</v>
      </c>
      <c r="P904" s="9">
        <v>1.2927</v>
      </c>
      <c r="Q904" s="9">
        <v>19.688099999999999</v>
      </c>
      <c r="R904" s="9"/>
      <c r="S904" s="11"/>
    </row>
    <row r="905" spans="1:19" ht="15.75">
      <c r="A905" s="13">
        <v>68698</v>
      </c>
      <c r="B905" s="8">
        <f>CHOOSE( CONTROL!$C$36, 33.2901, 33.289) * CHOOSE(CONTROL!$C$19, $D$11, 100%, $F$11)</f>
        <v>33.290100000000002</v>
      </c>
      <c r="C905" s="8">
        <f>CHOOSE( CONTROL!$C$36, 33.2952, 33.2941) * CHOOSE(CONTROL!$C$19, $D$11, 100%, $F$11)</f>
        <v>33.295200000000001</v>
      </c>
      <c r="D905" s="8">
        <f>CHOOSE( CONTROL!$C$36, 33.2965, 33.2954) * CHOOSE( CONTROL!$C$19, $D$11, 100%, $F$11)</f>
        <v>33.296500000000002</v>
      </c>
      <c r="E905" s="12">
        <f>CHOOSE( CONTROL!$C$36, 33.2955, 33.2944) * CHOOSE( CONTROL!$C$19, $D$11, 100%, $F$11)</f>
        <v>33.295499999999997</v>
      </c>
      <c r="F905" s="4">
        <f>CHOOSE( CONTROL!$C$36, 33.9493, 33.9483) * CHOOSE(CONTROL!$C$19, $D$11, 100%, $F$11)</f>
        <v>33.949300000000001</v>
      </c>
      <c r="G905" s="8">
        <f>CHOOSE( CONTROL!$C$36, 32.8724, 32.8714) * CHOOSE( CONTROL!$C$19, $D$11, 100%, $F$11)</f>
        <v>32.872399999999999</v>
      </c>
      <c r="H905" s="4">
        <f>CHOOSE( CONTROL!$C$36, 33.7496, 33.7485) * CHOOSE(CONTROL!$C$19, $D$11, 100%, $F$11)</f>
        <v>33.749600000000001</v>
      </c>
      <c r="I905" s="8">
        <f>CHOOSE( CONTROL!$C$36, 32.4314, 32.4304) * CHOOSE(CONTROL!$C$19, $D$11, 100%, $F$11)</f>
        <v>32.431399999999996</v>
      </c>
      <c r="J905" s="4">
        <f>CHOOSE( CONTROL!$C$36, 32.2515, 32.2504) * CHOOSE(CONTROL!$C$19, $D$11, 100%, $F$11)</f>
        <v>32.2515</v>
      </c>
      <c r="K905" s="4"/>
      <c r="L905" s="9">
        <v>29.306000000000001</v>
      </c>
      <c r="M905" s="9">
        <v>12.063700000000001</v>
      </c>
      <c r="N905" s="9">
        <v>4.9444999999999997</v>
      </c>
      <c r="O905" s="9">
        <v>0.37409999999999999</v>
      </c>
      <c r="P905" s="9">
        <v>1.2927</v>
      </c>
      <c r="Q905" s="9">
        <v>19.688099999999999</v>
      </c>
      <c r="R905" s="9"/>
      <c r="S905" s="11"/>
    </row>
    <row r="906" spans="1:19" ht="15.75">
      <c r="A906" s="13">
        <v>68727</v>
      </c>
      <c r="B906" s="8">
        <f>CHOOSE( CONTROL!$C$36, 31.1369, 31.1358) * CHOOSE(CONTROL!$C$19, $D$11, 100%, $F$11)</f>
        <v>31.136900000000001</v>
      </c>
      <c r="C906" s="8">
        <f>CHOOSE( CONTROL!$C$36, 31.142, 31.1409) * CHOOSE(CONTROL!$C$19, $D$11, 100%, $F$11)</f>
        <v>31.141999999999999</v>
      </c>
      <c r="D906" s="8">
        <f>CHOOSE( CONTROL!$C$36, 31.1432, 31.1421) * CHOOSE( CONTROL!$C$19, $D$11, 100%, $F$11)</f>
        <v>31.1432</v>
      </c>
      <c r="E906" s="12">
        <f>CHOOSE( CONTROL!$C$36, 31.1422, 31.1411) * CHOOSE( CONTROL!$C$19, $D$11, 100%, $F$11)</f>
        <v>31.142199999999999</v>
      </c>
      <c r="F906" s="4">
        <f>CHOOSE( CONTROL!$C$36, 31.7962, 31.7951) * CHOOSE(CONTROL!$C$19, $D$11, 100%, $F$11)</f>
        <v>31.796199999999999</v>
      </c>
      <c r="G906" s="8">
        <f>CHOOSE( CONTROL!$C$36, 30.7492, 30.7481) * CHOOSE( CONTROL!$C$19, $D$11, 100%, $F$11)</f>
        <v>30.749199999999998</v>
      </c>
      <c r="H906" s="4">
        <f>CHOOSE( CONTROL!$C$36, 31.6264, 31.6253) * CHOOSE(CONTROL!$C$19, $D$11, 100%, $F$11)</f>
        <v>31.6264</v>
      </c>
      <c r="I906" s="8">
        <f>CHOOSE( CONTROL!$C$36, 30.345, 30.344) * CHOOSE(CONTROL!$C$19, $D$11, 100%, $F$11)</f>
        <v>30.344999999999999</v>
      </c>
      <c r="J906" s="4">
        <f>CHOOSE( CONTROL!$C$36, 30.1665, 30.1655) * CHOOSE(CONTROL!$C$19, $D$11, 100%, $F$11)</f>
        <v>30.166499999999999</v>
      </c>
      <c r="K906" s="4"/>
      <c r="L906" s="9">
        <v>27.415299999999998</v>
      </c>
      <c r="M906" s="9">
        <v>11.285299999999999</v>
      </c>
      <c r="N906" s="9">
        <v>4.6254999999999997</v>
      </c>
      <c r="O906" s="9">
        <v>0.34989999999999999</v>
      </c>
      <c r="P906" s="9">
        <v>1.2093</v>
      </c>
      <c r="Q906" s="9">
        <v>18.417899999999999</v>
      </c>
      <c r="R906" s="9"/>
      <c r="S906" s="11"/>
    </row>
    <row r="907" spans="1:19" ht="15.75">
      <c r="A907" s="13">
        <v>68758</v>
      </c>
      <c r="B907" s="8">
        <f>CHOOSE( CONTROL!$C$36, 30.4737, 30.4726) * CHOOSE(CONTROL!$C$19, $D$11, 100%, $F$11)</f>
        <v>30.473700000000001</v>
      </c>
      <c r="C907" s="8">
        <f>CHOOSE( CONTROL!$C$36, 30.4788, 30.4777) * CHOOSE(CONTROL!$C$19, $D$11, 100%, $F$11)</f>
        <v>30.4788</v>
      </c>
      <c r="D907" s="8">
        <f>CHOOSE( CONTROL!$C$36, 30.4793, 30.4783) * CHOOSE( CONTROL!$C$19, $D$11, 100%, $F$11)</f>
        <v>30.479299999999999</v>
      </c>
      <c r="E907" s="12">
        <f>CHOOSE( CONTROL!$C$36, 30.4786, 30.4775) * CHOOSE( CONTROL!$C$19, $D$11, 100%, $F$11)</f>
        <v>30.4786</v>
      </c>
      <c r="F907" s="4">
        <f>CHOOSE( CONTROL!$C$36, 31.133, 31.1319) * CHOOSE(CONTROL!$C$19, $D$11, 100%, $F$11)</f>
        <v>31.132999999999999</v>
      </c>
      <c r="G907" s="8">
        <f>CHOOSE( CONTROL!$C$36, 30.0948, 30.0937) * CHOOSE( CONTROL!$C$19, $D$11, 100%, $F$11)</f>
        <v>30.094799999999999</v>
      </c>
      <c r="H907" s="4">
        <f>CHOOSE( CONTROL!$C$36, 30.9725, 30.9714) * CHOOSE(CONTROL!$C$19, $D$11, 100%, $F$11)</f>
        <v>30.9725</v>
      </c>
      <c r="I907" s="8">
        <f>CHOOSE( CONTROL!$C$36, 29.7006, 29.6995) * CHOOSE(CONTROL!$C$19, $D$11, 100%, $F$11)</f>
        <v>29.700600000000001</v>
      </c>
      <c r="J907" s="4">
        <f>CHOOSE( CONTROL!$C$36, 29.5244, 29.5233) * CHOOSE(CONTROL!$C$19, $D$11, 100%, $F$11)</f>
        <v>29.5244</v>
      </c>
      <c r="K907" s="4"/>
      <c r="L907" s="9">
        <v>29.306000000000001</v>
      </c>
      <c r="M907" s="9">
        <v>12.063700000000001</v>
      </c>
      <c r="N907" s="9">
        <v>4.9444999999999997</v>
      </c>
      <c r="O907" s="9">
        <v>0.37409999999999999</v>
      </c>
      <c r="P907" s="9">
        <v>1.2927</v>
      </c>
      <c r="Q907" s="9">
        <v>19.688099999999999</v>
      </c>
      <c r="R907" s="9"/>
      <c r="S907" s="11"/>
    </row>
    <row r="908" spans="1:19" ht="15.75">
      <c r="A908" s="13">
        <v>68788</v>
      </c>
      <c r="B908" s="8">
        <f>CHOOSE( CONTROL!$C$36, 30.9379, 30.9368) * CHOOSE(CONTROL!$C$19, $D$11, 100%, $F$11)</f>
        <v>30.937899999999999</v>
      </c>
      <c r="C908" s="8">
        <f>CHOOSE( CONTROL!$C$36, 30.9424, 30.9413) * CHOOSE(CONTROL!$C$19, $D$11, 100%, $F$11)</f>
        <v>30.942399999999999</v>
      </c>
      <c r="D908" s="8">
        <f>CHOOSE( CONTROL!$C$36, 30.9628, 30.9617) * CHOOSE( CONTROL!$C$19, $D$11, 100%, $F$11)</f>
        <v>30.962800000000001</v>
      </c>
      <c r="E908" s="12">
        <f>CHOOSE( CONTROL!$C$36, 30.9555, 30.9544) * CHOOSE( CONTROL!$C$19, $D$11, 100%, $F$11)</f>
        <v>30.955500000000001</v>
      </c>
      <c r="F908" s="4">
        <f>CHOOSE( CONTROL!$C$36, 31.6723, 31.6712) * CHOOSE(CONTROL!$C$19, $D$11, 100%, $F$11)</f>
        <v>31.6723</v>
      </c>
      <c r="G908" s="8">
        <f>CHOOSE( CONTROL!$C$36, 30.5599, 30.5588) * CHOOSE( CONTROL!$C$19, $D$11, 100%, $F$11)</f>
        <v>30.559899999999999</v>
      </c>
      <c r="H908" s="4">
        <f>CHOOSE( CONTROL!$C$36, 31.5043, 31.5032) * CHOOSE(CONTROL!$C$19, $D$11, 100%, $F$11)</f>
        <v>31.504300000000001</v>
      </c>
      <c r="I908" s="8">
        <f>CHOOSE( CONTROL!$C$36, 30.119, 30.118) * CHOOSE(CONTROL!$C$19, $D$11, 100%, $F$11)</f>
        <v>30.119</v>
      </c>
      <c r="J908" s="4">
        <f>CHOOSE( CONTROL!$C$36, 29.9731, 29.972) * CHOOSE(CONTROL!$C$19, $D$11, 100%, $F$11)</f>
        <v>29.973099999999999</v>
      </c>
      <c r="K908" s="4"/>
      <c r="L908" s="9">
        <v>30.092199999999998</v>
      </c>
      <c r="M908" s="9">
        <v>11.6745</v>
      </c>
      <c r="N908" s="9">
        <v>4.7850000000000001</v>
      </c>
      <c r="O908" s="9">
        <v>0.36199999999999999</v>
      </c>
      <c r="P908" s="9">
        <v>1.2509999999999999</v>
      </c>
      <c r="Q908" s="9">
        <v>19.053000000000001</v>
      </c>
      <c r="R908" s="9"/>
      <c r="S908" s="11"/>
    </row>
    <row r="909" spans="1:19" ht="15.75">
      <c r="A909" s="13">
        <v>68819</v>
      </c>
      <c r="B909" s="8">
        <f>CHOOSE( CONTROL!$C$36, 31.7646, 31.7629) * CHOOSE(CONTROL!$C$19, $D$11, 100%, $F$11)</f>
        <v>31.764600000000002</v>
      </c>
      <c r="C909" s="8">
        <f>CHOOSE( CONTROL!$C$36, 31.7726, 31.7709) * CHOOSE(CONTROL!$C$19, $D$11, 100%, $F$11)</f>
        <v>31.772600000000001</v>
      </c>
      <c r="D909" s="8">
        <f>CHOOSE( CONTROL!$C$36, 31.7868, 31.7851) * CHOOSE( CONTROL!$C$19, $D$11, 100%, $F$11)</f>
        <v>31.786799999999999</v>
      </c>
      <c r="E909" s="12">
        <f>CHOOSE( CONTROL!$C$36, 31.7804, 31.7787) * CHOOSE( CONTROL!$C$19, $D$11, 100%, $F$11)</f>
        <v>31.7804</v>
      </c>
      <c r="F909" s="4">
        <f>CHOOSE( CONTROL!$C$36, 32.4976, 32.496) * CHOOSE(CONTROL!$C$19, $D$11, 100%, $F$11)</f>
        <v>32.497599999999998</v>
      </c>
      <c r="G909" s="8">
        <f>CHOOSE( CONTROL!$C$36, 31.3736, 31.372) * CHOOSE( CONTROL!$C$19, $D$11, 100%, $F$11)</f>
        <v>31.3736</v>
      </c>
      <c r="H909" s="4">
        <f>CHOOSE( CONTROL!$C$36, 32.3181, 32.3165) * CHOOSE(CONTROL!$C$19, $D$11, 100%, $F$11)</f>
        <v>32.318100000000001</v>
      </c>
      <c r="I909" s="8">
        <f>CHOOSE( CONTROL!$C$36, 30.9182, 30.9166) * CHOOSE(CONTROL!$C$19, $D$11, 100%, $F$11)</f>
        <v>30.918199999999999</v>
      </c>
      <c r="J909" s="4">
        <f>CHOOSE( CONTROL!$C$36, 30.7723, 30.7707) * CHOOSE(CONTROL!$C$19, $D$11, 100%, $F$11)</f>
        <v>30.772300000000001</v>
      </c>
      <c r="K909" s="4"/>
      <c r="L909" s="9">
        <v>30.7165</v>
      </c>
      <c r="M909" s="9">
        <v>12.063700000000001</v>
      </c>
      <c r="N909" s="9">
        <v>4.9444999999999997</v>
      </c>
      <c r="O909" s="9">
        <v>0.37409999999999999</v>
      </c>
      <c r="P909" s="9">
        <v>1.2927</v>
      </c>
      <c r="Q909" s="9">
        <v>19.688099999999999</v>
      </c>
      <c r="R909" s="9"/>
      <c r="S909" s="11"/>
    </row>
    <row r="910" spans="1:19" ht="15.75">
      <c r="A910" s="13">
        <v>68849</v>
      </c>
      <c r="B910" s="8">
        <f>CHOOSE( CONTROL!$C$36, 31.2537, 31.252) * CHOOSE(CONTROL!$C$19, $D$11, 100%, $F$11)</f>
        <v>31.253699999999998</v>
      </c>
      <c r="C910" s="8">
        <f>CHOOSE( CONTROL!$C$36, 31.2617, 31.26) * CHOOSE(CONTROL!$C$19, $D$11, 100%, $F$11)</f>
        <v>31.261700000000001</v>
      </c>
      <c r="D910" s="8">
        <f>CHOOSE( CONTROL!$C$36, 31.2761, 31.2744) * CHOOSE( CONTROL!$C$19, $D$11, 100%, $F$11)</f>
        <v>31.2761</v>
      </c>
      <c r="E910" s="12">
        <f>CHOOSE( CONTROL!$C$36, 31.2697, 31.268) * CHOOSE( CONTROL!$C$19, $D$11, 100%, $F$11)</f>
        <v>31.2697</v>
      </c>
      <c r="F910" s="4">
        <f>CHOOSE( CONTROL!$C$36, 31.9867, 31.9851) * CHOOSE(CONTROL!$C$19, $D$11, 100%, $F$11)</f>
        <v>31.986699999999999</v>
      </c>
      <c r="G910" s="8">
        <f>CHOOSE( CONTROL!$C$36, 30.87, 30.8684) * CHOOSE( CONTROL!$C$19, $D$11, 100%, $F$11)</f>
        <v>30.87</v>
      </c>
      <c r="H910" s="4">
        <f>CHOOSE( CONTROL!$C$36, 31.8143, 31.8127) * CHOOSE(CONTROL!$C$19, $D$11, 100%, $F$11)</f>
        <v>31.814299999999999</v>
      </c>
      <c r="I910" s="8">
        <f>CHOOSE( CONTROL!$C$36, 30.4239, 30.4223) * CHOOSE(CONTROL!$C$19, $D$11, 100%, $F$11)</f>
        <v>30.4239</v>
      </c>
      <c r="J910" s="4">
        <f>CHOOSE( CONTROL!$C$36, 30.2775, 30.2759) * CHOOSE(CONTROL!$C$19, $D$11, 100%, $F$11)</f>
        <v>30.2775</v>
      </c>
      <c r="K910" s="4"/>
      <c r="L910" s="9">
        <v>29.7257</v>
      </c>
      <c r="M910" s="9">
        <v>11.6745</v>
      </c>
      <c r="N910" s="9">
        <v>4.7850000000000001</v>
      </c>
      <c r="O910" s="9">
        <v>0.36199999999999999</v>
      </c>
      <c r="P910" s="9">
        <v>1.2509999999999999</v>
      </c>
      <c r="Q910" s="9">
        <v>19.053000000000001</v>
      </c>
      <c r="R910" s="9"/>
      <c r="S910" s="11"/>
    </row>
    <row r="911" spans="1:19" ht="15.75">
      <c r="A911" s="13">
        <v>68880</v>
      </c>
      <c r="B911" s="8">
        <f>CHOOSE( CONTROL!$C$36, 32.5991, 32.5975) * CHOOSE(CONTROL!$C$19, $D$11, 100%, $F$11)</f>
        <v>32.5991</v>
      </c>
      <c r="C911" s="8">
        <f>CHOOSE( CONTROL!$C$36, 32.6071, 32.6055) * CHOOSE(CONTROL!$C$19, $D$11, 100%, $F$11)</f>
        <v>32.607100000000003</v>
      </c>
      <c r="D911" s="8">
        <f>CHOOSE( CONTROL!$C$36, 32.6218, 32.6201) * CHOOSE( CONTROL!$C$19, $D$11, 100%, $F$11)</f>
        <v>32.6218</v>
      </c>
      <c r="E911" s="12">
        <f>CHOOSE( CONTROL!$C$36, 32.6153, 32.6136) * CHOOSE( CONTROL!$C$19, $D$11, 100%, $F$11)</f>
        <v>32.615299999999998</v>
      </c>
      <c r="F911" s="4">
        <f>CHOOSE( CONTROL!$C$36, 33.3322, 33.3305) * CHOOSE(CONTROL!$C$19, $D$11, 100%, $F$11)</f>
        <v>33.3322</v>
      </c>
      <c r="G911" s="8">
        <f>CHOOSE( CONTROL!$C$36, 32.1969, 32.1952) * CHOOSE( CONTROL!$C$19, $D$11, 100%, $F$11)</f>
        <v>32.196899999999999</v>
      </c>
      <c r="H911" s="4">
        <f>CHOOSE( CONTROL!$C$36, 33.141, 33.1393) * CHOOSE(CONTROL!$C$19, $D$11, 100%, $F$11)</f>
        <v>33.140999999999998</v>
      </c>
      <c r="I911" s="8">
        <f>CHOOSE( CONTROL!$C$36, 31.7281, 31.7265) * CHOOSE(CONTROL!$C$19, $D$11, 100%, $F$11)</f>
        <v>31.728100000000001</v>
      </c>
      <c r="J911" s="4">
        <f>CHOOSE( CONTROL!$C$36, 31.5803, 31.5787) * CHOOSE(CONTROL!$C$19, $D$11, 100%, $F$11)</f>
        <v>31.580300000000001</v>
      </c>
      <c r="K911" s="4"/>
      <c r="L911" s="9">
        <v>30.7165</v>
      </c>
      <c r="M911" s="9">
        <v>12.063700000000001</v>
      </c>
      <c r="N911" s="9">
        <v>4.9444999999999997</v>
      </c>
      <c r="O911" s="9">
        <v>0.37409999999999999</v>
      </c>
      <c r="P911" s="9">
        <v>1.2927</v>
      </c>
      <c r="Q911" s="9">
        <v>19.688099999999999</v>
      </c>
      <c r="R911" s="9"/>
      <c r="S911" s="11"/>
    </row>
    <row r="912" spans="1:19" ht="15.75">
      <c r="A912" s="13">
        <v>68911</v>
      </c>
      <c r="B912" s="8">
        <f>CHOOSE( CONTROL!$C$36, 30.0817, 30.08) * CHOOSE(CONTROL!$C$19, $D$11, 100%, $F$11)</f>
        <v>30.081700000000001</v>
      </c>
      <c r="C912" s="8">
        <f>CHOOSE( CONTROL!$C$36, 30.0897, 30.088) * CHOOSE(CONTROL!$C$19, $D$11, 100%, $F$11)</f>
        <v>30.089700000000001</v>
      </c>
      <c r="D912" s="8">
        <f>CHOOSE( CONTROL!$C$36, 30.1044, 30.1027) * CHOOSE( CONTROL!$C$19, $D$11, 100%, $F$11)</f>
        <v>30.104399999999998</v>
      </c>
      <c r="E912" s="12">
        <f>CHOOSE( CONTROL!$C$36, 30.0979, 30.0962) * CHOOSE( CONTROL!$C$19, $D$11, 100%, $F$11)</f>
        <v>30.097899999999999</v>
      </c>
      <c r="F912" s="4">
        <f>CHOOSE( CONTROL!$C$36, 30.8147, 30.813) * CHOOSE(CONTROL!$C$19, $D$11, 100%, $F$11)</f>
        <v>30.814699999999998</v>
      </c>
      <c r="G912" s="8">
        <f>CHOOSE( CONTROL!$C$36, 29.7146, 29.7129) * CHOOSE( CONTROL!$C$19, $D$11, 100%, $F$11)</f>
        <v>29.714600000000001</v>
      </c>
      <c r="H912" s="4">
        <f>CHOOSE( CONTROL!$C$36, 30.6586, 30.657) * CHOOSE(CONTROL!$C$19, $D$11, 100%, $F$11)</f>
        <v>30.6586</v>
      </c>
      <c r="I912" s="8">
        <f>CHOOSE( CONTROL!$C$36, 29.2895, 29.2879) * CHOOSE(CONTROL!$C$19, $D$11, 100%, $F$11)</f>
        <v>29.2895</v>
      </c>
      <c r="J912" s="4">
        <f>CHOOSE( CONTROL!$C$36, 29.1427, 29.1411) * CHOOSE(CONTROL!$C$19, $D$11, 100%, $F$11)</f>
        <v>29.142700000000001</v>
      </c>
      <c r="K912" s="4"/>
      <c r="L912" s="9">
        <v>30.7165</v>
      </c>
      <c r="M912" s="9">
        <v>12.063700000000001</v>
      </c>
      <c r="N912" s="9">
        <v>4.9444999999999997</v>
      </c>
      <c r="O912" s="9">
        <v>0.37409999999999999</v>
      </c>
      <c r="P912" s="9">
        <v>1.2927</v>
      </c>
      <c r="Q912" s="9">
        <v>19.688099999999999</v>
      </c>
      <c r="R912" s="9"/>
      <c r="S912" s="11"/>
    </row>
    <row r="913" spans="1:19" ht="15.75">
      <c r="A913" s="13">
        <v>68941</v>
      </c>
      <c r="B913" s="8">
        <f>CHOOSE( CONTROL!$C$36, 29.4513, 29.4496) * CHOOSE(CONTROL!$C$19, $D$11, 100%, $F$11)</f>
        <v>29.4513</v>
      </c>
      <c r="C913" s="8">
        <f>CHOOSE( CONTROL!$C$36, 29.4593, 29.4576) * CHOOSE(CONTROL!$C$19, $D$11, 100%, $F$11)</f>
        <v>29.459299999999999</v>
      </c>
      <c r="D913" s="8">
        <f>CHOOSE( CONTROL!$C$36, 29.4739, 29.4722) * CHOOSE( CONTROL!$C$19, $D$11, 100%, $F$11)</f>
        <v>29.4739</v>
      </c>
      <c r="E913" s="12">
        <f>CHOOSE( CONTROL!$C$36, 29.4674, 29.4657) * CHOOSE( CONTROL!$C$19, $D$11, 100%, $F$11)</f>
        <v>29.467400000000001</v>
      </c>
      <c r="F913" s="4">
        <f>CHOOSE( CONTROL!$C$36, 30.1843, 30.1826) * CHOOSE(CONTROL!$C$19, $D$11, 100%, $F$11)</f>
        <v>30.1843</v>
      </c>
      <c r="G913" s="8">
        <f>CHOOSE( CONTROL!$C$36, 29.0929, 29.0913) * CHOOSE( CONTROL!$C$19, $D$11, 100%, $F$11)</f>
        <v>29.0929</v>
      </c>
      <c r="H913" s="4">
        <f>CHOOSE( CONTROL!$C$36, 30.037, 30.0354) * CHOOSE(CONTROL!$C$19, $D$11, 100%, $F$11)</f>
        <v>30.036999999999999</v>
      </c>
      <c r="I913" s="8">
        <f>CHOOSE( CONTROL!$C$36, 28.6784, 28.6768) * CHOOSE(CONTROL!$C$19, $D$11, 100%, $F$11)</f>
        <v>28.6784</v>
      </c>
      <c r="J913" s="4">
        <f>CHOOSE( CONTROL!$C$36, 28.5323, 28.5307) * CHOOSE(CONTROL!$C$19, $D$11, 100%, $F$11)</f>
        <v>28.532299999999999</v>
      </c>
      <c r="K913" s="4"/>
      <c r="L913" s="9">
        <v>29.7257</v>
      </c>
      <c r="M913" s="9">
        <v>11.6745</v>
      </c>
      <c r="N913" s="9">
        <v>4.7850000000000001</v>
      </c>
      <c r="O913" s="9">
        <v>0.36199999999999999</v>
      </c>
      <c r="P913" s="9">
        <v>1.2509999999999999</v>
      </c>
      <c r="Q913" s="9">
        <v>19.053000000000001</v>
      </c>
      <c r="R913" s="9"/>
      <c r="S913" s="11"/>
    </row>
    <row r="914" spans="1:19" ht="15.75">
      <c r="A914" s="13">
        <v>68972</v>
      </c>
      <c r="B914" s="8">
        <f>CHOOSE( CONTROL!$C$36, 30.7579, 30.7568) * CHOOSE(CONTROL!$C$19, $D$11, 100%, $F$11)</f>
        <v>30.757899999999999</v>
      </c>
      <c r="C914" s="8">
        <f>CHOOSE( CONTROL!$C$36, 30.7633, 30.7622) * CHOOSE(CONTROL!$C$19, $D$11, 100%, $F$11)</f>
        <v>30.763300000000001</v>
      </c>
      <c r="D914" s="8">
        <f>CHOOSE( CONTROL!$C$36, 30.7837, 30.7827) * CHOOSE( CONTROL!$C$19, $D$11, 100%, $F$11)</f>
        <v>30.7837</v>
      </c>
      <c r="E914" s="12">
        <f>CHOOSE( CONTROL!$C$36, 30.7764, 30.7754) * CHOOSE( CONTROL!$C$19, $D$11, 100%, $F$11)</f>
        <v>30.776399999999999</v>
      </c>
      <c r="F914" s="4">
        <f>CHOOSE( CONTROL!$C$36, 31.4927, 31.4916) * CHOOSE(CONTROL!$C$19, $D$11, 100%, $F$11)</f>
        <v>31.492699999999999</v>
      </c>
      <c r="G914" s="8">
        <f>CHOOSE( CONTROL!$C$36, 30.3832, 30.3821) * CHOOSE( CONTROL!$C$19, $D$11, 100%, $F$11)</f>
        <v>30.383199999999999</v>
      </c>
      <c r="H914" s="4">
        <f>CHOOSE( CONTROL!$C$36, 31.3271, 31.3261) * CHOOSE(CONTROL!$C$19, $D$11, 100%, $F$11)</f>
        <v>31.327100000000002</v>
      </c>
      <c r="I914" s="8">
        <f>CHOOSE( CONTROL!$C$36, 29.947, 29.9459) * CHOOSE(CONTROL!$C$19, $D$11, 100%, $F$11)</f>
        <v>29.946999999999999</v>
      </c>
      <c r="J914" s="4">
        <f>CHOOSE( CONTROL!$C$36, 29.7991, 29.7981) * CHOOSE(CONTROL!$C$19, $D$11, 100%, $F$11)</f>
        <v>29.799099999999999</v>
      </c>
      <c r="K914" s="4"/>
      <c r="L914" s="9">
        <v>31.095300000000002</v>
      </c>
      <c r="M914" s="9">
        <v>12.063700000000001</v>
      </c>
      <c r="N914" s="9">
        <v>4.9444999999999997</v>
      </c>
      <c r="O914" s="9">
        <v>0.37409999999999999</v>
      </c>
      <c r="P914" s="9">
        <v>1.2927</v>
      </c>
      <c r="Q914" s="9">
        <v>19.688099999999999</v>
      </c>
      <c r="R914" s="9"/>
      <c r="S914" s="11"/>
    </row>
    <row r="915" spans="1:19" ht="15.75">
      <c r="A915" s="13">
        <v>69002</v>
      </c>
      <c r="B915" s="8">
        <f>CHOOSE( CONTROL!$C$36, 33.1735, 33.1724) * CHOOSE(CONTROL!$C$19, $D$11, 100%, $F$11)</f>
        <v>33.173499999999997</v>
      </c>
      <c r="C915" s="8">
        <f>CHOOSE( CONTROL!$C$36, 33.1786, 33.1775) * CHOOSE(CONTROL!$C$19, $D$11, 100%, $F$11)</f>
        <v>33.178600000000003</v>
      </c>
      <c r="D915" s="8">
        <f>CHOOSE( CONTROL!$C$36, 33.1578, 33.1567) * CHOOSE( CONTROL!$C$19, $D$11, 100%, $F$11)</f>
        <v>33.157800000000002</v>
      </c>
      <c r="E915" s="12">
        <f>CHOOSE( CONTROL!$C$36, 33.1649, 33.1638) * CHOOSE( CONTROL!$C$19, $D$11, 100%, $F$11)</f>
        <v>33.164900000000003</v>
      </c>
      <c r="F915" s="4">
        <f>CHOOSE( CONTROL!$C$36, 33.8328, 33.8317) * CHOOSE(CONTROL!$C$19, $D$11, 100%, $F$11)</f>
        <v>33.832799999999999</v>
      </c>
      <c r="G915" s="8">
        <f>CHOOSE( CONTROL!$C$36, 32.7454, 32.7444) * CHOOSE( CONTROL!$C$19, $D$11, 100%, $F$11)</f>
        <v>32.745399999999997</v>
      </c>
      <c r="H915" s="4">
        <f>CHOOSE( CONTROL!$C$36, 33.6346, 33.6335) * CHOOSE(CONTROL!$C$19, $D$11, 100%, $F$11)</f>
        <v>33.634599999999999</v>
      </c>
      <c r="I915" s="8">
        <f>CHOOSE( CONTROL!$C$36, 32.3367, 32.3356) * CHOOSE(CONTROL!$C$19, $D$11, 100%, $F$11)</f>
        <v>32.3367</v>
      </c>
      <c r="J915" s="4">
        <f>CHOOSE( CONTROL!$C$36, 32.1386, 32.1375) * CHOOSE(CONTROL!$C$19, $D$11, 100%, $F$11)</f>
        <v>32.138599999999997</v>
      </c>
      <c r="K915" s="4"/>
      <c r="L915" s="9">
        <v>28.360600000000002</v>
      </c>
      <c r="M915" s="9">
        <v>11.6745</v>
      </c>
      <c r="N915" s="9">
        <v>4.7850000000000001</v>
      </c>
      <c r="O915" s="9">
        <v>0.36199999999999999</v>
      </c>
      <c r="P915" s="9">
        <v>1.2509999999999999</v>
      </c>
      <c r="Q915" s="9">
        <v>19.053000000000001</v>
      </c>
      <c r="R915" s="9"/>
      <c r="S915" s="11"/>
    </row>
    <row r="916" spans="1:19" ht="15.75">
      <c r="A916" s="13">
        <v>69033</v>
      </c>
      <c r="B916" s="8">
        <f>CHOOSE( CONTROL!$C$36, 33.1131, 33.1121) * CHOOSE(CONTROL!$C$19, $D$11, 100%, $F$11)</f>
        <v>33.113100000000003</v>
      </c>
      <c r="C916" s="8">
        <f>CHOOSE( CONTROL!$C$36, 33.1182, 33.1172) * CHOOSE(CONTROL!$C$19, $D$11, 100%, $F$11)</f>
        <v>33.118200000000002</v>
      </c>
      <c r="D916" s="8">
        <f>CHOOSE( CONTROL!$C$36, 33.0988, 33.0978) * CHOOSE( CONTROL!$C$19, $D$11, 100%, $F$11)</f>
        <v>33.098799999999997</v>
      </c>
      <c r="E916" s="12">
        <f>CHOOSE( CONTROL!$C$36, 33.1054, 33.1044) * CHOOSE( CONTROL!$C$19, $D$11, 100%, $F$11)</f>
        <v>33.105400000000003</v>
      </c>
      <c r="F916" s="4">
        <f>CHOOSE( CONTROL!$C$36, 33.7724, 33.7713) * CHOOSE(CONTROL!$C$19, $D$11, 100%, $F$11)</f>
        <v>33.772399999999998</v>
      </c>
      <c r="G916" s="8">
        <f>CHOOSE( CONTROL!$C$36, 32.6869, 32.6858) * CHOOSE( CONTROL!$C$19, $D$11, 100%, $F$11)</f>
        <v>32.686900000000001</v>
      </c>
      <c r="H916" s="4">
        <f>CHOOSE( CONTROL!$C$36, 33.5751, 33.574) * CHOOSE(CONTROL!$C$19, $D$11, 100%, $F$11)</f>
        <v>33.575099999999999</v>
      </c>
      <c r="I916" s="8">
        <f>CHOOSE( CONTROL!$C$36, 32.2825, 32.2814) * CHOOSE(CONTROL!$C$19, $D$11, 100%, $F$11)</f>
        <v>32.282499999999999</v>
      </c>
      <c r="J916" s="4">
        <f>CHOOSE( CONTROL!$C$36, 32.0801, 32.0791) * CHOOSE(CONTROL!$C$19, $D$11, 100%, $F$11)</f>
        <v>32.080100000000002</v>
      </c>
      <c r="K916" s="4"/>
      <c r="L916" s="9">
        <v>29.306000000000001</v>
      </c>
      <c r="M916" s="9">
        <v>12.063700000000001</v>
      </c>
      <c r="N916" s="9">
        <v>4.9444999999999997</v>
      </c>
      <c r="O916" s="9">
        <v>0.37409999999999999</v>
      </c>
      <c r="P916" s="9">
        <v>1.2927</v>
      </c>
      <c r="Q916" s="9">
        <v>19.688099999999999</v>
      </c>
      <c r="R916" s="9"/>
      <c r="S916" s="11"/>
    </row>
    <row r="917" spans="1:19" ht="15.75">
      <c r="A917" s="13">
        <v>69064</v>
      </c>
      <c r="B917" s="8">
        <f>CHOOSE( CONTROL!$C$36, 34.0904, 34.0893) * CHOOSE(CONTROL!$C$19, $D$11, 100%, $F$11)</f>
        <v>34.090400000000002</v>
      </c>
      <c r="C917" s="8">
        <f>CHOOSE( CONTROL!$C$36, 34.0954, 34.0944) * CHOOSE(CONTROL!$C$19, $D$11, 100%, $F$11)</f>
        <v>34.095399999999998</v>
      </c>
      <c r="D917" s="8">
        <f>CHOOSE( CONTROL!$C$36, 34.0967, 34.0957) * CHOOSE( CONTROL!$C$19, $D$11, 100%, $F$11)</f>
        <v>34.096699999999998</v>
      </c>
      <c r="E917" s="12">
        <f>CHOOSE( CONTROL!$C$36, 34.0957, 34.0947) * CHOOSE( CONTROL!$C$19, $D$11, 100%, $F$11)</f>
        <v>34.095700000000001</v>
      </c>
      <c r="F917" s="4">
        <f>CHOOSE( CONTROL!$C$36, 34.7496, 34.7485) * CHOOSE(CONTROL!$C$19, $D$11, 100%, $F$11)</f>
        <v>34.749600000000001</v>
      </c>
      <c r="G917" s="8">
        <f>CHOOSE( CONTROL!$C$36, 33.6615, 33.6605) * CHOOSE( CONTROL!$C$19, $D$11, 100%, $F$11)</f>
        <v>33.661499999999997</v>
      </c>
      <c r="H917" s="4">
        <f>CHOOSE( CONTROL!$C$36, 34.5387, 34.5376) * CHOOSE(CONTROL!$C$19, $D$11, 100%, $F$11)</f>
        <v>34.538699999999999</v>
      </c>
      <c r="I917" s="8">
        <f>CHOOSE( CONTROL!$C$36, 33.2067, 33.2056) * CHOOSE(CONTROL!$C$19, $D$11, 100%, $F$11)</f>
        <v>33.206699999999998</v>
      </c>
      <c r="J917" s="4">
        <f>CHOOSE( CONTROL!$C$36, 33.0263, 33.0253) * CHOOSE(CONTROL!$C$19, $D$11, 100%, $F$11)</f>
        <v>33.026299999999999</v>
      </c>
      <c r="K917" s="4"/>
      <c r="L917" s="9">
        <v>29.306000000000001</v>
      </c>
      <c r="M917" s="9">
        <v>12.063700000000001</v>
      </c>
      <c r="N917" s="9">
        <v>4.9444999999999997</v>
      </c>
      <c r="O917" s="9">
        <v>0.37409999999999999</v>
      </c>
      <c r="P917" s="9">
        <v>1.2927</v>
      </c>
      <c r="Q917" s="9">
        <v>19.688099999999999</v>
      </c>
      <c r="R917" s="9"/>
      <c r="S917" s="11"/>
    </row>
    <row r="918" spans="1:19" ht="15.75">
      <c r="A918" s="13">
        <v>69092</v>
      </c>
      <c r="B918" s="8">
        <f>CHOOSE( CONTROL!$C$36, 31.8854, 31.8843) * CHOOSE(CONTROL!$C$19, $D$11, 100%, $F$11)</f>
        <v>31.885400000000001</v>
      </c>
      <c r="C918" s="8">
        <f>CHOOSE( CONTROL!$C$36, 31.8905, 31.8894) * CHOOSE(CONTROL!$C$19, $D$11, 100%, $F$11)</f>
        <v>31.890499999999999</v>
      </c>
      <c r="D918" s="8">
        <f>CHOOSE( CONTROL!$C$36, 31.8917, 31.8906) * CHOOSE( CONTROL!$C$19, $D$11, 100%, $F$11)</f>
        <v>31.8917</v>
      </c>
      <c r="E918" s="12">
        <f>CHOOSE( CONTROL!$C$36, 31.8907, 31.8896) * CHOOSE( CONTROL!$C$19, $D$11, 100%, $F$11)</f>
        <v>31.890699999999999</v>
      </c>
      <c r="F918" s="4">
        <f>CHOOSE( CONTROL!$C$36, 32.5447, 32.5436) * CHOOSE(CONTROL!$C$19, $D$11, 100%, $F$11)</f>
        <v>32.544699999999999</v>
      </c>
      <c r="G918" s="8">
        <f>CHOOSE( CONTROL!$C$36, 31.4873, 31.4862) * CHOOSE( CONTROL!$C$19, $D$11, 100%, $F$11)</f>
        <v>31.487300000000001</v>
      </c>
      <c r="H918" s="4">
        <f>CHOOSE( CONTROL!$C$36, 32.3645, 32.3634) * CHOOSE(CONTROL!$C$19, $D$11, 100%, $F$11)</f>
        <v>32.3645</v>
      </c>
      <c r="I918" s="8">
        <f>CHOOSE( CONTROL!$C$36, 31.0702, 31.0691) * CHOOSE(CONTROL!$C$19, $D$11, 100%, $F$11)</f>
        <v>31.0702</v>
      </c>
      <c r="J918" s="4">
        <f>CHOOSE( CONTROL!$C$36, 30.8913, 30.8903) * CHOOSE(CONTROL!$C$19, $D$11, 100%, $F$11)</f>
        <v>30.891300000000001</v>
      </c>
      <c r="K918" s="4"/>
      <c r="L918" s="9">
        <v>26.469899999999999</v>
      </c>
      <c r="M918" s="9">
        <v>10.8962</v>
      </c>
      <c r="N918" s="9">
        <v>4.4660000000000002</v>
      </c>
      <c r="O918" s="9">
        <v>0.33789999999999998</v>
      </c>
      <c r="P918" s="9">
        <v>1.1676</v>
      </c>
      <c r="Q918" s="9">
        <v>17.782800000000002</v>
      </c>
      <c r="R918" s="9"/>
      <c r="S918" s="11"/>
    </row>
    <row r="919" spans="1:19" ht="15.75">
      <c r="A919" s="13">
        <v>69123</v>
      </c>
      <c r="B919" s="8">
        <f>CHOOSE( CONTROL!$C$36, 31.2063, 31.2052) * CHOOSE(CONTROL!$C$19, $D$11, 100%, $F$11)</f>
        <v>31.206299999999999</v>
      </c>
      <c r="C919" s="8">
        <f>CHOOSE( CONTROL!$C$36, 31.2114, 31.2103) * CHOOSE(CONTROL!$C$19, $D$11, 100%, $F$11)</f>
        <v>31.211400000000001</v>
      </c>
      <c r="D919" s="8">
        <f>CHOOSE( CONTROL!$C$36, 31.2119, 31.2108) * CHOOSE( CONTROL!$C$19, $D$11, 100%, $F$11)</f>
        <v>31.2119</v>
      </c>
      <c r="E919" s="12">
        <f>CHOOSE( CONTROL!$C$36, 31.2112, 31.2101) * CHOOSE( CONTROL!$C$19, $D$11, 100%, $F$11)</f>
        <v>31.211200000000002</v>
      </c>
      <c r="F919" s="4">
        <f>CHOOSE( CONTROL!$C$36, 31.8656, 31.8645) * CHOOSE(CONTROL!$C$19, $D$11, 100%, $F$11)</f>
        <v>31.865600000000001</v>
      </c>
      <c r="G919" s="8">
        <f>CHOOSE( CONTROL!$C$36, 30.8172, 30.8161) * CHOOSE( CONTROL!$C$19, $D$11, 100%, $F$11)</f>
        <v>30.8172</v>
      </c>
      <c r="H919" s="4">
        <f>CHOOSE( CONTROL!$C$36, 31.6949, 31.6938) * CHOOSE(CONTROL!$C$19, $D$11, 100%, $F$11)</f>
        <v>31.694900000000001</v>
      </c>
      <c r="I919" s="8">
        <f>CHOOSE( CONTROL!$C$36, 30.4103, 30.4092) * CHOOSE(CONTROL!$C$19, $D$11, 100%, $F$11)</f>
        <v>30.410299999999999</v>
      </c>
      <c r="J919" s="4">
        <f>CHOOSE( CONTROL!$C$36, 30.2337, 30.2327) * CHOOSE(CONTROL!$C$19, $D$11, 100%, $F$11)</f>
        <v>30.233699999999999</v>
      </c>
      <c r="K919" s="4"/>
      <c r="L919" s="9">
        <v>29.306000000000001</v>
      </c>
      <c r="M919" s="9">
        <v>12.063700000000001</v>
      </c>
      <c r="N919" s="9">
        <v>4.9444999999999997</v>
      </c>
      <c r="O919" s="9">
        <v>0.37409999999999999</v>
      </c>
      <c r="P919" s="9">
        <v>1.2927</v>
      </c>
      <c r="Q919" s="9">
        <v>19.688099999999999</v>
      </c>
      <c r="R919" s="9"/>
      <c r="S919" s="11"/>
    </row>
    <row r="920" spans="1:19" ht="15.75">
      <c r="A920" s="13">
        <v>69153</v>
      </c>
      <c r="B920" s="8">
        <f>CHOOSE( CONTROL!$C$36, 31.6816, 31.6805) * CHOOSE(CONTROL!$C$19, $D$11, 100%, $F$11)</f>
        <v>31.6816</v>
      </c>
      <c r="C920" s="8">
        <f>CHOOSE( CONTROL!$C$36, 31.6862, 31.6851) * CHOOSE(CONTROL!$C$19, $D$11, 100%, $F$11)</f>
        <v>31.686199999999999</v>
      </c>
      <c r="D920" s="8">
        <f>CHOOSE( CONTROL!$C$36, 31.7065, 31.7055) * CHOOSE( CONTROL!$C$19, $D$11, 100%, $F$11)</f>
        <v>31.706499999999998</v>
      </c>
      <c r="E920" s="12">
        <f>CHOOSE( CONTROL!$C$36, 31.6993, 31.6982) * CHOOSE( CONTROL!$C$19, $D$11, 100%, $F$11)</f>
        <v>31.699300000000001</v>
      </c>
      <c r="F920" s="4">
        <f>CHOOSE( CONTROL!$C$36, 32.416, 32.4149) * CHOOSE(CONTROL!$C$19, $D$11, 100%, $F$11)</f>
        <v>32.415999999999997</v>
      </c>
      <c r="G920" s="8">
        <f>CHOOSE( CONTROL!$C$36, 31.2932, 31.2921) * CHOOSE( CONTROL!$C$19, $D$11, 100%, $F$11)</f>
        <v>31.293199999999999</v>
      </c>
      <c r="H920" s="4">
        <f>CHOOSE( CONTROL!$C$36, 32.2376, 32.2366) * CHOOSE(CONTROL!$C$19, $D$11, 100%, $F$11)</f>
        <v>32.2376</v>
      </c>
      <c r="I920" s="8">
        <f>CHOOSE( CONTROL!$C$36, 30.8395, 30.8385) * CHOOSE(CONTROL!$C$19, $D$11, 100%, $F$11)</f>
        <v>30.839500000000001</v>
      </c>
      <c r="J920" s="4">
        <f>CHOOSE( CONTROL!$C$36, 30.6932, 30.6922) * CHOOSE(CONTROL!$C$19, $D$11, 100%, $F$11)</f>
        <v>30.693200000000001</v>
      </c>
      <c r="K920" s="4"/>
      <c r="L920" s="9">
        <v>30.092199999999998</v>
      </c>
      <c r="M920" s="9">
        <v>11.6745</v>
      </c>
      <c r="N920" s="9">
        <v>4.7850000000000001</v>
      </c>
      <c r="O920" s="9">
        <v>0.36199999999999999</v>
      </c>
      <c r="P920" s="9">
        <v>1.2509999999999999</v>
      </c>
      <c r="Q920" s="9">
        <v>19.053000000000001</v>
      </c>
      <c r="R920" s="9"/>
      <c r="S920" s="11"/>
    </row>
    <row r="921" spans="1:19" ht="15.75">
      <c r="A921" s="13">
        <v>69184</v>
      </c>
      <c r="B921" s="8">
        <f>CHOOSE( CONTROL!$C$36, 32.5282, 32.5265) * CHOOSE(CONTROL!$C$19, $D$11, 100%, $F$11)</f>
        <v>32.528199999999998</v>
      </c>
      <c r="C921" s="8">
        <f>CHOOSE( CONTROL!$C$36, 32.5362, 32.5345) * CHOOSE(CONTROL!$C$19, $D$11, 100%, $F$11)</f>
        <v>32.536200000000001</v>
      </c>
      <c r="D921" s="8">
        <f>CHOOSE( CONTROL!$C$36, 32.5503, 32.5487) * CHOOSE( CONTROL!$C$19, $D$11, 100%, $F$11)</f>
        <v>32.5503</v>
      </c>
      <c r="E921" s="12">
        <f>CHOOSE( CONTROL!$C$36, 32.544, 32.5423) * CHOOSE( CONTROL!$C$19, $D$11, 100%, $F$11)</f>
        <v>32.543999999999997</v>
      </c>
      <c r="F921" s="4">
        <f>CHOOSE( CONTROL!$C$36, 33.2612, 33.2595) * CHOOSE(CONTROL!$C$19, $D$11, 100%, $F$11)</f>
        <v>33.261200000000002</v>
      </c>
      <c r="G921" s="8">
        <f>CHOOSE( CONTROL!$C$36, 32.1265, 32.1249) * CHOOSE( CONTROL!$C$19, $D$11, 100%, $F$11)</f>
        <v>32.1265</v>
      </c>
      <c r="H921" s="4">
        <f>CHOOSE( CONTROL!$C$36, 33.071, 33.0694) * CHOOSE(CONTROL!$C$19, $D$11, 100%, $F$11)</f>
        <v>33.070999999999998</v>
      </c>
      <c r="I921" s="8">
        <f>CHOOSE( CONTROL!$C$36, 31.6579, 31.6563) * CHOOSE(CONTROL!$C$19, $D$11, 100%, $F$11)</f>
        <v>31.657900000000001</v>
      </c>
      <c r="J921" s="4">
        <f>CHOOSE( CONTROL!$C$36, 31.5116, 31.51) * CHOOSE(CONTROL!$C$19, $D$11, 100%, $F$11)</f>
        <v>31.511600000000001</v>
      </c>
      <c r="K921" s="4"/>
      <c r="L921" s="9">
        <v>30.7165</v>
      </c>
      <c r="M921" s="9">
        <v>12.063700000000001</v>
      </c>
      <c r="N921" s="9">
        <v>4.9444999999999997</v>
      </c>
      <c r="O921" s="9">
        <v>0.37409999999999999</v>
      </c>
      <c r="P921" s="9">
        <v>1.2927</v>
      </c>
      <c r="Q921" s="9">
        <v>19.688099999999999</v>
      </c>
      <c r="R921" s="9"/>
      <c r="S921" s="11"/>
    </row>
    <row r="922" spans="1:19" ht="15.75">
      <c r="A922" s="13">
        <v>69214</v>
      </c>
      <c r="B922" s="8">
        <f>CHOOSE( CONTROL!$C$36, 32.005, 32.0033) * CHOOSE(CONTROL!$C$19, $D$11, 100%, $F$11)</f>
        <v>32.005000000000003</v>
      </c>
      <c r="C922" s="8">
        <f>CHOOSE( CONTROL!$C$36, 32.013, 32.0113) * CHOOSE(CONTROL!$C$19, $D$11, 100%, $F$11)</f>
        <v>32.012999999999998</v>
      </c>
      <c r="D922" s="8">
        <f>CHOOSE( CONTROL!$C$36, 32.0273, 32.0257) * CHOOSE( CONTROL!$C$19, $D$11, 100%, $F$11)</f>
        <v>32.027299999999997</v>
      </c>
      <c r="E922" s="12">
        <f>CHOOSE( CONTROL!$C$36, 32.0209, 32.0193) * CHOOSE( CONTROL!$C$19, $D$11, 100%, $F$11)</f>
        <v>32.020899999999997</v>
      </c>
      <c r="F922" s="4">
        <f>CHOOSE( CONTROL!$C$36, 32.738, 32.7363) * CHOOSE(CONTROL!$C$19, $D$11, 100%, $F$11)</f>
        <v>32.738</v>
      </c>
      <c r="G922" s="8">
        <f>CHOOSE( CONTROL!$C$36, 31.6108, 31.6092) * CHOOSE( CONTROL!$C$19, $D$11, 100%, $F$11)</f>
        <v>31.610800000000001</v>
      </c>
      <c r="H922" s="4">
        <f>CHOOSE( CONTROL!$C$36, 32.5551, 32.5535) * CHOOSE(CONTROL!$C$19, $D$11, 100%, $F$11)</f>
        <v>32.555100000000003</v>
      </c>
      <c r="I922" s="8">
        <f>CHOOSE( CONTROL!$C$36, 31.1517, 31.1501) * CHOOSE(CONTROL!$C$19, $D$11, 100%, $F$11)</f>
        <v>31.151700000000002</v>
      </c>
      <c r="J922" s="4">
        <f>CHOOSE( CONTROL!$C$36, 31.005, 31.0034) * CHOOSE(CONTROL!$C$19, $D$11, 100%, $F$11)</f>
        <v>31.004999999999999</v>
      </c>
      <c r="K922" s="4"/>
      <c r="L922" s="9">
        <v>29.7257</v>
      </c>
      <c r="M922" s="9">
        <v>11.6745</v>
      </c>
      <c r="N922" s="9">
        <v>4.7850000000000001</v>
      </c>
      <c r="O922" s="9">
        <v>0.36199999999999999</v>
      </c>
      <c r="P922" s="9">
        <v>1.2509999999999999</v>
      </c>
      <c r="Q922" s="9">
        <v>19.053000000000001</v>
      </c>
      <c r="R922" s="9"/>
      <c r="S922" s="11"/>
    </row>
    <row r="923" spans="1:19" ht="15.75">
      <c r="A923" s="13">
        <v>69245</v>
      </c>
      <c r="B923" s="8">
        <f>CHOOSE( CONTROL!$C$36, 33.3827, 33.3811) * CHOOSE(CONTROL!$C$19, $D$11, 100%, $F$11)</f>
        <v>33.3827</v>
      </c>
      <c r="C923" s="8">
        <f>CHOOSE( CONTROL!$C$36, 33.3907, 33.3891) * CHOOSE(CONTROL!$C$19, $D$11, 100%, $F$11)</f>
        <v>33.390700000000002</v>
      </c>
      <c r="D923" s="8">
        <f>CHOOSE( CONTROL!$C$36, 33.4053, 33.4037) * CHOOSE( CONTROL!$C$19, $D$11, 100%, $F$11)</f>
        <v>33.405299999999997</v>
      </c>
      <c r="E923" s="12">
        <f>CHOOSE( CONTROL!$C$36, 33.3988, 33.3972) * CHOOSE( CONTROL!$C$19, $D$11, 100%, $F$11)</f>
        <v>33.398800000000001</v>
      </c>
      <c r="F923" s="4">
        <f>CHOOSE( CONTROL!$C$36, 34.1158, 34.1141) * CHOOSE(CONTROL!$C$19, $D$11, 100%, $F$11)</f>
        <v>34.1158</v>
      </c>
      <c r="G923" s="8">
        <f>CHOOSE( CONTROL!$C$36, 32.9695, 32.9679) * CHOOSE( CONTROL!$C$19, $D$11, 100%, $F$11)</f>
        <v>32.969499999999996</v>
      </c>
      <c r="H923" s="4">
        <f>CHOOSE( CONTROL!$C$36, 33.9136, 33.912) * CHOOSE(CONTROL!$C$19, $D$11, 100%, $F$11)</f>
        <v>33.913600000000002</v>
      </c>
      <c r="I923" s="8">
        <f>CHOOSE( CONTROL!$C$36, 32.4873, 32.4857) * CHOOSE(CONTROL!$C$19, $D$11, 100%, $F$11)</f>
        <v>32.487299999999998</v>
      </c>
      <c r="J923" s="4">
        <f>CHOOSE( CONTROL!$C$36, 32.3391, 32.3375) * CHOOSE(CONTROL!$C$19, $D$11, 100%, $F$11)</f>
        <v>32.339100000000002</v>
      </c>
      <c r="K923" s="4"/>
      <c r="L923" s="9">
        <v>30.7165</v>
      </c>
      <c r="M923" s="9">
        <v>12.063700000000001</v>
      </c>
      <c r="N923" s="9">
        <v>4.9444999999999997</v>
      </c>
      <c r="O923" s="9">
        <v>0.37409999999999999</v>
      </c>
      <c r="P923" s="9">
        <v>1.2927</v>
      </c>
      <c r="Q923" s="9">
        <v>19.688099999999999</v>
      </c>
      <c r="R923" s="9"/>
      <c r="S923" s="11"/>
    </row>
    <row r="924" spans="1:19" ht="15.75">
      <c r="A924" s="13">
        <v>69276</v>
      </c>
      <c r="B924" s="8">
        <f>CHOOSE( CONTROL!$C$36, 30.8048, 30.8031) * CHOOSE(CONTROL!$C$19, $D$11, 100%, $F$11)</f>
        <v>30.8048</v>
      </c>
      <c r="C924" s="8">
        <f>CHOOSE( CONTROL!$C$36, 30.8128, 30.8111) * CHOOSE(CONTROL!$C$19, $D$11, 100%, $F$11)</f>
        <v>30.812799999999999</v>
      </c>
      <c r="D924" s="8">
        <f>CHOOSE( CONTROL!$C$36, 30.8275, 30.8258) * CHOOSE( CONTROL!$C$19, $D$11, 100%, $F$11)</f>
        <v>30.827500000000001</v>
      </c>
      <c r="E924" s="12">
        <f>CHOOSE( CONTROL!$C$36, 30.821, 30.8193) * CHOOSE( CONTROL!$C$19, $D$11, 100%, $F$11)</f>
        <v>30.821000000000002</v>
      </c>
      <c r="F924" s="4">
        <f>CHOOSE( CONTROL!$C$36, 31.5378, 31.5362) * CHOOSE(CONTROL!$C$19, $D$11, 100%, $F$11)</f>
        <v>31.537800000000001</v>
      </c>
      <c r="G924" s="8">
        <f>CHOOSE( CONTROL!$C$36, 30.4276, 30.426) * CHOOSE( CONTROL!$C$19, $D$11, 100%, $F$11)</f>
        <v>30.427600000000002</v>
      </c>
      <c r="H924" s="4">
        <f>CHOOSE( CONTROL!$C$36, 31.3717, 31.37) * CHOOSE(CONTROL!$C$19, $D$11, 100%, $F$11)</f>
        <v>31.371700000000001</v>
      </c>
      <c r="I924" s="8">
        <f>CHOOSE( CONTROL!$C$36, 29.99, 29.9884) * CHOOSE(CONTROL!$C$19, $D$11, 100%, $F$11)</f>
        <v>29.99</v>
      </c>
      <c r="J924" s="4">
        <f>CHOOSE( CONTROL!$C$36, 29.8429, 29.8413) * CHOOSE(CONTROL!$C$19, $D$11, 100%, $F$11)</f>
        <v>29.8429</v>
      </c>
      <c r="K924" s="4"/>
      <c r="L924" s="9">
        <v>30.7165</v>
      </c>
      <c r="M924" s="9">
        <v>12.063700000000001</v>
      </c>
      <c r="N924" s="9">
        <v>4.9444999999999997</v>
      </c>
      <c r="O924" s="9">
        <v>0.37409999999999999</v>
      </c>
      <c r="P924" s="9">
        <v>1.2927</v>
      </c>
      <c r="Q924" s="9">
        <v>19.688099999999999</v>
      </c>
      <c r="R924" s="9"/>
      <c r="S924" s="11"/>
    </row>
    <row r="925" spans="1:19" ht="15.75">
      <c r="A925" s="13">
        <v>69306</v>
      </c>
      <c r="B925" s="8">
        <f>CHOOSE( CONTROL!$C$36, 30.1592, 30.1576) * CHOOSE(CONTROL!$C$19, $D$11, 100%, $F$11)</f>
        <v>30.159199999999998</v>
      </c>
      <c r="C925" s="8">
        <f>CHOOSE( CONTROL!$C$36, 30.1672, 30.1656) * CHOOSE(CONTROL!$C$19, $D$11, 100%, $F$11)</f>
        <v>30.167200000000001</v>
      </c>
      <c r="D925" s="8">
        <f>CHOOSE( CONTROL!$C$36, 30.1818, 30.1802) * CHOOSE( CONTROL!$C$19, $D$11, 100%, $F$11)</f>
        <v>30.181799999999999</v>
      </c>
      <c r="E925" s="12">
        <f>CHOOSE( CONTROL!$C$36, 30.1753, 30.1737) * CHOOSE( CONTROL!$C$19, $D$11, 100%, $F$11)</f>
        <v>30.1753</v>
      </c>
      <c r="F925" s="4">
        <f>CHOOSE( CONTROL!$C$36, 30.8923, 30.8906) * CHOOSE(CONTROL!$C$19, $D$11, 100%, $F$11)</f>
        <v>30.892299999999999</v>
      </c>
      <c r="G925" s="8">
        <f>CHOOSE( CONTROL!$C$36, 29.791, 29.7893) * CHOOSE( CONTROL!$C$19, $D$11, 100%, $F$11)</f>
        <v>29.791</v>
      </c>
      <c r="H925" s="4">
        <f>CHOOSE( CONTROL!$C$36, 30.7351, 30.7335) * CHOOSE(CONTROL!$C$19, $D$11, 100%, $F$11)</f>
        <v>30.735099999999999</v>
      </c>
      <c r="I925" s="8">
        <f>CHOOSE( CONTROL!$C$36, 29.3643, 29.3627) * CHOOSE(CONTROL!$C$19, $D$11, 100%, $F$11)</f>
        <v>29.3643</v>
      </c>
      <c r="J925" s="4">
        <f>CHOOSE( CONTROL!$C$36, 29.2178, 29.2162) * CHOOSE(CONTROL!$C$19, $D$11, 100%, $F$11)</f>
        <v>29.2178</v>
      </c>
      <c r="K925" s="4"/>
      <c r="L925" s="9">
        <v>29.7257</v>
      </c>
      <c r="M925" s="9">
        <v>11.6745</v>
      </c>
      <c r="N925" s="9">
        <v>4.7850000000000001</v>
      </c>
      <c r="O925" s="9">
        <v>0.36199999999999999</v>
      </c>
      <c r="P925" s="9">
        <v>1.2509999999999999</v>
      </c>
      <c r="Q925" s="9">
        <v>19.053000000000001</v>
      </c>
      <c r="R925" s="9"/>
      <c r="S925" s="11"/>
    </row>
    <row r="926" spans="1:19" ht="15.75">
      <c r="A926" s="13">
        <v>69337</v>
      </c>
      <c r="B926" s="8">
        <f>CHOOSE( CONTROL!$C$36, 31.4973, 31.4962) * CHOOSE(CONTROL!$C$19, $D$11, 100%, $F$11)</f>
        <v>31.497299999999999</v>
      </c>
      <c r="C926" s="8">
        <f>CHOOSE( CONTROL!$C$36, 31.5027, 31.5016) * CHOOSE(CONTROL!$C$19, $D$11, 100%, $F$11)</f>
        <v>31.502700000000001</v>
      </c>
      <c r="D926" s="8">
        <f>CHOOSE( CONTROL!$C$36, 31.5232, 31.5221) * CHOOSE( CONTROL!$C$19, $D$11, 100%, $F$11)</f>
        <v>31.523199999999999</v>
      </c>
      <c r="E926" s="12">
        <f>CHOOSE( CONTROL!$C$36, 31.5159, 31.5148) * CHOOSE( CONTROL!$C$19, $D$11, 100%, $F$11)</f>
        <v>31.515899999999998</v>
      </c>
      <c r="F926" s="4">
        <f>CHOOSE( CONTROL!$C$36, 32.2321, 32.231) * CHOOSE(CONTROL!$C$19, $D$11, 100%, $F$11)</f>
        <v>32.232100000000003</v>
      </c>
      <c r="G926" s="8">
        <f>CHOOSE( CONTROL!$C$36, 31.1123, 31.1112) * CHOOSE( CONTROL!$C$19, $D$11, 100%, $F$11)</f>
        <v>31.112300000000001</v>
      </c>
      <c r="H926" s="4">
        <f>CHOOSE( CONTROL!$C$36, 32.0562, 32.0552) * CHOOSE(CONTROL!$C$19, $D$11, 100%, $F$11)</f>
        <v>32.056199999999997</v>
      </c>
      <c r="I926" s="8">
        <f>CHOOSE( CONTROL!$C$36, 30.6633, 30.6622) * CHOOSE(CONTROL!$C$19, $D$11, 100%, $F$11)</f>
        <v>30.6633</v>
      </c>
      <c r="J926" s="4">
        <f>CHOOSE( CONTROL!$C$36, 30.5151, 30.5141) * CHOOSE(CONTROL!$C$19, $D$11, 100%, $F$11)</f>
        <v>30.5151</v>
      </c>
      <c r="K926" s="4"/>
      <c r="L926" s="9">
        <v>31.095300000000002</v>
      </c>
      <c r="M926" s="9">
        <v>12.063700000000001</v>
      </c>
      <c r="N926" s="9">
        <v>4.9444999999999997</v>
      </c>
      <c r="O926" s="9">
        <v>0.37409999999999999</v>
      </c>
      <c r="P926" s="9">
        <v>1.2927</v>
      </c>
      <c r="Q926" s="9">
        <v>19.688099999999999</v>
      </c>
      <c r="R926" s="9"/>
      <c r="S926" s="11"/>
    </row>
    <row r="927" spans="1:19" ht="15.75">
      <c r="A927" s="13">
        <v>69367</v>
      </c>
      <c r="B927" s="8">
        <f>CHOOSE( CONTROL!$C$36, 33.971, 33.9699) * CHOOSE(CONTROL!$C$19, $D$11, 100%, $F$11)</f>
        <v>33.970999999999997</v>
      </c>
      <c r="C927" s="8">
        <f>CHOOSE( CONTROL!$C$36, 33.9761, 33.975) * CHOOSE(CONTROL!$C$19, $D$11, 100%, $F$11)</f>
        <v>33.976100000000002</v>
      </c>
      <c r="D927" s="8">
        <f>CHOOSE( CONTROL!$C$36, 33.9553, 33.9542) * CHOOSE( CONTROL!$C$19, $D$11, 100%, $F$11)</f>
        <v>33.955300000000001</v>
      </c>
      <c r="E927" s="12">
        <f>CHOOSE( CONTROL!$C$36, 33.9624, 33.9613) * CHOOSE( CONTROL!$C$19, $D$11, 100%, $F$11)</f>
        <v>33.962400000000002</v>
      </c>
      <c r="F927" s="4">
        <f>CHOOSE( CONTROL!$C$36, 34.6302, 34.6291) * CHOOSE(CONTROL!$C$19, $D$11, 100%, $F$11)</f>
        <v>34.630200000000002</v>
      </c>
      <c r="G927" s="8">
        <f>CHOOSE( CONTROL!$C$36, 33.5318, 33.5307) * CHOOSE( CONTROL!$C$19, $D$11, 100%, $F$11)</f>
        <v>33.531799999999997</v>
      </c>
      <c r="H927" s="4">
        <f>CHOOSE( CONTROL!$C$36, 34.4209, 34.4199) * CHOOSE(CONTROL!$C$19, $D$11, 100%, $F$11)</f>
        <v>34.420900000000003</v>
      </c>
      <c r="I927" s="8">
        <f>CHOOSE( CONTROL!$C$36, 33.1092, 33.1082) * CHOOSE(CONTROL!$C$19, $D$11, 100%, $F$11)</f>
        <v>33.109200000000001</v>
      </c>
      <c r="J927" s="4">
        <f>CHOOSE( CONTROL!$C$36, 32.9107, 32.9097) * CHOOSE(CONTROL!$C$19, $D$11, 100%, $F$11)</f>
        <v>32.910699999999999</v>
      </c>
      <c r="K927" s="4"/>
      <c r="L927" s="9">
        <v>28.360600000000002</v>
      </c>
      <c r="M927" s="9">
        <v>11.6745</v>
      </c>
      <c r="N927" s="9">
        <v>4.7850000000000001</v>
      </c>
      <c r="O927" s="9">
        <v>0.36199999999999999</v>
      </c>
      <c r="P927" s="9">
        <v>1.2509999999999999</v>
      </c>
      <c r="Q927" s="9">
        <v>19.053000000000001</v>
      </c>
      <c r="R927" s="9"/>
      <c r="S927" s="11"/>
    </row>
    <row r="928" spans="1:19" ht="15.75">
      <c r="A928" s="13">
        <v>69398</v>
      </c>
      <c r="B928" s="8">
        <f>CHOOSE( CONTROL!$C$36, 33.9092, 33.9081) * CHOOSE(CONTROL!$C$19, $D$11, 100%, $F$11)</f>
        <v>33.909199999999998</v>
      </c>
      <c r="C928" s="8">
        <f>CHOOSE( CONTROL!$C$36, 33.9143, 33.9132) * CHOOSE(CONTROL!$C$19, $D$11, 100%, $F$11)</f>
        <v>33.914299999999997</v>
      </c>
      <c r="D928" s="8">
        <f>CHOOSE( CONTROL!$C$36, 33.8949, 33.8938) * CHOOSE( CONTROL!$C$19, $D$11, 100%, $F$11)</f>
        <v>33.8949</v>
      </c>
      <c r="E928" s="12">
        <f>CHOOSE( CONTROL!$C$36, 33.9015, 33.9004) * CHOOSE( CONTROL!$C$19, $D$11, 100%, $F$11)</f>
        <v>33.901499999999999</v>
      </c>
      <c r="F928" s="4">
        <f>CHOOSE( CONTROL!$C$36, 34.5684, 34.5673) * CHOOSE(CONTROL!$C$19, $D$11, 100%, $F$11)</f>
        <v>34.568399999999997</v>
      </c>
      <c r="G928" s="8">
        <f>CHOOSE( CONTROL!$C$36, 33.4718, 33.4708) * CHOOSE( CONTROL!$C$19, $D$11, 100%, $F$11)</f>
        <v>33.471800000000002</v>
      </c>
      <c r="H928" s="4">
        <f>CHOOSE( CONTROL!$C$36, 34.36, 34.3589) * CHOOSE(CONTROL!$C$19, $D$11, 100%, $F$11)</f>
        <v>34.36</v>
      </c>
      <c r="I928" s="8">
        <f>CHOOSE( CONTROL!$C$36, 33.0537, 33.0526) * CHOOSE(CONTROL!$C$19, $D$11, 100%, $F$11)</f>
        <v>33.053699999999999</v>
      </c>
      <c r="J928" s="4">
        <f>CHOOSE( CONTROL!$C$36, 32.8509, 32.8498) * CHOOSE(CONTROL!$C$19, $D$11, 100%, $F$11)</f>
        <v>32.850900000000003</v>
      </c>
      <c r="K928" s="4"/>
      <c r="L928" s="9">
        <v>29.306000000000001</v>
      </c>
      <c r="M928" s="9">
        <v>12.063700000000001</v>
      </c>
      <c r="N928" s="9">
        <v>4.9444999999999997</v>
      </c>
      <c r="O928" s="9">
        <v>0.37409999999999999</v>
      </c>
      <c r="P928" s="9">
        <v>1.2927</v>
      </c>
      <c r="Q928" s="9">
        <v>19.688099999999999</v>
      </c>
      <c r="R928" s="9"/>
      <c r="S928" s="11"/>
    </row>
    <row r="929" spans="1:19" ht="15.75">
      <c r="A929" s="13">
        <v>69429</v>
      </c>
      <c r="B929" s="8">
        <f>CHOOSE( CONTROL!$C$36, 34.9098, 34.9088) * CHOOSE(CONTROL!$C$19, $D$11, 100%, $F$11)</f>
        <v>34.909799999999997</v>
      </c>
      <c r="C929" s="8">
        <f>CHOOSE( CONTROL!$C$36, 34.9149, 34.9139) * CHOOSE(CONTROL!$C$19, $D$11, 100%, $F$11)</f>
        <v>34.914900000000003</v>
      </c>
      <c r="D929" s="8">
        <f>CHOOSE( CONTROL!$C$36, 34.9162, 34.9151) * CHOOSE( CONTROL!$C$19, $D$11, 100%, $F$11)</f>
        <v>34.916200000000003</v>
      </c>
      <c r="E929" s="12">
        <f>CHOOSE( CONTROL!$C$36, 34.9152, 34.9141) * CHOOSE( CONTROL!$C$19, $D$11, 100%, $F$11)</f>
        <v>34.915199999999999</v>
      </c>
      <c r="F929" s="4">
        <f>CHOOSE( CONTROL!$C$36, 35.5691, 35.568) * CHOOSE(CONTROL!$C$19, $D$11, 100%, $F$11)</f>
        <v>35.569099999999999</v>
      </c>
      <c r="G929" s="8">
        <f>CHOOSE( CONTROL!$C$36, 34.4696, 34.4685) * CHOOSE( CONTROL!$C$19, $D$11, 100%, $F$11)</f>
        <v>34.4696</v>
      </c>
      <c r="H929" s="4">
        <f>CHOOSE( CONTROL!$C$36, 35.3467, 35.3456) * CHOOSE(CONTROL!$C$19, $D$11, 100%, $F$11)</f>
        <v>35.346699999999998</v>
      </c>
      <c r="I929" s="8">
        <f>CHOOSE( CONTROL!$C$36, 34.0006, 33.9995) * CHOOSE(CONTROL!$C$19, $D$11, 100%, $F$11)</f>
        <v>34.000599999999999</v>
      </c>
      <c r="J929" s="4">
        <f>CHOOSE( CONTROL!$C$36, 33.8199, 33.8188) * CHOOSE(CONTROL!$C$19, $D$11, 100%, $F$11)</f>
        <v>33.819899999999997</v>
      </c>
      <c r="K929" s="4"/>
      <c r="L929" s="9">
        <v>29.306000000000001</v>
      </c>
      <c r="M929" s="9">
        <v>12.063700000000001</v>
      </c>
      <c r="N929" s="9">
        <v>4.9444999999999997</v>
      </c>
      <c r="O929" s="9">
        <v>0.37409999999999999</v>
      </c>
      <c r="P929" s="9">
        <v>1.2927</v>
      </c>
      <c r="Q929" s="9">
        <v>19.688099999999999</v>
      </c>
      <c r="R929" s="9"/>
      <c r="S929" s="11"/>
    </row>
    <row r="930" spans="1:19" ht="15.75">
      <c r="A930" s="13">
        <v>69457</v>
      </c>
      <c r="B930" s="8">
        <f>CHOOSE( CONTROL!$C$36, 32.6519, 32.6509) * CHOOSE(CONTROL!$C$19, $D$11, 100%, $F$11)</f>
        <v>32.651899999999998</v>
      </c>
      <c r="C930" s="8">
        <f>CHOOSE( CONTROL!$C$36, 32.657, 32.656) * CHOOSE(CONTROL!$C$19, $D$11, 100%, $F$11)</f>
        <v>32.656999999999996</v>
      </c>
      <c r="D930" s="8">
        <f>CHOOSE( CONTROL!$C$36, 32.6582, 32.6571) * CHOOSE( CONTROL!$C$19, $D$11, 100%, $F$11)</f>
        <v>32.658200000000001</v>
      </c>
      <c r="E930" s="12">
        <f>CHOOSE( CONTROL!$C$36, 32.6572, 32.6562) * CHOOSE( CONTROL!$C$19, $D$11, 100%, $F$11)</f>
        <v>32.657200000000003</v>
      </c>
      <c r="F930" s="4">
        <f>CHOOSE( CONTROL!$C$36, 33.3112, 33.3101) * CHOOSE(CONTROL!$C$19, $D$11, 100%, $F$11)</f>
        <v>33.311199999999999</v>
      </c>
      <c r="G930" s="8">
        <f>CHOOSE( CONTROL!$C$36, 32.2431, 32.242) * CHOOSE( CONTROL!$C$19, $D$11, 100%, $F$11)</f>
        <v>32.243099999999998</v>
      </c>
      <c r="H930" s="4">
        <f>CHOOSE( CONTROL!$C$36, 33.1203, 33.1192) * CHOOSE(CONTROL!$C$19, $D$11, 100%, $F$11)</f>
        <v>33.1203</v>
      </c>
      <c r="I930" s="8">
        <f>CHOOSE( CONTROL!$C$36, 31.8128, 31.8117) * CHOOSE(CONTROL!$C$19, $D$11, 100%, $F$11)</f>
        <v>31.812799999999999</v>
      </c>
      <c r="J930" s="4">
        <f>CHOOSE( CONTROL!$C$36, 31.6335, 31.6325) * CHOOSE(CONTROL!$C$19, $D$11, 100%, $F$11)</f>
        <v>31.633500000000002</v>
      </c>
      <c r="K930" s="4"/>
      <c r="L930" s="9">
        <v>26.469899999999999</v>
      </c>
      <c r="M930" s="9">
        <v>10.8962</v>
      </c>
      <c r="N930" s="9">
        <v>4.4660000000000002</v>
      </c>
      <c r="O930" s="9">
        <v>0.33789999999999998</v>
      </c>
      <c r="P930" s="9">
        <v>1.1676</v>
      </c>
      <c r="Q930" s="9">
        <v>17.782800000000002</v>
      </c>
      <c r="R930" s="9"/>
      <c r="S930" s="11"/>
    </row>
    <row r="931" spans="1:19" ht="15.75">
      <c r="A931" s="13">
        <v>69488</v>
      </c>
      <c r="B931" s="8">
        <f>CHOOSE( CONTROL!$C$36, 31.9565, 31.9554) * CHOOSE(CONTROL!$C$19, $D$11, 100%, $F$11)</f>
        <v>31.956499999999998</v>
      </c>
      <c r="C931" s="8">
        <f>CHOOSE( CONTROL!$C$36, 31.9616, 31.9605) * CHOOSE(CONTROL!$C$19, $D$11, 100%, $F$11)</f>
        <v>31.961600000000001</v>
      </c>
      <c r="D931" s="8">
        <f>CHOOSE( CONTROL!$C$36, 31.9621, 31.961) * CHOOSE( CONTROL!$C$19, $D$11, 100%, $F$11)</f>
        <v>31.9621</v>
      </c>
      <c r="E931" s="12">
        <f>CHOOSE( CONTROL!$C$36, 31.9614, 31.9603) * CHOOSE( CONTROL!$C$19, $D$11, 100%, $F$11)</f>
        <v>31.961400000000001</v>
      </c>
      <c r="F931" s="4">
        <f>CHOOSE( CONTROL!$C$36, 32.6158, 32.6147) * CHOOSE(CONTROL!$C$19, $D$11, 100%, $F$11)</f>
        <v>32.6158</v>
      </c>
      <c r="G931" s="8">
        <f>CHOOSE( CONTROL!$C$36, 31.5569, 31.5558) * CHOOSE( CONTROL!$C$19, $D$11, 100%, $F$11)</f>
        <v>31.556899999999999</v>
      </c>
      <c r="H931" s="4">
        <f>CHOOSE( CONTROL!$C$36, 32.4346, 32.4335) * CHOOSE(CONTROL!$C$19, $D$11, 100%, $F$11)</f>
        <v>32.434600000000003</v>
      </c>
      <c r="I931" s="8">
        <f>CHOOSE( CONTROL!$C$36, 31.1371, 31.136) * CHOOSE(CONTROL!$C$19, $D$11, 100%, $F$11)</f>
        <v>31.1371</v>
      </c>
      <c r="J931" s="4">
        <f>CHOOSE( CONTROL!$C$36, 30.9601, 30.9591) * CHOOSE(CONTROL!$C$19, $D$11, 100%, $F$11)</f>
        <v>30.960100000000001</v>
      </c>
      <c r="K931" s="4"/>
      <c r="L931" s="9">
        <v>29.306000000000001</v>
      </c>
      <c r="M931" s="9">
        <v>12.063700000000001</v>
      </c>
      <c r="N931" s="9">
        <v>4.9444999999999997</v>
      </c>
      <c r="O931" s="9">
        <v>0.37409999999999999</v>
      </c>
      <c r="P931" s="9">
        <v>1.2927</v>
      </c>
      <c r="Q931" s="9">
        <v>19.688099999999999</v>
      </c>
      <c r="R931" s="9"/>
      <c r="S931" s="11"/>
    </row>
    <row r="932" spans="1:19" ht="15.75">
      <c r="A932" s="13">
        <v>69518</v>
      </c>
      <c r="B932" s="8">
        <f>CHOOSE( CONTROL!$C$36, 32.4432, 32.4421) * CHOOSE(CONTROL!$C$19, $D$11, 100%, $F$11)</f>
        <v>32.443199999999997</v>
      </c>
      <c r="C932" s="8">
        <f>CHOOSE( CONTROL!$C$36, 32.4478, 32.4467) * CHOOSE(CONTROL!$C$19, $D$11, 100%, $F$11)</f>
        <v>32.447800000000001</v>
      </c>
      <c r="D932" s="8">
        <f>CHOOSE( CONTROL!$C$36, 32.4681, 32.4671) * CHOOSE( CONTROL!$C$19, $D$11, 100%, $F$11)</f>
        <v>32.4681</v>
      </c>
      <c r="E932" s="12">
        <f>CHOOSE( CONTROL!$C$36, 32.4609, 32.4598) * CHOOSE( CONTROL!$C$19, $D$11, 100%, $F$11)</f>
        <v>32.460900000000002</v>
      </c>
      <c r="F932" s="4">
        <f>CHOOSE( CONTROL!$C$36, 33.1776, 33.1765) * CHOOSE(CONTROL!$C$19, $D$11, 100%, $F$11)</f>
        <v>33.177599999999998</v>
      </c>
      <c r="G932" s="8">
        <f>CHOOSE( CONTROL!$C$36, 32.0442, 32.0431) * CHOOSE( CONTROL!$C$19, $D$11, 100%, $F$11)</f>
        <v>32.044199999999996</v>
      </c>
      <c r="H932" s="4">
        <f>CHOOSE( CONTROL!$C$36, 32.9886, 32.9875) * CHOOSE(CONTROL!$C$19, $D$11, 100%, $F$11)</f>
        <v>32.988599999999998</v>
      </c>
      <c r="I932" s="8">
        <f>CHOOSE( CONTROL!$C$36, 31.5773, 31.5763) * CHOOSE(CONTROL!$C$19, $D$11, 100%, $F$11)</f>
        <v>31.577300000000001</v>
      </c>
      <c r="J932" s="4">
        <f>CHOOSE( CONTROL!$C$36, 31.4307, 31.4296) * CHOOSE(CONTROL!$C$19, $D$11, 100%, $F$11)</f>
        <v>31.430700000000002</v>
      </c>
      <c r="K932" s="4"/>
      <c r="L932" s="9">
        <v>30.092199999999998</v>
      </c>
      <c r="M932" s="9">
        <v>11.6745</v>
      </c>
      <c r="N932" s="9">
        <v>4.7850000000000001</v>
      </c>
      <c r="O932" s="9">
        <v>0.36199999999999999</v>
      </c>
      <c r="P932" s="9">
        <v>1.2509999999999999</v>
      </c>
      <c r="Q932" s="9">
        <v>19.053000000000001</v>
      </c>
      <c r="R932" s="9"/>
      <c r="S932" s="11"/>
    </row>
    <row r="933" spans="1:19" ht="15.75">
      <c r="A933" s="13">
        <v>69549</v>
      </c>
      <c r="B933" s="8">
        <f>CHOOSE( CONTROL!$C$36, 33.31, 33.3084) * CHOOSE(CONTROL!$C$19, $D$11, 100%, $F$11)</f>
        <v>33.31</v>
      </c>
      <c r="C933" s="8">
        <f>CHOOSE( CONTROL!$C$36, 33.318, 33.3164) * CHOOSE(CONTROL!$C$19, $D$11, 100%, $F$11)</f>
        <v>33.317999999999998</v>
      </c>
      <c r="D933" s="8">
        <f>CHOOSE( CONTROL!$C$36, 33.3322, 33.3306) * CHOOSE( CONTROL!$C$19, $D$11, 100%, $F$11)</f>
        <v>33.3322</v>
      </c>
      <c r="E933" s="12">
        <f>CHOOSE( CONTROL!$C$36, 33.3258, 33.3242) * CHOOSE( CONTROL!$C$19, $D$11, 100%, $F$11)</f>
        <v>33.325800000000001</v>
      </c>
      <c r="F933" s="4">
        <f>CHOOSE( CONTROL!$C$36, 34.0431, 34.0414) * CHOOSE(CONTROL!$C$19, $D$11, 100%, $F$11)</f>
        <v>34.043100000000003</v>
      </c>
      <c r="G933" s="8">
        <f>CHOOSE( CONTROL!$C$36, 32.8975, 32.8959) * CHOOSE( CONTROL!$C$19, $D$11, 100%, $F$11)</f>
        <v>32.897500000000001</v>
      </c>
      <c r="H933" s="4">
        <f>CHOOSE( CONTROL!$C$36, 33.842, 33.8403) * CHOOSE(CONTROL!$C$19, $D$11, 100%, $F$11)</f>
        <v>33.841999999999999</v>
      </c>
      <c r="I933" s="8">
        <f>CHOOSE( CONTROL!$C$36, 32.4154, 32.4138) * CHOOSE(CONTROL!$C$19, $D$11, 100%, $F$11)</f>
        <v>32.415399999999998</v>
      </c>
      <c r="J933" s="4">
        <f>CHOOSE( CONTROL!$C$36, 32.2687, 32.2671) * CHOOSE(CONTROL!$C$19, $D$11, 100%, $F$11)</f>
        <v>32.268700000000003</v>
      </c>
      <c r="K933" s="4"/>
      <c r="L933" s="9">
        <v>30.7165</v>
      </c>
      <c r="M933" s="9">
        <v>12.063700000000001</v>
      </c>
      <c r="N933" s="9">
        <v>4.9444999999999997</v>
      </c>
      <c r="O933" s="9">
        <v>0.37409999999999999</v>
      </c>
      <c r="P933" s="9">
        <v>1.2927</v>
      </c>
      <c r="Q933" s="9">
        <v>19.688099999999999</v>
      </c>
      <c r="R933" s="9"/>
      <c r="S933" s="11"/>
    </row>
    <row r="934" spans="1:19" ht="15.75">
      <c r="A934" s="13">
        <v>69579</v>
      </c>
      <c r="B934" s="8">
        <f>CHOOSE( CONTROL!$C$36, 32.7743, 32.7726) * CHOOSE(CONTROL!$C$19, $D$11, 100%, $F$11)</f>
        <v>32.774299999999997</v>
      </c>
      <c r="C934" s="8">
        <f>CHOOSE( CONTROL!$C$36, 32.7823, 32.7806) * CHOOSE(CONTROL!$C$19, $D$11, 100%, $F$11)</f>
        <v>32.782299999999999</v>
      </c>
      <c r="D934" s="8">
        <f>CHOOSE( CONTROL!$C$36, 32.7967, 32.795) * CHOOSE( CONTROL!$C$19, $D$11, 100%, $F$11)</f>
        <v>32.796700000000001</v>
      </c>
      <c r="E934" s="12">
        <f>CHOOSE( CONTROL!$C$36, 32.7903, 32.7886) * CHOOSE( CONTROL!$C$19, $D$11, 100%, $F$11)</f>
        <v>32.790300000000002</v>
      </c>
      <c r="F934" s="4">
        <f>CHOOSE( CONTROL!$C$36, 33.5073, 33.5057) * CHOOSE(CONTROL!$C$19, $D$11, 100%, $F$11)</f>
        <v>33.507300000000001</v>
      </c>
      <c r="G934" s="8">
        <f>CHOOSE( CONTROL!$C$36, 32.3694, 32.3677) * CHOOSE( CONTROL!$C$19, $D$11, 100%, $F$11)</f>
        <v>32.369399999999999</v>
      </c>
      <c r="H934" s="4">
        <f>CHOOSE( CONTROL!$C$36, 33.3137, 33.3121) * CHOOSE(CONTROL!$C$19, $D$11, 100%, $F$11)</f>
        <v>33.313699999999997</v>
      </c>
      <c r="I934" s="8">
        <f>CHOOSE( CONTROL!$C$36, 31.897, 31.8954) * CHOOSE(CONTROL!$C$19, $D$11, 100%, $F$11)</f>
        <v>31.896999999999998</v>
      </c>
      <c r="J934" s="4">
        <f>CHOOSE( CONTROL!$C$36, 31.7499, 31.7483) * CHOOSE(CONTROL!$C$19, $D$11, 100%, $F$11)</f>
        <v>31.7499</v>
      </c>
      <c r="K934" s="4"/>
      <c r="L934" s="9">
        <v>29.7257</v>
      </c>
      <c r="M934" s="9">
        <v>11.6745</v>
      </c>
      <c r="N934" s="9">
        <v>4.7850000000000001</v>
      </c>
      <c r="O934" s="9">
        <v>0.36199999999999999</v>
      </c>
      <c r="P934" s="9">
        <v>1.2509999999999999</v>
      </c>
      <c r="Q934" s="9">
        <v>19.053000000000001</v>
      </c>
      <c r="R934" s="9"/>
      <c r="S934" s="11"/>
    </row>
    <row r="935" spans="1:19" ht="15.75">
      <c r="A935" s="13">
        <v>69610</v>
      </c>
      <c r="B935" s="8">
        <f>CHOOSE( CONTROL!$C$36, 34.1851, 34.1835) * CHOOSE(CONTROL!$C$19, $D$11, 100%, $F$11)</f>
        <v>34.185099999999998</v>
      </c>
      <c r="C935" s="8">
        <f>CHOOSE( CONTROL!$C$36, 34.1931, 34.1915) * CHOOSE(CONTROL!$C$19, $D$11, 100%, $F$11)</f>
        <v>34.193100000000001</v>
      </c>
      <c r="D935" s="8">
        <f>CHOOSE( CONTROL!$C$36, 34.2078, 34.2061) * CHOOSE( CONTROL!$C$19, $D$11, 100%, $F$11)</f>
        <v>34.207799999999999</v>
      </c>
      <c r="E935" s="12">
        <f>CHOOSE( CONTROL!$C$36, 34.2013, 34.1996) * CHOOSE( CONTROL!$C$19, $D$11, 100%, $F$11)</f>
        <v>34.201300000000003</v>
      </c>
      <c r="F935" s="4">
        <f>CHOOSE( CONTROL!$C$36, 34.9182, 34.9165) * CHOOSE(CONTROL!$C$19, $D$11, 100%, $F$11)</f>
        <v>34.918199999999999</v>
      </c>
      <c r="G935" s="8">
        <f>CHOOSE( CONTROL!$C$36, 33.7607, 33.7591) * CHOOSE( CONTROL!$C$19, $D$11, 100%, $F$11)</f>
        <v>33.7607</v>
      </c>
      <c r="H935" s="4">
        <f>CHOOSE( CONTROL!$C$36, 34.7049, 34.7032) * CHOOSE(CONTROL!$C$19, $D$11, 100%, $F$11)</f>
        <v>34.704900000000002</v>
      </c>
      <c r="I935" s="8">
        <f>CHOOSE( CONTROL!$C$36, 33.2647, 33.2631) * CHOOSE(CONTROL!$C$19, $D$11, 100%, $F$11)</f>
        <v>33.264699999999998</v>
      </c>
      <c r="J935" s="4">
        <f>CHOOSE( CONTROL!$C$36, 33.1161, 33.1145) * CHOOSE(CONTROL!$C$19, $D$11, 100%, $F$11)</f>
        <v>33.116100000000003</v>
      </c>
      <c r="K935" s="4"/>
      <c r="L935" s="9">
        <v>30.7165</v>
      </c>
      <c r="M935" s="9">
        <v>12.063700000000001</v>
      </c>
      <c r="N935" s="9">
        <v>4.9444999999999997</v>
      </c>
      <c r="O935" s="9">
        <v>0.37409999999999999</v>
      </c>
      <c r="P935" s="9">
        <v>1.2927</v>
      </c>
      <c r="Q935" s="9">
        <v>19.688099999999999</v>
      </c>
      <c r="R935" s="9"/>
      <c r="S935" s="11"/>
    </row>
    <row r="936" spans="1:19" ht="15.75">
      <c r="A936" s="13">
        <v>69641</v>
      </c>
      <c r="B936" s="8">
        <f>CHOOSE( CONTROL!$C$36, 31.5453, 31.5436) * CHOOSE(CONTROL!$C$19, $D$11, 100%, $F$11)</f>
        <v>31.545300000000001</v>
      </c>
      <c r="C936" s="8">
        <f>CHOOSE( CONTROL!$C$36, 31.5533, 31.5516) * CHOOSE(CONTROL!$C$19, $D$11, 100%, $F$11)</f>
        <v>31.5533</v>
      </c>
      <c r="D936" s="8">
        <f>CHOOSE( CONTROL!$C$36, 31.568, 31.5663) * CHOOSE( CONTROL!$C$19, $D$11, 100%, $F$11)</f>
        <v>31.568000000000001</v>
      </c>
      <c r="E936" s="12">
        <f>CHOOSE( CONTROL!$C$36, 31.5615, 31.5598) * CHOOSE( CONTROL!$C$19, $D$11, 100%, $F$11)</f>
        <v>31.561499999999999</v>
      </c>
      <c r="F936" s="4">
        <f>CHOOSE( CONTROL!$C$36, 32.2783, 32.2766) * CHOOSE(CONTROL!$C$19, $D$11, 100%, $F$11)</f>
        <v>32.278300000000002</v>
      </c>
      <c r="G936" s="8">
        <f>CHOOSE( CONTROL!$C$36, 31.1577, 31.1561) * CHOOSE( CONTROL!$C$19, $D$11, 100%, $F$11)</f>
        <v>31.157699999999998</v>
      </c>
      <c r="H936" s="4">
        <f>CHOOSE( CONTROL!$C$36, 32.1018, 32.1002) * CHOOSE(CONTROL!$C$19, $D$11, 100%, $F$11)</f>
        <v>32.101799999999997</v>
      </c>
      <c r="I936" s="8">
        <f>CHOOSE( CONTROL!$C$36, 30.7074, 30.7058) * CHOOSE(CONTROL!$C$19, $D$11, 100%, $F$11)</f>
        <v>30.7074</v>
      </c>
      <c r="J936" s="4">
        <f>CHOOSE( CONTROL!$C$36, 30.5599, 30.5583) * CHOOSE(CONTROL!$C$19, $D$11, 100%, $F$11)</f>
        <v>30.559899999999999</v>
      </c>
      <c r="K936" s="4"/>
      <c r="L936" s="9">
        <v>30.7165</v>
      </c>
      <c r="M936" s="9">
        <v>12.063700000000001</v>
      </c>
      <c r="N936" s="9">
        <v>4.9444999999999997</v>
      </c>
      <c r="O936" s="9">
        <v>0.37409999999999999</v>
      </c>
      <c r="P936" s="9">
        <v>1.2927</v>
      </c>
      <c r="Q936" s="9">
        <v>19.688099999999999</v>
      </c>
      <c r="R936" s="9"/>
      <c r="S936" s="11"/>
    </row>
    <row r="937" spans="1:19" ht="15.75">
      <c r="A937" s="13">
        <v>69671</v>
      </c>
      <c r="B937" s="8">
        <f>CHOOSE( CONTROL!$C$36, 30.8842, 30.8825) * CHOOSE(CONTROL!$C$19, $D$11, 100%, $F$11)</f>
        <v>30.8842</v>
      </c>
      <c r="C937" s="8">
        <f>CHOOSE( CONTROL!$C$36, 30.8922, 30.8905) * CHOOSE(CONTROL!$C$19, $D$11, 100%, $F$11)</f>
        <v>30.892199999999999</v>
      </c>
      <c r="D937" s="8">
        <f>CHOOSE( CONTROL!$C$36, 30.9068, 30.9051) * CHOOSE( CONTROL!$C$19, $D$11, 100%, $F$11)</f>
        <v>30.9068</v>
      </c>
      <c r="E937" s="12">
        <f>CHOOSE( CONTROL!$C$36, 30.9003, 30.8986) * CHOOSE( CONTROL!$C$19, $D$11, 100%, $F$11)</f>
        <v>30.900300000000001</v>
      </c>
      <c r="F937" s="4">
        <f>CHOOSE( CONTROL!$C$36, 31.6172, 31.6156) * CHOOSE(CONTROL!$C$19, $D$11, 100%, $F$11)</f>
        <v>31.6172</v>
      </c>
      <c r="G937" s="8">
        <f>CHOOSE( CONTROL!$C$36, 30.5058, 30.5042) * CHOOSE( CONTROL!$C$19, $D$11, 100%, $F$11)</f>
        <v>30.505800000000001</v>
      </c>
      <c r="H937" s="4">
        <f>CHOOSE( CONTROL!$C$36, 31.45, 31.4483) * CHOOSE(CONTROL!$C$19, $D$11, 100%, $F$11)</f>
        <v>31.45</v>
      </c>
      <c r="I937" s="8">
        <f>CHOOSE( CONTROL!$C$36, 30.0666, 30.065) * CHOOSE(CONTROL!$C$19, $D$11, 100%, $F$11)</f>
        <v>30.066600000000001</v>
      </c>
      <c r="J937" s="4">
        <f>CHOOSE( CONTROL!$C$36, 29.9198, 29.9182) * CHOOSE(CONTROL!$C$19, $D$11, 100%, $F$11)</f>
        <v>29.919799999999999</v>
      </c>
      <c r="K937" s="4"/>
      <c r="L937" s="9">
        <v>29.7257</v>
      </c>
      <c r="M937" s="9">
        <v>11.6745</v>
      </c>
      <c r="N937" s="9">
        <v>4.7850000000000001</v>
      </c>
      <c r="O937" s="9">
        <v>0.36199999999999999</v>
      </c>
      <c r="P937" s="9">
        <v>1.2509999999999999</v>
      </c>
      <c r="Q937" s="9">
        <v>19.053000000000001</v>
      </c>
      <c r="R937" s="9"/>
      <c r="S937" s="11"/>
    </row>
    <row r="938" spans="1:19" ht="15.75">
      <c r="A938" s="13">
        <v>69702</v>
      </c>
      <c r="B938" s="8">
        <f>CHOOSE( CONTROL!$C$36, 32.2545, 32.2534) * CHOOSE(CONTROL!$C$19, $D$11, 100%, $F$11)</f>
        <v>32.2545</v>
      </c>
      <c r="C938" s="8">
        <f>CHOOSE( CONTROL!$C$36, 32.2598, 32.2588) * CHOOSE(CONTROL!$C$19, $D$11, 100%, $F$11)</f>
        <v>32.259799999999998</v>
      </c>
      <c r="D938" s="8">
        <f>CHOOSE( CONTROL!$C$36, 32.2803, 32.2792) * CHOOSE( CONTROL!$C$19, $D$11, 100%, $F$11)</f>
        <v>32.280299999999997</v>
      </c>
      <c r="E938" s="12">
        <f>CHOOSE( CONTROL!$C$36, 32.273, 32.2719) * CHOOSE( CONTROL!$C$19, $D$11, 100%, $F$11)</f>
        <v>32.273000000000003</v>
      </c>
      <c r="F938" s="4">
        <f>CHOOSE( CONTROL!$C$36, 32.9892, 32.9882) * CHOOSE(CONTROL!$C$19, $D$11, 100%, $F$11)</f>
        <v>32.989199999999997</v>
      </c>
      <c r="G938" s="8">
        <f>CHOOSE( CONTROL!$C$36, 31.8589, 31.8578) * CHOOSE( CONTROL!$C$19, $D$11, 100%, $F$11)</f>
        <v>31.858899999999998</v>
      </c>
      <c r="H938" s="4">
        <f>CHOOSE( CONTROL!$C$36, 32.8029, 32.8018) * CHOOSE(CONTROL!$C$19, $D$11, 100%, $F$11)</f>
        <v>32.802900000000001</v>
      </c>
      <c r="I938" s="8">
        <f>CHOOSE( CONTROL!$C$36, 31.3968, 31.3958) * CHOOSE(CONTROL!$C$19, $D$11, 100%, $F$11)</f>
        <v>31.396799999999999</v>
      </c>
      <c r="J938" s="4">
        <f>CHOOSE( CONTROL!$C$36, 31.2483, 31.2472) * CHOOSE(CONTROL!$C$19, $D$11, 100%, $F$11)</f>
        <v>31.2483</v>
      </c>
      <c r="K938" s="4"/>
      <c r="L938" s="9">
        <v>31.095300000000002</v>
      </c>
      <c r="M938" s="9">
        <v>12.063700000000001</v>
      </c>
      <c r="N938" s="9">
        <v>4.9444999999999997</v>
      </c>
      <c r="O938" s="9">
        <v>0.37409999999999999</v>
      </c>
      <c r="P938" s="9">
        <v>1.2927</v>
      </c>
      <c r="Q938" s="9">
        <v>19.688099999999999</v>
      </c>
      <c r="R938" s="9"/>
      <c r="S938" s="11"/>
    </row>
    <row r="939" spans="1:19" ht="15.75">
      <c r="A939" s="13">
        <v>69732</v>
      </c>
      <c r="B939" s="8">
        <f>CHOOSE( CONTROL!$C$36, 34.7876, 34.7865) * CHOOSE(CONTROL!$C$19, $D$11, 100%, $F$11)</f>
        <v>34.787599999999998</v>
      </c>
      <c r="C939" s="8">
        <f>CHOOSE( CONTROL!$C$36, 34.7927, 34.7916) * CHOOSE(CONTROL!$C$19, $D$11, 100%, $F$11)</f>
        <v>34.792700000000004</v>
      </c>
      <c r="D939" s="8">
        <f>CHOOSE( CONTROL!$C$36, 34.7719, 34.7708) * CHOOSE( CONTROL!$C$19, $D$11, 100%, $F$11)</f>
        <v>34.771900000000002</v>
      </c>
      <c r="E939" s="12">
        <f>CHOOSE( CONTROL!$C$36, 34.779, 34.7779) * CHOOSE( CONTROL!$C$19, $D$11, 100%, $F$11)</f>
        <v>34.779000000000003</v>
      </c>
      <c r="F939" s="4">
        <f>CHOOSE( CONTROL!$C$36, 35.4468, 35.4458) * CHOOSE(CONTROL!$C$19, $D$11, 100%, $F$11)</f>
        <v>35.446800000000003</v>
      </c>
      <c r="G939" s="8">
        <f>CHOOSE( CONTROL!$C$36, 34.337, 34.3359) * CHOOSE( CONTROL!$C$19, $D$11, 100%, $F$11)</f>
        <v>34.337000000000003</v>
      </c>
      <c r="H939" s="4">
        <f>CHOOSE( CONTROL!$C$36, 35.2262, 35.2251) * CHOOSE(CONTROL!$C$19, $D$11, 100%, $F$11)</f>
        <v>35.226199999999999</v>
      </c>
      <c r="I939" s="8">
        <f>CHOOSE( CONTROL!$C$36, 33.9004, 33.8993) * CHOOSE(CONTROL!$C$19, $D$11, 100%, $F$11)</f>
        <v>33.900399999999998</v>
      </c>
      <c r="J939" s="4">
        <f>CHOOSE( CONTROL!$C$36, 33.7015, 33.7004) * CHOOSE(CONTROL!$C$19, $D$11, 100%, $F$11)</f>
        <v>33.701500000000003</v>
      </c>
      <c r="K939" s="4"/>
      <c r="L939" s="9">
        <v>28.360600000000002</v>
      </c>
      <c r="M939" s="9">
        <v>11.6745</v>
      </c>
      <c r="N939" s="9">
        <v>4.7850000000000001</v>
      </c>
      <c r="O939" s="9">
        <v>0.36199999999999999</v>
      </c>
      <c r="P939" s="9">
        <v>1.2509999999999999</v>
      </c>
      <c r="Q939" s="9">
        <v>19.053000000000001</v>
      </c>
      <c r="R939" s="9"/>
      <c r="S939" s="11"/>
    </row>
    <row r="940" spans="1:19" ht="15.75">
      <c r="A940" s="13">
        <v>69763</v>
      </c>
      <c r="B940" s="8">
        <f>CHOOSE( CONTROL!$C$36, 34.7243, 34.7232) * CHOOSE(CONTROL!$C$19, $D$11, 100%, $F$11)</f>
        <v>34.724299999999999</v>
      </c>
      <c r="C940" s="8">
        <f>CHOOSE( CONTROL!$C$36, 34.7294, 34.7283) * CHOOSE(CONTROL!$C$19, $D$11, 100%, $F$11)</f>
        <v>34.729399999999998</v>
      </c>
      <c r="D940" s="8">
        <f>CHOOSE( CONTROL!$C$36, 34.71, 34.7089) * CHOOSE( CONTROL!$C$19, $D$11, 100%, $F$11)</f>
        <v>34.71</v>
      </c>
      <c r="E940" s="12">
        <f>CHOOSE( CONTROL!$C$36, 34.7166, 34.7155) * CHOOSE( CONTROL!$C$19, $D$11, 100%, $F$11)</f>
        <v>34.7166</v>
      </c>
      <c r="F940" s="4">
        <f>CHOOSE( CONTROL!$C$36, 35.3835, 35.3825) * CHOOSE(CONTROL!$C$19, $D$11, 100%, $F$11)</f>
        <v>35.383499999999998</v>
      </c>
      <c r="G940" s="8">
        <f>CHOOSE( CONTROL!$C$36, 34.2756, 34.2745) * CHOOSE( CONTROL!$C$19, $D$11, 100%, $F$11)</f>
        <v>34.275599999999997</v>
      </c>
      <c r="H940" s="4">
        <f>CHOOSE( CONTROL!$C$36, 35.1638, 35.1627) * CHOOSE(CONTROL!$C$19, $D$11, 100%, $F$11)</f>
        <v>35.163800000000002</v>
      </c>
      <c r="I940" s="8">
        <f>CHOOSE( CONTROL!$C$36, 33.8433, 33.8423) * CHOOSE(CONTROL!$C$19, $D$11, 100%, $F$11)</f>
        <v>33.843299999999999</v>
      </c>
      <c r="J940" s="4">
        <f>CHOOSE( CONTROL!$C$36, 33.6402, 33.6391) * CHOOSE(CONTROL!$C$19, $D$11, 100%, $F$11)</f>
        <v>33.6402</v>
      </c>
      <c r="K940" s="4"/>
      <c r="L940" s="9">
        <v>29.306000000000001</v>
      </c>
      <c r="M940" s="9">
        <v>12.063700000000001</v>
      </c>
      <c r="N940" s="9">
        <v>4.9444999999999997</v>
      </c>
      <c r="O940" s="9">
        <v>0.37409999999999999</v>
      </c>
      <c r="P940" s="9">
        <v>1.2927</v>
      </c>
      <c r="Q940" s="9">
        <v>19.688099999999999</v>
      </c>
      <c r="R940" s="9"/>
      <c r="S940" s="11"/>
    </row>
    <row r="941" spans="1:19" ht="15.75">
      <c r="A941" s="13">
        <v>69794</v>
      </c>
      <c r="B941" s="8">
        <f>CHOOSE( CONTROL!$C$36, 35.749, 35.7479) * CHOOSE(CONTROL!$C$19, $D$11, 100%, $F$11)</f>
        <v>35.749000000000002</v>
      </c>
      <c r="C941" s="8">
        <f>CHOOSE( CONTROL!$C$36, 35.7541, 35.753) * CHOOSE(CONTROL!$C$19, $D$11, 100%, $F$11)</f>
        <v>35.754100000000001</v>
      </c>
      <c r="D941" s="8">
        <f>CHOOSE( CONTROL!$C$36, 35.7554, 35.7543) * CHOOSE( CONTROL!$C$19, $D$11, 100%, $F$11)</f>
        <v>35.755400000000002</v>
      </c>
      <c r="E941" s="12">
        <f>CHOOSE( CONTROL!$C$36, 35.7544, 35.7533) * CHOOSE( CONTROL!$C$19, $D$11, 100%, $F$11)</f>
        <v>35.754399999999997</v>
      </c>
      <c r="F941" s="4">
        <f>CHOOSE( CONTROL!$C$36, 36.4083, 36.4072) * CHOOSE(CONTROL!$C$19, $D$11, 100%, $F$11)</f>
        <v>36.408299999999997</v>
      </c>
      <c r="G941" s="8">
        <f>CHOOSE( CONTROL!$C$36, 35.2971, 35.296) * CHOOSE( CONTROL!$C$19, $D$11, 100%, $F$11)</f>
        <v>35.2971</v>
      </c>
      <c r="H941" s="4">
        <f>CHOOSE( CONTROL!$C$36, 36.1742, 36.1731) * CHOOSE(CONTROL!$C$19, $D$11, 100%, $F$11)</f>
        <v>36.174199999999999</v>
      </c>
      <c r="I941" s="8">
        <f>CHOOSE( CONTROL!$C$36, 34.8136, 34.8125) * CHOOSE(CONTROL!$C$19, $D$11, 100%, $F$11)</f>
        <v>34.813600000000001</v>
      </c>
      <c r="J941" s="4">
        <f>CHOOSE( CONTROL!$C$36, 34.6324, 34.6314) * CHOOSE(CONTROL!$C$19, $D$11, 100%, $F$11)</f>
        <v>34.632399999999997</v>
      </c>
      <c r="K941" s="4"/>
      <c r="L941" s="9">
        <v>29.306000000000001</v>
      </c>
      <c r="M941" s="9">
        <v>12.063700000000001</v>
      </c>
      <c r="N941" s="9">
        <v>4.9444999999999997</v>
      </c>
      <c r="O941" s="9">
        <v>0.37409999999999999</v>
      </c>
      <c r="P941" s="9">
        <v>1.2927</v>
      </c>
      <c r="Q941" s="9">
        <v>19.688099999999999</v>
      </c>
      <c r="R941" s="9"/>
      <c r="S941" s="11"/>
    </row>
    <row r="942" spans="1:19" ht="15.75">
      <c r="A942" s="13">
        <v>69822</v>
      </c>
      <c r="B942" s="8">
        <f>CHOOSE( CONTROL!$C$36, 33.4369, 33.4358) * CHOOSE(CONTROL!$C$19, $D$11, 100%, $F$11)</f>
        <v>33.436900000000001</v>
      </c>
      <c r="C942" s="8">
        <f>CHOOSE( CONTROL!$C$36, 33.442, 33.4409) * CHOOSE(CONTROL!$C$19, $D$11, 100%, $F$11)</f>
        <v>33.442</v>
      </c>
      <c r="D942" s="8">
        <f>CHOOSE( CONTROL!$C$36, 33.4431, 33.442) * CHOOSE( CONTROL!$C$19, $D$11, 100%, $F$11)</f>
        <v>33.443100000000001</v>
      </c>
      <c r="E942" s="12">
        <f>CHOOSE( CONTROL!$C$36, 33.4422, 33.4411) * CHOOSE( CONTROL!$C$19, $D$11, 100%, $F$11)</f>
        <v>33.4422</v>
      </c>
      <c r="F942" s="4">
        <f>CHOOSE( CONTROL!$C$36, 34.0961, 34.095) * CHOOSE(CONTROL!$C$19, $D$11, 100%, $F$11)</f>
        <v>34.0961</v>
      </c>
      <c r="G942" s="8">
        <f>CHOOSE( CONTROL!$C$36, 33.0171, 33.016) * CHOOSE( CONTROL!$C$19, $D$11, 100%, $F$11)</f>
        <v>33.017099999999999</v>
      </c>
      <c r="H942" s="4">
        <f>CHOOSE( CONTROL!$C$36, 33.8943, 33.8932) * CHOOSE(CONTROL!$C$19, $D$11, 100%, $F$11)</f>
        <v>33.894300000000001</v>
      </c>
      <c r="I942" s="8">
        <f>CHOOSE( CONTROL!$C$36, 32.5732, 32.5721) * CHOOSE(CONTROL!$C$19, $D$11, 100%, $F$11)</f>
        <v>32.5732</v>
      </c>
      <c r="J942" s="4">
        <f>CHOOSE( CONTROL!$C$36, 32.3936, 32.3925) * CHOOSE(CONTROL!$C$19, $D$11, 100%, $F$11)</f>
        <v>32.393599999999999</v>
      </c>
      <c r="K942" s="4"/>
      <c r="L942" s="9">
        <v>26.469899999999999</v>
      </c>
      <c r="M942" s="9">
        <v>10.8962</v>
      </c>
      <c r="N942" s="9">
        <v>4.4660000000000002</v>
      </c>
      <c r="O942" s="9">
        <v>0.33789999999999998</v>
      </c>
      <c r="P942" s="9">
        <v>1.1676</v>
      </c>
      <c r="Q942" s="9">
        <v>17.782800000000002</v>
      </c>
      <c r="R942" s="9"/>
      <c r="S942" s="11"/>
    </row>
    <row r="943" spans="1:19" ht="15.75">
      <c r="A943" s="13">
        <v>69853</v>
      </c>
      <c r="B943" s="8">
        <f>CHOOSE( CONTROL!$C$36, 32.7247, 32.7236) * CHOOSE(CONTROL!$C$19, $D$11, 100%, $F$11)</f>
        <v>32.724699999999999</v>
      </c>
      <c r="C943" s="8">
        <f>CHOOSE( CONTROL!$C$36, 32.7298, 32.7287) * CHOOSE(CONTROL!$C$19, $D$11, 100%, $F$11)</f>
        <v>32.729799999999997</v>
      </c>
      <c r="D943" s="8">
        <f>CHOOSE( CONTROL!$C$36, 32.7304, 32.7293) * CHOOSE( CONTROL!$C$19, $D$11, 100%, $F$11)</f>
        <v>32.730400000000003</v>
      </c>
      <c r="E943" s="12">
        <f>CHOOSE( CONTROL!$C$36, 32.7296, 32.7285) * CHOOSE( CONTROL!$C$19, $D$11, 100%, $F$11)</f>
        <v>32.729599999999998</v>
      </c>
      <c r="F943" s="4">
        <f>CHOOSE( CONTROL!$C$36, 33.384, 33.3829) * CHOOSE(CONTROL!$C$19, $D$11, 100%, $F$11)</f>
        <v>33.384</v>
      </c>
      <c r="G943" s="8">
        <f>CHOOSE( CONTROL!$C$36, 32.3144, 32.3133) * CHOOSE( CONTROL!$C$19, $D$11, 100%, $F$11)</f>
        <v>32.314399999999999</v>
      </c>
      <c r="H943" s="4">
        <f>CHOOSE( CONTROL!$C$36, 33.1921, 33.191) * CHOOSE(CONTROL!$C$19, $D$11, 100%, $F$11)</f>
        <v>33.192100000000003</v>
      </c>
      <c r="I943" s="8">
        <f>CHOOSE( CONTROL!$C$36, 31.8813, 31.8803) * CHOOSE(CONTROL!$C$19, $D$11, 100%, $F$11)</f>
        <v>31.8813</v>
      </c>
      <c r="J943" s="4">
        <f>CHOOSE( CONTROL!$C$36, 31.704, 31.703) * CHOOSE(CONTROL!$C$19, $D$11, 100%, $F$11)</f>
        <v>31.704000000000001</v>
      </c>
      <c r="K943" s="4"/>
      <c r="L943" s="9">
        <v>29.306000000000001</v>
      </c>
      <c r="M943" s="9">
        <v>12.063700000000001</v>
      </c>
      <c r="N943" s="9">
        <v>4.9444999999999997</v>
      </c>
      <c r="O943" s="9">
        <v>0.37409999999999999</v>
      </c>
      <c r="P943" s="9">
        <v>1.2927</v>
      </c>
      <c r="Q943" s="9">
        <v>19.688099999999999</v>
      </c>
      <c r="R943" s="9"/>
      <c r="S943" s="11"/>
    </row>
    <row r="944" spans="1:19" ht="15.75">
      <c r="A944" s="13">
        <v>69883</v>
      </c>
      <c r="B944" s="8">
        <f>CHOOSE( CONTROL!$C$36, 33.2231, 33.222) * CHOOSE(CONTROL!$C$19, $D$11, 100%, $F$11)</f>
        <v>33.223100000000002</v>
      </c>
      <c r="C944" s="8">
        <f>CHOOSE( CONTROL!$C$36, 33.2277, 33.2266) * CHOOSE(CONTROL!$C$19, $D$11, 100%, $F$11)</f>
        <v>33.227699999999999</v>
      </c>
      <c r="D944" s="8">
        <f>CHOOSE( CONTROL!$C$36, 33.248, 33.247) * CHOOSE( CONTROL!$C$19, $D$11, 100%, $F$11)</f>
        <v>33.247999999999998</v>
      </c>
      <c r="E944" s="12">
        <f>CHOOSE( CONTROL!$C$36, 33.2408, 33.2397) * CHOOSE( CONTROL!$C$19, $D$11, 100%, $F$11)</f>
        <v>33.2408</v>
      </c>
      <c r="F944" s="4">
        <f>CHOOSE( CONTROL!$C$36, 33.9575, 33.9564) * CHOOSE(CONTROL!$C$19, $D$11, 100%, $F$11)</f>
        <v>33.957500000000003</v>
      </c>
      <c r="G944" s="8">
        <f>CHOOSE( CONTROL!$C$36, 32.8132, 32.8121) * CHOOSE( CONTROL!$C$19, $D$11, 100%, $F$11)</f>
        <v>32.813200000000002</v>
      </c>
      <c r="H944" s="4">
        <f>CHOOSE( CONTROL!$C$36, 33.7576, 33.7565) * CHOOSE(CONTROL!$C$19, $D$11, 100%, $F$11)</f>
        <v>33.757599999999996</v>
      </c>
      <c r="I944" s="8">
        <f>CHOOSE( CONTROL!$C$36, 32.3329, 32.3318) * CHOOSE(CONTROL!$C$19, $D$11, 100%, $F$11)</f>
        <v>32.332900000000002</v>
      </c>
      <c r="J944" s="4">
        <f>CHOOSE( CONTROL!$C$36, 32.1859, 32.1848) * CHOOSE(CONTROL!$C$19, $D$11, 100%, $F$11)</f>
        <v>32.185899999999997</v>
      </c>
      <c r="K944" s="4"/>
      <c r="L944" s="9">
        <v>30.092199999999998</v>
      </c>
      <c r="M944" s="9">
        <v>11.6745</v>
      </c>
      <c r="N944" s="9">
        <v>4.7850000000000001</v>
      </c>
      <c r="O944" s="9">
        <v>0.36199999999999999</v>
      </c>
      <c r="P944" s="9">
        <v>1.2509999999999999</v>
      </c>
      <c r="Q944" s="9">
        <v>19.053000000000001</v>
      </c>
      <c r="R944" s="9"/>
      <c r="S944" s="11"/>
    </row>
    <row r="945" spans="1:19" ht="15.75">
      <c r="A945" s="13">
        <v>69914</v>
      </c>
      <c r="B945" s="8">
        <f>CHOOSE( CONTROL!$C$36, 34.1107, 34.1091) * CHOOSE(CONTROL!$C$19, $D$11, 100%, $F$11)</f>
        <v>34.110700000000001</v>
      </c>
      <c r="C945" s="8">
        <f>CHOOSE( CONTROL!$C$36, 34.1187, 34.1171) * CHOOSE(CONTROL!$C$19, $D$11, 100%, $F$11)</f>
        <v>34.118699999999997</v>
      </c>
      <c r="D945" s="8">
        <f>CHOOSE( CONTROL!$C$36, 34.1329, 34.1313) * CHOOSE( CONTROL!$C$19, $D$11, 100%, $F$11)</f>
        <v>34.132899999999999</v>
      </c>
      <c r="E945" s="12">
        <f>CHOOSE( CONTROL!$C$36, 34.1265, 34.1249) * CHOOSE( CONTROL!$C$19, $D$11, 100%, $F$11)</f>
        <v>34.1265</v>
      </c>
      <c r="F945" s="4">
        <f>CHOOSE( CONTROL!$C$36, 34.8438, 34.8421) * CHOOSE(CONTROL!$C$19, $D$11, 100%, $F$11)</f>
        <v>34.843800000000002</v>
      </c>
      <c r="G945" s="8">
        <f>CHOOSE( CONTROL!$C$36, 33.687, 33.6854) * CHOOSE( CONTROL!$C$19, $D$11, 100%, $F$11)</f>
        <v>33.686999999999998</v>
      </c>
      <c r="H945" s="4">
        <f>CHOOSE( CONTROL!$C$36, 34.6315, 34.6298) * CHOOSE(CONTROL!$C$19, $D$11, 100%, $F$11)</f>
        <v>34.631500000000003</v>
      </c>
      <c r="I945" s="8">
        <f>CHOOSE( CONTROL!$C$36, 33.1911, 33.1895) * CHOOSE(CONTROL!$C$19, $D$11, 100%, $F$11)</f>
        <v>33.191099999999999</v>
      </c>
      <c r="J945" s="4">
        <f>CHOOSE( CONTROL!$C$36, 33.044, 33.0424) * CHOOSE(CONTROL!$C$19, $D$11, 100%, $F$11)</f>
        <v>33.043999999999997</v>
      </c>
      <c r="K945" s="4"/>
      <c r="L945" s="9">
        <v>30.7165</v>
      </c>
      <c r="M945" s="9">
        <v>12.063700000000001</v>
      </c>
      <c r="N945" s="9">
        <v>4.9444999999999997</v>
      </c>
      <c r="O945" s="9">
        <v>0.37409999999999999</v>
      </c>
      <c r="P945" s="9">
        <v>1.2927</v>
      </c>
      <c r="Q945" s="9">
        <v>19.688099999999999</v>
      </c>
      <c r="R945" s="9"/>
      <c r="S945" s="11"/>
    </row>
    <row r="946" spans="1:19" ht="15.75">
      <c r="A946" s="13">
        <v>69944</v>
      </c>
      <c r="B946" s="8">
        <f>CHOOSE( CONTROL!$C$36, 33.5621, 33.5604) * CHOOSE(CONTROL!$C$19, $D$11, 100%, $F$11)</f>
        <v>33.562100000000001</v>
      </c>
      <c r="C946" s="8">
        <f>CHOOSE( CONTROL!$C$36, 33.5701, 33.5684) * CHOOSE(CONTROL!$C$19, $D$11, 100%, $F$11)</f>
        <v>33.570099999999996</v>
      </c>
      <c r="D946" s="8">
        <f>CHOOSE( CONTROL!$C$36, 33.5845, 33.5828) * CHOOSE( CONTROL!$C$19, $D$11, 100%, $F$11)</f>
        <v>33.584499999999998</v>
      </c>
      <c r="E946" s="12">
        <f>CHOOSE( CONTROL!$C$36, 33.5781, 33.5764) * CHOOSE( CONTROL!$C$19, $D$11, 100%, $F$11)</f>
        <v>33.578099999999999</v>
      </c>
      <c r="F946" s="4">
        <f>CHOOSE( CONTROL!$C$36, 34.2951, 34.2935) * CHOOSE(CONTROL!$C$19, $D$11, 100%, $F$11)</f>
        <v>34.295099999999998</v>
      </c>
      <c r="G946" s="8">
        <f>CHOOSE( CONTROL!$C$36, 33.1462, 33.1446) * CHOOSE( CONTROL!$C$19, $D$11, 100%, $F$11)</f>
        <v>33.1462</v>
      </c>
      <c r="H946" s="4">
        <f>CHOOSE( CONTROL!$C$36, 34.0905, 34.0889) * CHOOSE(CONTROL!$C$19, $D$11, 100%, $F$11)</f>
        <v>34.090499999999999</v>
      </c>
      <c r="I946" s="8">
        <f>CHOOSE( CONTROL!$C$36, 32.6602, 32.6586) * CHOOSE(CONTROL!$C$19, $D$11, 100%, $F$11)</f>
        <v>32.660200000000003</v>
      </c>
      <c r="J946" s="4">
        <f>CHOOSE( CONTROL!$C$36, 32.5128, 32.5112) * CHOOSE(CONTROL!$C$19, $D$11, 100%, $F$11)</f>
        <v>32.512799999999999</v>
      </c>
      <c r="K946" s="4"/>
      <c r="L946" s="9">
        <v>29.7257</v>
      </c>
      <c r="M946" s="9">
        <v>11.6745</v>
      </c>
      <c r="N946" s="9">
        <v>4.7850000000000001</v>
      </c>
      <c r="O946" s="9">
        <v>0.36199999999999999</v>
      </c>
      <c r="P946" s="9">
        <v>1.2509999999999999</v>
      </c>
      <c r="Q946" s="9">
        <v>19.053000000000001</v>
      </c>
      <c r="R946" s="9"/>
      <c r="S946" s="11"/>
    </row>
    <row r="947" spans="1:19" ht="15.75">
      <c r="A947" s="13">
        <v>69975</v>
      </c>
      <c r="B947" s="8">
        <f>CHOOSE( CONTROL!$C$36, 35.0068, 35.0052) * CHOOSE(CONTROL!$C$19, $D$11, 100%, $F$11)</f>
        <v>35.006799999999998</v>
      </c>
      <c r="C947" s="8">
        <f>CHOOSE( CONTROL!$C$36, 35.0148, 35.0132) * CHOOSE(CONTROL!$C$19, $D$11, 100%, $F$11)</f>
        <v>35.014800000000001</v>
      </c>
      <c r="D947" s="8">
        <f>CHOOSE( CONTROL!$C$36, 35.0295, 35.0278) * CHOOSE( CONTROL!$C$19, $D$11, 100%, $F$11)</f>
        <v>35.029499999999999</v>
      </c>
      <c r="E947" s="12">
        <f>CHOOSE( CONTROL!$C$36, 35.023, 35.0213) * CHOOSE( CONTROL!$C$19, $D$11, 100%, $F$11)</f>
        <v>35.023000000000003</v>
      </c>
      <c r="F947" s="4">
        <f>CHOOSE( CONTROL!$C$36, 35.7399, 35.7382) * CHOOSE(CONTROL!$C$19, $D$11, 100%, $F$11)</f>
        <v>35.739899999999999</v>
      </c>
      <c r="G947" s="8">
        <f>CHOOSE( CONTROL!$C$36, 34.571, 34.5694) * CHOOSE( CONTROL!$C$19, $D$11, 100%, $F$11)</f>
        <v>34.570999999999998</v>
      </c>
      <c r="H947" s="4">
        <f>CHOOSE( CONTROL!$C$36, 35.5151, 35.5135) * CHOOSE(CONTROL!$C$19, $D$11, 100%, $F$11)</f>
        <v>35.515099999999997</v>
      </c>
      <c r="I947" s="8">
        <f>CHOOSE( CONTROL!$C$36, 34.0607, 34.0591) * CHOOSE(CONTROL!$C$19, $D$11, 100%, $F$11)</f>
        <v>34.060699999999997</v>
      </c>
      <c r="J947" s="4">
        <f>CHOOSE( CONTROL!$C$36, 33.9117, 33.9101) * CHOOSE(CONTROL!$C$19, $D$11, 100%, $F$11)</f>
        <v>33.911700000000003</v>
      </c>
      <c r="K947" s="4"/>
      <c r="L947" s="9">
        <v>30.7165</v>
      </c>
      <c r="M947" s="9">
        <v>12.063700000000001</v>
      </c>
      <c r="N947" s="9">
        <v>4.9444999999999997</v>
      </c>
      <c r="O947" s="9">
        <v>0.37409999999999999</v>
      </c>
      <c r="P947" s="9">
        <v>1.2927</v>
      </c>
      <c r="Q947" s="9">
        <v>19.688099999999999</v>
      </c>
      <c r="R947" s="9"/>
      <c r="S947" s="11"/>
    </row>
    <row r="948" spans="1:19" ht="15.75">
      <c r="A948" s="13">
        <v>70006</v>
      </c>
      <c r="B948" s="8">
        <f>CHOOSE( CONTROL!$C$36, 32.3035, 32.3019) * CHOOSE(CONTROL!$C$19, $D$11, 100%, $F$11)</f>
        <v>32.3035</v>
      </c>
      <c r="C948" s="8">
        <f>CHOOSE( CONTROL!$C$36, 32.3115, 32.3099) * CHOOSE(CONTROL!$C$19, $D$11, 100%, $F$11)</f>
        <v>32.311500000000002</v>
      </c>
      <c r="D948" s="8">
        <f>CHOOSE( CONTROL!$C$36, 32.3262, 32.3246) * CHOOSE( CONTROL!$C$19, $D$11, 100%, $F$11)</f>
        <v>32.3262</v>
      </c>
      <c r="E948" s="12">
        <f>CHOOSE( CONTROL!$C$36, 32.3197, 32.3181) * CHOOSE( CONTROL!$C$19, $D$11, 100%, $F$11)</f>
        <v>32.319699999999997</v>
      </c>
      <c r="F948" s="4">
        <f>CHOOSE( CONTROL!$C$36, 33.0366, 33.0349) * CHOOSE(CONTROL!$C$19, $D$11, 100%, $F$11)</f>
        <v>33.0366</v>
      </c>
      <c r="G948" s="8">
        <f>CHOOSE( CONTROL!$C$36, 31.9054, 31.9038) * CHOOSE( CONTROL!$C$19, $D$11, 100%, $F$11)</f>
        <v>31.9054</v>
      </c>
      <c r="H948" s="4">
        <f>CHOOSE( CONTROL!$C$36, 32.8495, 32.8479) * CHOOSE(CONTROL!$C$19, $D$11, 100%, $F$11)</f>
        <v>32.849499999999999</v>
      </c>
      <c r="I948" s="8">
        <f>CHOOSE( CONTROL!$C$36, 31.442, 31.4404) * CHOOSE(CONTROL!$C$19, $D$11, 100%, $F$11)</f>
        <v>31.442</v>
      </c>
      <c r="J948" s="4">
        <f>CHOOSE( CONTROL!$C$36, 31.2941, 31.2925) * CHOOSE(CONTROL!$C$19, $D$11, 100%, $F$11)</f>
        <v>31.2941</v>
      </c>
      <c r="K948" s="4"/>
      <c r="L948" s="9">
        <v>30.7165</v>
      </c>
      <c r="M948" s="9">
        <v>12.063700000000001</v>
      </c>
      <c r="N948" s="9">
        <v>4.9444999999999997</v>
      </c>
      <c r="O948" s="9">
        <v>0.37409999999999999</v>
      </c>
      <c r="P948" s="9">
        <v>1.2927</v>
      </c>
      <c r="Q948" s="9">
        <v>19.688099999999999</v>
      </c>
      <c r="R948" s="9"/>
      <c r="S948" s="11"/>
    </row>
    <row r="949" spans="1:19" ht="15.75">
      <c r="A949" s="13">
        <v>70036</v>
      </c>
      <c r="B949" s="8">
        <f>CHOOSE( CONTROL!$C$36, 31.6266, 31.6249) * CHOOSE(CONTROL!$C$19, $D$11, 100%, $F$11)</f>
        <v>31.6266</v>
      </c>
      <c r="C949" s="8">
        <f>CHOOSE( CONTROL!$C$36, 31.6346, 31.6329) * CHOOSE(CONTROL!$C$19, $D$11, 100%, $F$11)</f>
        <v>31.634599999999999</v>
      </c>
      <c r="D949" s="8">
        <f>CHOOSE( CONTROL!$C$36, 31.6492, 31.6475) * CHOOSE( CONTROL!$C$19, $D$11, 100%, $F$11)</f>
        <v>31.6492</v>
      </c>
      <c r="E949" s="12">
        <f>CHOOSE( CONTROL!$C$36, 31.6427, 31.641) * CHOOSE( CONTROL!$C$19, $D$11, 100%, $F$11)</f>
        <v>31.642700000000001</v>
      </c>
      <c r="F949" s="4">
        <f>CHOOSE( CONTROL!$C$36, 32.3596, 32.358) * CHOOSE(CONTROL!$C$19, $D$11, 100%, $F$11)</f>
        <v>32.3596</v>
      </c>
      <c r="G949" s="8">
        <f>CHOOSE( CONTROL!$C$36, 31.2379, 31.2362) * CHOOSE( CONTROL!$C$19, $D$11, 100%, $F$11)</f>
        <v>31.2379</v>
      </c>
      <c r="H949" s="4">
        <f>CHOOSE( CONTROL!$C$36, 32.182, 32.1804) * CHOOSE(CONTROL!$C$19, $D$11, 100%, $F$11)</f>
        <v>32.182000000000002</v>
      </c>
      <c r="I949" s="8">
        <f>CHOOSE( CONTROL!$C$36, 30.7858, 30.7842) * CHOOSE(CONTROL!$C$19, $D$11, 100%, $F$11)</f>
        <v>30.785799999999998</v>
      </c>
      <c r="J949" s="4">
        <f>CHOOSE( CONTROL!$C$36, 30.6386, 30.637) * CHOOSE(CONTROL!$C$19, $D$11, 100%, $F$11)</f>
        <v>30.6386</v>
      </c>
      <c r="K949" s="4"/>
      <c r="L949" s="9">
        <v>29.7257</v>
      </c>
      <c r="M949" s="9">
        <v>11.6745</v>
      </c>
      <c r="N949" s="9">
        <v>4.7850000000000001</v>
      </c>
      <c r="O949" s="9">
        <v>0.36199999999999999</v>
      </c>
      <c r="P949" s="9">
        <v>1.2509999999999999</v>
      </c>
      <c r="Q949" s="9">
        <v>19.053000000000001</v>
      </c>
      <c r="R949" s="9"/>
      <c r="S949" s="11"/>
    </row>
    <row r="950" spans="1:19" ht="15.75">
      <c r="A950" s="13">
        <v>70067</v>
      </c>
      <c r="B950" s="8">
        <f>CHOOSE( CONTROL!$C$36, 33.0299, 33.0288) * CHOOSE(CONTROL!$C$19, $D$11, 100%, $F$11)</f>
        <v>33.029899999999998</v>
      </c>
      <c r="C950" s="8">
        <f>CHOOSE( CONTROL!$C$36, 33.0352, 33.0341) * CHOOSE(CONTROL!$C$19, $D$11, 100%, $F$11)</f>
        <v>33.035200000000003</v>
      </c>
      <c r="D950" s="8">
        <f>CHOOSE( CONTROL!$C$36, 33.0557, 33.0546) * CHOOSE( CONTROL!$C$19, $D$11, 100%, $F$11)</f>
        <v>33.055700000000002</v>
      </c>
      <c r="E950" s="12">
        <f>CHOOSE( CONTROL!$C$36, 33.0484, 33.0473) * CHOOSE( CONTROL!$C$19, $D$11, 100%, $F$11)</f>
        <v>33.048400000000001</v>
      </c>
      <c r="F950" s="4">
        <f>CHOOSE( CONTROL!$C$36, 33.7646, 33.7635) * CHOOSE(CONTROL!$C$19, $D$11, 100%, $F$11)</f>
        <v>33.764600000000002</v>
      </c>
      <c r="G950" s="8">
        <f>CHOOSE( CONTROL!$C$36, 32.6235, 32.6224) * CHOOSE( CONTROL!$C$19, $D$11, 100%, $F$11)</f>
        <v>32.6235</v>
      </c>
      <c r="H950" s="4">
        <f>CHOOSE( CONTROL!$C$36, 33.5674, 33.5663) * CHOOSE(CONTROL!$C$19, $D$11, 100%, $F$11)</f>
        <v>33.567399999999999</v>
      </c>
      <c r="I950" s="8">
        <f>CHOOSE( CONTROL!$C$36, 32.148, 32.147) * CHOOSE(CONTROL!$C$19, $D$11, 100%, $F$11)</f>
        <v>32.148000000000003</v>
      </c>
      <c r="J950" s="4">
        <f>CHOOSE( CONTROL!$C$36, 31.9991, 31.998) * CHOOSE(CONTROL!$C$19, $D$11, 100%, $F$11)</f>
        <v>31.999099999999999</v>
      </c>
      <c r="K950" s="4"/>
      <c r="L950" s="9">
        <v>31.095300000000002</v>
      </c>
      <c r="M950" s="9">
        <v>12.063700000000001</v>
      </c>
      <c r="N950" s="9">
        <v>4.9444999999999997</v>
      </c>
      <c r="O950" s="9">
        <v>0.37409999999999999</v>
      </c>
      <c r="P950" s="9">
        <v>1.2927</v>
      </c>
      <c r="Q950" s="9">
        <v>19.688099999999999</v>
      </c>
      <c r="R950" s="9"/>
      <c r="S950" s="11"/>
    </row>
    <row r="951" spans="1:19" ht="15.75">
      <c r="A951" s="13">
        <v>70097</v>
      </c>
      <c r="B951" s="8">
        <f>CHOOSE( CONTROL!$C$36, 35.6238, 35.6228) * CHOOSE(CONTROL!$C$19, $D$11, 100%, $F$11)</f>
        <v>35.623800000000003</v>
      </c>
      <c r="C951" s="8">
        <f>CHOOSE( CONTROL!$C$36, 35.6289, 35.6279) * CHOOSE(CONTROL!$C$19, $D$11, 100%, $F$11)</f>
        <v>35.628900000000002</v>
      </c>
      <c r="D951" s="8">
        <f>CHOOSE( CONTROL!$C$36, 35.6082, 35.6071) * CHOOSE( CONTROL!$C$19, $D$11, 100%, $F$11)</f>
        <v>35.608199999999997</v>
      </c>
      <c r="E951" s="12">
        <f>CHOOSE( CONTROL!$C$36, 35.6152, 35.6142) * CHOOSE( CONTROL!$C$19, $D$11, 100%, $F$11)</f>
        <v>35.615200000000002</v>
      </c>
      <c r="F951" s="4">
        <f>CHOOSE( CONTROL!$C$36, 36.2831, 36.282) * CHOOSE(CONTROL!$C$19, $D$11, 100%, $F$11)</f>
        <v>36.283099999999997</v>
      </c>
      <c r="G951" s="8">
        <f>CHOOSE( CONTROL!$C$36, 35.1616, 35.1605) * CHOOSE( CONTROL!$C$19, $D$11, 100%, $F$11)</f>
        <v>35.1616</v>
      </c>
      <c r="H951" s="4">
        <f>CHOOSE( CONTROL!$C$36, 36.0507, 36.0497) * CHOOSE(CONTROL!$C$19, $D$11, 100%, $F$11)</f>
        <v>36.050699999999999</v>
      </c>
      <c r="I951" s="8">
        <f>CHOOSE( CONTROL!$C$36, 34.7105, 34.7095) * CHOOSE(CONTROL!$C$19, $D$11, 100%, $F$11)</f>
        <v>34.710500000000003</v>
      </c>
      <c r="J951" s="4">
        <f>CHOOSE( CONTROL!$C$36, 34.5112, 34.5102) * CHOOSE(CONTROL!$C$19, $D$11, 100%, $F$11)</f>
        <v>34.511200000000002</v>
      </c>
      <c r="K951" s="4"/>
      <c r="L951" s="9">
        <v>28.360600000000002</v>
      </c>
      <c r="M951" s="9">
        <v>11.6745</v>
      </c>
      <c r="N951" s="9">
        <v>4.7850000000000001</v>
      </c>
      <c r="O951" s="9">
        <v>0.36199999999999999</v>
      </c>
      <c r="P951" s="9">
        <v>1.2509999999999999</v>
      </c>
      <c r="Q951" s="9">
        <v>19.053000000000001</v>
      </c>
      <c r="R951" s="9"/>
      <c r="S951" s="11"/>
    </row>
    <row r="952" spans="1:19" ht="15.75">
      <c r="A952" s="13">
        <v>70128</v>
      </c>
      <c r="B952" s="8">
        <f>CHOOSE( CONTROL!$C$36, 35.559, 35.5579) * CHOOSE(CONTROL!$C$19, $D$11, 100%, $F$11)</f>
        <v>35.558999999999997</v>
      </c>
      <c r="C952" s="8">
        <f>CHOOSE( CONTROL!$C$36, 35.5641, 35.563) * CHOOSE(CONTROL!$C$19, $D$11, 100%, $F$11)</f>
        <v>35.564100000000003</v>
      </c>
      <c r="D952" s="8">
        <f>CHOOSE( CONTROL!$C$36, 35.5447, 35.5436) * CHOOSE( CONTROL!$C$19, $D$11, 100%, $F$11)</f>
        <v>35.544699999999999</v>
      </c>
      <c r="E952" s="12">
        <f>CHOOSE( CONTROL!$C$36, 35.5513, 35.5502) * CHOOSE( CONTROL!$C$19, $D$11, 100%, $F$11)</f>
        <v>35.551299999999998</v>
      </c>
      <c r="F952" s="4">
        <f>CHOOSE( CONTROL!$C$36, 36.2183, 36.2172) * CHOOSE(CONTROL!$C$19, $D$11, 100%, $F$11)</f>
        <v>36.218299999999999</v>
      </c>
      <c r="G952" s="8">
        <f>CHOOSE( CONTROL!$C$36, 35.0987, 35.0976) * CHOOSE( CONTROL!$C$19, $D$11, 100%, $F$11)</f>
        <v>35.098700000000001</v>
      </c>
      <c r="H952" s="4">
        <f>CHOOSE( CONTROL!$C$36, 35.9868, 35.9858) * CHOOSE(CONTROL!$C$19, $D$11, 100%, $F$11)</f>
        <v>35.986800000000002</v>
      </c>
      <c r="I952" s="8">
        <f>CHOOSE( CONTROL!$C$36, 34.652, 34.651) * CHOOSE(CONTROL!$C$19, $D$11, 100%, $F$11)</f>
        <v>34.652000000000001</v>
      </c>
      <c r="J952" s="4">
        <f>CHOOSE( CONTROL!$C$36, 34.4485, 34.4474) * CHOOSE(CONTROL!$C$19, $D$11, 100%, $F$11)</f>
        <v>34.448500000000003</v>
      </c>
      <c r="K952" s="4"/>
      <c r="L952" s="9">
        <v>29.306000000000001</v>
      </c>
      <c r="M952" s="9">
        <v>12.063700000000001</v>
      </c>
      <c r="N952" s="9">
        <v>4.9444999999999997</v>
      </c>
      <c r="O952" s="9">
        <v>0.37409999999999999</v>
      </c>
      <c r="P952" s="9">
        <v>1.2927</v>
      </c>
      <c r="Q952" s="9">
        <v>19.688099999999999</v>
      </c>
      <c r="R952" s="9"/>
      <c r="S952" s="11"/>
    </row>
    <row r="953" spans="1:19" ht="15.75">
      <c r="A953" s="13">
        <v>70159</v>
      </c>
      <c r="B953" s="8">
        <f>CHOOSE( CONTROL!$C$36, 36.6084, 36.6073) * CHOOSE(CONTROL!$C$19, $D$11, 100%, $F$11)</f>
        <v>36.608400000000003</v>
      </c>
      <c r="C953" s="8">
        <f>CHOOSE( CONTROL!$C$36, 36.6135, 36.6124) * CHOOSE(CONTROL!$C$19, $D$11, 100%, $F$11)</f>
        <v>36.613500000000002</v>
      </c>
      <c r="D953" s="8">
        <f>CHOOSE( CONTROL!$C$36, 36.6148, 36.6137) * CHOOSE( CONTROL!$C$19, $D$11, 100%, $F$11)</f>
        <v>36.614800000000002</v>
      </c>
      <c r="E953" s="12">
        <f>CHOOSE( CONTROL!$C$36, 36.6138, 36.6127) * CHOOSE( CONTROL!$C$19, $D$11, 100%, $F$11)</f>
        <v>36.613799999999998</v>
      </c>
      <c r="F953" s="4">
        <f>CHOOSE( CONTROL!$C$36, 37.2676, 37.2665) * CHOOSE(CONTROL!$C$19, $D$11, 100%, $F$11)</f>
        <v>37.267600000000002</v>
      </c>
      <c r="G953" s="8">
        <f>CHOOSE( CONTROL!$C$36, 36.1444, 36.1434) * CHOOSE( CONTROL!$C$19, $D$11, 100%, $F$11)</f>
        <v>36.144399999999997</v>
      </c>
      <c r="H953" s="4">
        <f>CHOOSE( CONTROL!$C$36, 37.0215, 37.0205) * CHOOSE(CONTROL!$C$19, $D$11, 100%, $F$11)</f>
        <v>37.021500000000003</v>
      </c>
      <c r="I953" s="8">
        <f>CHOOSE( CONTROL!$C$36, 35.6461, 35.6451) * CHOOSE(CONTROL!$C$19, $D$11, 100%, $F$11)</f>
        <v>35.646099999999997</v>
      </c>
      <c r="J953" s="4">
        <f>CHOOSE( CONTROL!$C$36, 35.4645, 35.4635) * CHOOSE(CONTROL!$C$19, $D$11, 100%, $F$11)</f>
        <v>35.464500000000001</v>
      </c>
      <c r="K953" s="4"/>
      <c r="L953" s="9">
        <v>29.306000000000001</v>
      </c>
      <c r="M953" s="9">
        <v>12.063700000000001</v>
      </c>
      <c r="N953" s="9">
        <v>4.9444999999999997</v>
      </c>
      <c r="O953" s="9">
        <v>0.37409999999999999</v>
      </c>
      <c r="P953" s="9">
        <v>1.2927</v>
      </c>
      <c r="Q953" s="9">
        <v>19.688099999999999</v>
      </c>
      <c r="R953" s="9"/>
      <c r="S953" s="11"/>
    </row>
    <row r="954" spans="1:19" ht="15.75">
      <c r="A954" s="13">
        <v>70188</v>
      </c>
      <c r="B954" s="8">
        <f>CHOOSE( CONTROL!$C$36, 34.2407, 34.2396) * CHOOSE(CONTROL!$C$19, $D$11, 100%, $F$11)</f>
        <v>34.240699999999997</v>
      </c>
      <c r="C954" s="8">
        <f>CHOOSE( CONTROL!$C$36, 34.2458, 34.2447) * CHOOSE(CONTROL!$C$19, $D$11, 100%, $F$11)</f>
        <v>34.245800000000003</v>
      </c>
      <c r="D954" s="8">
        <f>CHOOSE( CONTROL!$C$36, 34.2469, 34.2458) * CHOOSE( CONTROL!$C$19, $D$11, 100%, $F$11)</f>
        <v>34.246899999999997</v>
      </c>
      <c r="E954" s="12">
        <f>CHOOSE( CONTROL!$C$36, 34.246, 34.2449) * CHOOSE( CONTROL!$C$19, $D$11, 100%, $F$11)</f>
        <v>34.246000000000002</v>
      </c>
      <c r="F954" s="4">
        <f>CHOOSE( CONTROL!$C$36, 34.8999, 34.8988) * CHOOSE(CONTROL!$C$19, $D$11, 100%, $F$11)</f>
        <v>34.899900000000002</v>
      </c>
      <c r="G954" s="8">
        <f>CHOOSE( CONTROL!$C$36, 33.8097, 33.8086) * CHOOSE( CONTROL!$C$19, $D$11, 100%, $F$11)</f>
        <v>33.809699999999999</v>
      </c>
      <c r="H954" s="4">
        <f>CHOOSE( CONTROL!$C$36, 34.6869, 34.6858) * CHOOSE(CONTROL!$C$19, $D$11, 100%, $F$11)</f>
        <v>34.686900000000001</v>
      </c>
      <c r="I954" s="8">
        <f>CHOOSE( CONTROL!$C$36, 33.3519, 33.3508) * CHOOSE(CONTROL!$C$19, $D$11, 100%, $F$11)</f>
        <v>33.351900000000001</v>
      </c>
      <c r="J954" s="4">
        <f>CHOOSE( CONTROL!$C$36, 33.1719, 33.1708) * CHOOSE(CONTROL!$C$19, $D$11, 100%, $F$11)</f>
        <v>33.171900000000001</v>
      </c>
      <c r="K954" s="4"/>
      <c r="L954" s="9">
        <v>27.415299999999998</v>
      </c>
      <c r="M954" s="9">
        <v>11.285299999999999</v>
      </c>
      <c r="N954" s="9">
        <v>4.6254999999999997</v>
      </c>
      <c r="O954" s="9">
        <v>0.34989999999999999</v>
      </c>
      <c r="P954" s="9">
        <v>1.2093</v>
      </c>
      <c r="Q954" s="9">
        <v>18.417899999999999</v>
      </c>
      <c r="R954" s="9"/>
      <c r="S954" s="11"/>
    </row>
    <row r="955" spans="1:19" ht="15.75">
      <c r="A955" s="13">
        <v>70219</v>
      </c>
      <c r="B955" s="8">
        <f>CHOOSE( CONTROL!$C$36, 33.5114, 33.5103) * CHOOSE(CONTROL!$C$19, $D$11, 100%, $F$11)</f>
        <v>33.511400000000002</v>
      </c>
      <c r="C955" s="8">
        <f>CHOOSE( CONTROL!$C$36, 33.5165, 33.5154) * CHOOSE(CONTROL!$C$19, $D$11, 100%, $F$11)</f>
        <v>33.516500000000001</v>
      </c>
      <c r="D955" s="8">
        <f>CHOOSE( CONTROL!$C$36, 33.517, 33.5159) * CHOOSE( CONTROL!$C$19, $D$11, 100%, $F$11)</f>
        <v>33.517000000000003</v>
      </c>
      <c r="E955" s="12">
        <f>CHOOSE( CONTROL!$C$36, 33.5163, 33.5152) * CHOOSE( CONTROL!$C$19, $D$11, 100%, $F$11)</f>
        <v>33.516300000000001</v>
      </c>
      <c r="F955" s="4">
        <f>CHOOSE( CONTROL!$C$36, 34.1707, 34.1696) * CHOOSE(CONTROL!$C$19, $D$11, 100%, $F$11)</f>
        <v>34.170699999999997</v>
      </c>
      <c r="G955" s="8">
        <f>CHOOSE( CONTROL!$C$36, 33.0901, 33.0891) * CHOOSE( CONTROL!$C$19, $D$11, 100%, $F$11)</f>
        <v>33.0901</v>
      </c>
      <c r="H955" s="4">
        <f>CHOOSE( CONTROL!$C$36, 33.9678, 33.9667) * CHOOSE(CONTROL!$C$19, $D$11, 100%, $F$11)</f>
        <v>33.967799999999997</v>
      </c>
      <c r="I955" s="8">
        <f>CHOOSE( CONTROL!$C$36, 32.6434, 32.6424) * CHOOSE(CONTROL!$C$19, $D$11, 100%, $F$11)</f>
        <v>32.6434</v>
      </c>
      <c r="J955" s="4">
        <f>CHOOSE( CONTROL!$C$36, 32.4658, 32.4647) * CHOOSE(CONTROL!$C$19, $D$11, 100%, $F$11)</f>
        <v>32.465800000000002</v>
      </c>
      <c r="K955" s="4"/>
      <c r="L955" s="9">
        <v>29.306000000000001</v>
      </c>
      <c r="M955" s="9">
        <v>12.063700000000001</v>
      </c>
      <c r="N955" s="9">
        <v>4.9444999999999997</v>
      </c>
      <c r="O955" s="9">
        <v>0.37409999999999999</v>
      </c>
      <c r="P955" s="9">
        <v>1.2927</v>
      </c>
      <c r="Q955" s="9">
        <v>19.688099999999999</v>
      </c>
      <c r="R955" s="9"/>
      <c r="S955" s="11"/>
    </row>
    <row r="956" spans="1:19" ht="15.75">
      <c r="A956" s="13">
        <v>70249</v>
      </c>
      <c r="B956" s="8">
        <f>CHOOSE( CONTROL!$C$36, 34.0218, 34.0207) * CHOOSE(CONTROL!$C$19, $D$11, 100%, $F$11)</f>
        <v>34.021799999999999</v>
      </c>
      <c r="C956" s="8">
        <f>CHOOSE( CONTROL!$C$36, 34.0263, 34.0252) * CHOOSE(CONTROL!$C$19, $D$11, 100%, $F$11)</f>
        <v>34.026299999999999</v>
      </c>
      <c r="D956" s="8">
        <f>CHOOSE( CONTROL!$C$36, 34.0467, 34.0456) * CHOOSE( CONTROL!$C$19, $D$11, 100%, $F$11)</f>
        <v>34.046700000000001</v>
      </c>
      <c r="E956" s="12">
        <f>CHOOSE( CONTROL!$C$36, 34.0394, 34.0383) * CHOOSE( CONTROL!$C$19, $D$11, 100%, $F$11)</f>
        <v>34.039400000000001</v>
      </c>
      <c r="F956" s="4">
        <f>CHOOSE( CONTROL!$C$36, 34.7562, 34.7551) * CHOOSE(CONTROL!$C$19, $D$11, 100%, $F$11)</f>
        <v>34.7562</v>
      </c>
      <c r="G956" s="8">
        <f>CHOOSE( CONTROL!$C$36, 33.6007, 33.5996) * CHOOSE( CONTROL!$C$19, $D$11, 100%, $F$11)</f>
        <v>33.600700000000003</v>
      </c>
      <c r="H956" s="4">
        <f>CHOOSE( CONTROL!$C$36, 34.5451, 34.544) * CHOOSE(CONTROL!$C$19, $D$11, 100%, $F$11)</f>
        <v>34.545099999999998</v>
      </c>
      <c r="I956" s="8">
        <f>CHOOSE( CONTROL!$C$36, 33.1066, 33.1055) * CHOOSE(CONTROL!$C$19, $D$11, 100%, $F$11)</f>
        <v>33.1066</v>
      </c>
      <c r="J956" s="4">
        <f>CHOOSE( CONTROL!$C$36, 32.9592, 32.9581) * CHOOSE(CONTROL!$C$19, $D$11, 100%, $F$11)</f>
        <v>32.959200000000003</v>
      </c>
      <c r="K956" s="4"/>
      <c r="L956" s="9">
        <v>30.092199999999998</v>
      </c>
      <c r="M956" s="9">
        <v>11.6745</v>
      </c>
      <c r="N956" s="9">
        <v>4.7850000000000001</v>
      </c>
      <c r="O956" s="9">
        <v>0.36199999999999999</v>
      </c>
      <c r="P956" s="9">
        <v>1.2509999999999999</v>
      </c>
      <c r="Q956" s="9">
        <v>19.053000000000001</v>
      </c>
      <c r="R956" s="9"/>
      <c r="S956" s="11"/>
    </row>
    <row r="957" spans="1:19" ht="15.75">
      <c r="A957" s="13">
        <v>70280</v>
      </c>
      <c r="B957" s="8">
        <f>CHOOSE( CONTROL!$C$36, 34.9306, 34.929) * CHOOSE(CONTROL!$C$19, $D$11, 100%, $F$11)</f>
        <v>34.930599999999998</v>
      </c>
      <c r="C957" s="8">
        <f>CHOOSE( CONTROL!$C$36, 34.9386, 34.937) * CHOOSE(CONTROL!$C$19, $D$11, 100%, $F$11)</f>
        <v>34.938600000000001</v>
      </c>
      <c r="D957" s="8">
        <f>CHOOSE( CONTROL!$C$36, 34.9528, 34.9512) * CHOOSE( CONTROL!$C$19, $D$11, 100%, $F$11)</f>
        <v>34.952800000000003</v>
      </c>
      <c r="E957" s="12">
        <f>CHOOSE( CONTROL!$C$36, 34.9464, 34.9448) * CHOOSE( CONTROL!$C$19, $D$11, 100%, $F$11)</f>
        <v>34.946399999999997</v>
      </c>
      <c r="F957" s="4">
        <f>CHOOSE( CONTROL!$C$36, 35.6637, 35.662) * CHOOSE(CONTROL!$C$19, $D$11, 100%, $F$11)</f>
        <v>35.663699999999999</v>
      </c>
      <c r="G957" s="8">
        <f>CHOOSE( CONTROL!$C$36, 34.4955, 34.4939) * CHOOSE( CONTROL!$C$19, $D$11, 100%, $F$11)</f>
        <v>34.4955</v>
      </c>
      <c r="H957" s="4">
        <f>CHOOSE( CONTROL!$C$36, 35.44, 35.4383) * CHOOSE(CONTROL!$C$19, $D$11, 100%, $F$11)</f>
        <v>35.44</v>
      </c>
      <c r="I957" s="8">
        <f>CHOOSE( CONTROL!$C$36, 33.9854, 33.9838) * CHOOSE(CONTROL!$C$19, $D$11, 100%, $F$11)</f>
        <v>33.985399999999998</v>
      </c>
      <c r="J957" s="4">
        <f>CHOOSE( CONTROL!$C$36, 33.8379, 33.8363) * CHOOSE(CONTROL!$C$19, $D$11, 100%, $F$11)</f>
        <v>33.837899999999998</v>
      </c>
      <c r="K957" s="4"/>
      <c r="L957" s="9">
        <v>30.7165</v>
      </c>
      <c r="M957" s="9">
        <v>12.063700000000001</v>
      </c>
      <c r="N957" s="9">
        <v>4.9444999999999997</v>
      </c>
      <c r="O957" s="9">
        <v>0.37409999999999999</v>
      </c>
      <c r="P957" s="9">
        <v>1.2927</v>
      </c>
      <c r="Q957" s="9">
        <v>19.688099999999999</v>
      </c>
      <c r="R957" s="9"/>
      <c r="S957" s="11"/>
    </row>
    <row r="958" spans="1:19" ht="15.75">
      <c r="A958" s="13">
        <v>70310</v>
      </c>
      <c r="B958" s="8">
        <f>CHOOSE( CONTROL!$C$36, 34.3688, 34.3672) * CHOOSE(CONTROL!$C$19, $D$11, 100%, $F$11)</f>
        <v>34.3688</v>
      </c>
      <c r="C958" s="8">
        <f>CHOOSE( CONTROL!$C$36, 34.3768, 34.3752) * CHOOSE(CONTROL!$C$19, $D$11, 100%, $F$11)</f>
        <v>34.376800000000003</v>
      </c>
      <c r="D958" s="8">
        <f>CHOOSE( CONTROL!$C$36, 34.3912, 34.3895) * CHOOSE( CONTROL!$C$19, $D$11, 100%, $F$11)</f>
        <v>34.391199999999998</v>
      </c>
      <c r="E958" s="12">
        <f>CHOOSE( CONTROL!$C$36, 34.3848, 34.3831) * CHOOSE( CONTROL!$C$19, $D$11, 100%, $F$11)</f>
        <v>34.384799999999998</v>
      </c>
      <c r="F958" s="4">
        <f>CHOOSE( CONTROL!$C$36, 35.1018, 35.1002) * CHOOSE(CONTROL!$C$19, $D$11, 100%, $F$11)</f>
        <v>35.101799999999997</v>
      </c>
      <c r="G958" s="8">
        <f>CHOOSE( CONTROL!$C$36, 33.9417, 33.94) * CHOOSE( CONTROL!$C$19, $D$11, 100%, $F$11)</f>
        <v>33.941699999999997</v>
      </c>
      <c r="H958" s="4">
        <f>CHOOSE( CONTROL!$C$36, 34.886, 34.8843) * CHOOSE(CONTROL!$C$19, $D$11, 100%, $F$11)</f>
        <v>34.886000000000003</v>
      </c>
      <c r="I958" s="8">
        <f>CHOOSE( CONTROL!$C$36, 33.4418, 33.4402) * CHOOSE(CONTROL!$C$19, $D$11, 100%, $F$11)</f>
        <v>33.441800000000001</v>
      </c>
      <c r="J958" s="4">
        <f>CHOOSE( CONTROL!$C$36, 33.2939, 33.2923) * CHOOSE(CONTROL!$C$19, $D$11, 100%, $F$11)</f>
        <v>33.293900000000001</v>
      </c>
      <c r="K958" s="4"/>
      <c r="L958" s="9">
        <v>29.7257</v>
      </c>
      <c r="M958" s="9">
        <v>11.6745</v>
      </c>
      <c r="N958" s="9">
        <v>4.7850000000000001</v>
      </c>
      <c r="O958" s="9">
        <v>0.36199999999999999</v>
      </c>
      <c r="P958" s="9">
        <v>1.2509999999999999</v>
      </c>
      <c r="Q958" s="9">
        <v>19.053000000000001</v>
      </c>
      <c r="R958" s="9"/>
      <c r="S958" s="11"/>
    </row>
    <row r="959" spans="1:19" ht="15.75">
      <c r="A959" s="13">
        <v>70341</v>
      </c>
      <c r="B959" s="8">
        <f>CHOOSE( CONTROL!$C$36, 35.8483, 35.8466) * CHOOSE(CONTROL!$C$19, $D$11, 100%, $F$11)</f>
        <v>35.848300000000002</v>
      </c>
      <c r="C959" s="8">
        <f>CHOOSE( CONTROL!$C$36, 35.8563, 35.8546) * CHOOSE(CONTROL!$C$19, $D$11, 100%, $F$11)</f>
        <v>35.856299999999997</v>
      </c>
      <c r="D959" s="8">
        <f>CHOOSE( CONTROL!$C$36, 35.8709, 35.8693) * CHOOSE( CONTROL!$C$19, $D$11, 100%, $F$11)</f>
        <v>35.870899999999999</v>
      </c>
      <c r="E959" s="12">
        <f>CHOOSE( CONTROL!$C$36, 35.8644, 35.8628) * CHOOSE( CONTROL!$C$19, $D$11, 100%, $F$11)</f>
        <v>35.864400000000003</v>
      </c>
      <c r="F959" s="4">
        <f>CHOOSE( CONTROL!$C$36, 36.5813, 36.5797) * CHOOSE(CONTROL!$C$19, $D$11, 100%, $F$11)</f>
        <v>36.581299999999999</v>
      </c>
      <c r="G959" s="8">
        <f>CHOOSE( CONTROL!$C$36, 35.4007, 35.3991) * CHOOSE( CONTROL!$C$19, $D$11, 100%, $F$11)</f>
        <v>35.400700000000001</v>
      </c>
      <c r="H959" s="4">
        <f>CHOOSE( CONTROL!$C$36, 36.3448, 36.3432) * CHOOSE(CONTROL!$C$19, $D$11, 100%, $F$11)</f>
        <v>36.344799999999999</v>
      </c>
      <c r="I959" s="8">
        <f>CHOOSE( CONTROL!$C$36, 34.8759, 34.8743) * CHOOSE(CONTROL!$C$19, $D$11, 100%, $F$11)</f>
        <v>34.875900000000001</v>
      </c>
      <c r="J959" s="4">
        <f>CHOOSE( CONTROL!$C$36, 34.7265, 34.7249) * CHOOSE(CONTROL!$C$19, $D$11, 100%, $F$11)</f>
        <v>34.726500000000001</v>
      </c>
      <c r="K959" s="4"/>
      <c r="L959" s="9">
        <v>30.7165</v>
      </c>
      <c r="M959" s="9">
        <v>12.063700000000001</v>
      </c>
      <c r="N959" s="9">
        <v>4.9444999999999997</v>
      </c>
      <c r="O959" s="9">
        <v>0.37409999999999999</v>
      </c>
      <c r="P959" s="9">
        <v>1.2927</v>
      </c>
      <c r="Q959" s="9">
        <v>19.688099999999999</v>
      </c>
      <c r="R959" s="9"/>
      <c r="S959" s="11"/>
    </row>
    <row r="960" spans="1:19" ht="15.75">
      <c r="A960" s="13">
        <v>70372</v>
      </c>
      <c r="B960" s="8">
        <f>CHOOSE( CONTROL!$C$36, 33.08, 33.0784) * CHOOSE(CONTROL!$C$19, $D$11, 100%, $F$11)</f>
        <v>33.08</v>
      </c>
      <c r="C960" s="8">
        <f>CHOOSE( CONTROL!$C$36, 33.088, 33.0864) * CHOOSE(CONTROL!$C$19, $D$11, 100%, $F$11)</f>
        <v>33.088000000000001</v>
      </c>
      <c r="D960" s="8">
        <f>CHOOSE( CONTROL!$C$36, 33.1027, 33.1011) * CHOOSE( CONTROL!$C$19, $D$11, 100%, $F$11)</f>
        <v>33.102699999999999</v>
      </c>
      <c r="E960" s="12">
        <f>CHOOSE( CONTROL!$C$36, 33.0962, 33.0946) * CHOOSE( CONTROL!$C$19, $D$11, 100%, $F$11)</f>
        <v>33.096200000000003</v>
      </c>
      <c r="F960" s="4">
        <f>CHOOSE( CONTROL!$C$36, 33.8131, 33.8114) * CHOOSE(CONTROL!$C$19, $D$11, 100%, $F$11)</f>
        <v>33.813099999999999</v>
      </c>
      <c r="G960" s="8">
        <f>CHOOSE( CONTROL!$C$36, 32.6711, 32.6695) * CHOOSE( CONTROL!$C$19, $D$11, 100%, $F$11)</f>
        <v>32.671100000000003</v>
      </c>
      <c r="H960" s="4">
        <f>CHOOSE( CONTROL!$C$36, 33.6152, 33.6135) * CHOOSE(CONTROL!$C$19, $D$11, 100%, $F$11)</f>
        <v>33.615200000000002</v>
      </c>
      <c r="I960" s="8">
        <f>CHOOSE( CONTROL!$C$36, 32.1942, 32.1926) * CHOOSE(CONTROL!$C$19, $D$11, 100%, $F$11)</f>
        <v>32.194200000000002</v>
      </c>
      <c r="J960" s="4">
        <f>CHOOSE( CONTROL!$C$36, 32.046, 32.0444) * CHOOSE(CONTROL!$C$19, $D$11, 100%, $F$11)</f>
        <v>32.045999999999999</v>
      </c>
      <c r="K960" s="4"/>
      <c r="L960" s="9">
        <v>30.7165</v>
      </c>
      <c r="M960" s="9">
        <v>12.063700000000001</v>
      </c>
      <c r="N960" s="9">
        <v>4.9444999999999997</v>
      </c>
      <c r="O960" s="9">
        <v>0.37409999999999999</v>
      </c>
      <c r="P960" s="9">
        <v>1.2927</v>
      </c>
      <c r="Q960" s="9">
        <v>19.688099999999999</v>
      </c>
      <c r="R960" s="9"/>
      <c r="S960" s="11"/>
    </row>
    <row r="961" spans="1:19" ht="15.75">
      <c r="A961" s="13">
        <v>70402</v>
      </c>
      <c r="B961" s="8">
        <f>CHOOSE( CONTROL!$C$36, 32.3868, 32.3852) * CHOOSE(CONTROL!$C$19, $D$11, 100%, $F$11)</f>
        <v>32.386800000000001</v>
      </c>
      <c r="C961" s="8">
        <f>CHOOSE( CONTROL!$C$36, 32.3948, 32.3932) * CHOOSE(CONTROL!$C$19, $D$11, 100%, $F$11)</f>
        <v>32.394799999999996</v>
      </c>
      <c r="D961" s="8">
        <f>CHOOSE( CONTROL!$C$36, 32.4094, 32.4078) * CHOOSE( CONTROL!$C$19, $D$11, 100%, $F$11)</f>
        <v>32.409399999999998</v>
      </c>
      <c r="E961" s="12">
        <f>CHOOSE( CONTROL!$C$36, 32.4029, 32.4013) * CHOOSE( CONTROL!$C$19, $D$11, 100%, $F$11)</f>
        <v>32.402900000000002</v>
      </c>
      <c r="F961" s="4">
        <f>CHOOSE( CONTROL!$C$36, 33.1199, 33.1182) * CHOOSE(CONTROL!$C$19, $D$11, 100%, $F$11)</f>
        <v>33.119900000000001</v>
      </c>
      <c r="G961" s="8">
        <f>CHOOSE( CONTROL!$C$36, 31.9875, 31.9859) * CHOOSE( CONTROL!$C$19, $D$11, 100%, $F$11)</f>
        <v>31.987500000000001</v>
      </c>
      <c r="H961" s="4">
        <f>CHOOSE( CONTROL!$C$36, 32.9316, 32.93) * CHOOSE(CONTROL!$C$19, $D$11, 100%, $F$11)</f>
        <v>32.931600000000003</v>
      </c>
      <c r="I961" s="8">
        <f>CHOOSE( CONTROL!$C$36, 31.5223, 31.5207) * CHOOSE(CONTROL!$C$19, $D$11, 100%, $F$11)</f>
        <v>31.522300000000001</v>
      </c>
      <c r="J961" s="4">
        <f>CHOOSE( CONTROL!$C$36, 31.3748, 31.3732) * CHOOSE(CONTROL!$C$19, $D$11, 100%, $F$11)</f>
        <v>31.3748</v>
      </c>
      <c r="K961" s="4"/>
      <c r="L961" s="9">
        <v>29.7257</v>
      </c>
      <c r="M961" s="9">
        <v>11.6745</v>
      </c>
      <c r="N961" s="9">
        <v>4.7850000000000001</v>
      </c>
      <c r="O961" s="9">
        <v>0.36199999999999999</v>
      </c>
      <c r="P961" s="9">
        <v>1.2509999999999999</v>
      </c>
      <c r="Q961" s="9">
        <v>19.053000000000001</v>
      </c>
      <c r="R961" s="9"/>
      <c r="S961" s="11"/>
    </row>
    <row r="962" spans="1:19" ht="15.75">
      <c r="A962" s="13">
        <v>70433</v>
      </c>
      <c r="B962" s="8">
        <f>CHOOSE( CONTROL!$C$36, 33.8239, 33.8228) * CHOOSE(CONTROL!$C$19, $D$11, 100%, $F$11)</f>
        <v>33.823900000000002</v>
      </c>
      <c r="C962" s="8">
        <f>CHOOSE( CONTROL!$C$36, 33.8292, 33.8281) * CHOOSE(CONTROL!$C$19, $D$11, 100%, $F$11)</f>
        <v>33.8292</v>
      </c>
      <c r="D962" s="8">
        <f>CHOOSE( CONTROL!$C$36, 33.8497, 33.8486) * CHOOSE( CONTROL!$C$19, $D$11, 100%, $F$11)</f>
        <v>33.849699999999999</v>
      </c>
      <c r="E962" s="12">
        <f>CHOOSE( CONTROL!$C$36, 33.8424, 33.8413) * CHOOSE( CONTROL!$C$19, $D$11, 100%, $F$11)</f>
        <v>33.842399999999998</v>
      </c>
      <c r="F962" s="4">
        <f>CHOOSE( CONTROL!$C$36, 34.5586, 34.5575) * CHOOSE(CONTROL!$C$19, $D$11, 100%, $F$11)</f>
        <v>34.558599999999998</v>
      </c>
      <c r="G962" s="8">
        <f>CHOOSE( CONTROL!$C$36, 33.4064, 33.4053) * CHOOSE( CONTROL!$C$19, $D$11, 100%, $F$11)</f>
        <v>33.406399999999998</v>
      </c>
      <c r="H962" s="4">
        <f>CHOOSE( CONTROL!$C$36, 34.3503, 34.3493) * CHOOSE(CONTROL!$C$19, $D$11, 100%, $F$11)</f>
        <v>34.350299999999997</v>
      </c>
      <c r="I962" s="8">
        <f>CHOOSE( CONTROL!$C$36, 32.9172, 32.9162) * CHOOSE(CONTROL!$C$19, $D$11, 100%, $F$11)</f>
        <v>32.917200000000001</v>
      </c>
      <c r="J962" s="4">
        <f>CHOOSE( CONTROL!$C$36, 32.7679, 32.7669) * CHOOSE(CONTROL!$C$19, $D$11, 100%, $F$11)</f>
        <v>32.767899999999997</v>
      </c>
      <c r="K962" s="4"/>
      <c r="L962" s="9">
        <v>31.095300000000002</v>
      </c>
      <c r="M962" s="9">
        <v>12.063700000000001</v>
      </c>
      <c r="N962" s="9">
        <v>4.9444999999999997</v>
      </c>
      <c r="O962" s="9">
        <v>0.37409999999999999</v>
      </c>
      <c r="P962" s="9">
        <v>1.2927</v>
      </c>
      <c r="Q962" s="9">
        <v>19.688099999999999</v>
      </c>
      <c r="R962" s="9"/>
      <c r="S962" s="11"/>
    </row>
    <row r="963" spans="1:19" ht="15.75">
      <c r="A963" s="13">
        <v>70463</v>
      </c>
      <c r="B963" s="8">
        <f>CHOOSE( CONTROL!$C$36, 36.4802, 36.4791) * CHOOSE(CONTROL!$C$19, $D$11, 100%, $F$11)</f>
        <v>36.480200000000004</v>
      </c>
      <c r="C963" s="8">
        <f>CHOOSE( CONTROL!$C$36, 36.4853, 36.4842) * CHOOSE(CONTROL!$C$19, $D$11, 100%, $F$11)</f>
        <v>36.485300000000002</v>
      </c>
      <c r="D963" s="8">
        <f>CHOOSE( CONTROL!$C$36, 36.4645, 36.4634) * CHOOSE( CONTROL!$C$19, $D$11, 100%, $F$11)</f>
        <v>36.464500000000001</v>
      </c>
      <c r="E963" s="12">
        <f>CHOOSE( CONTROL!$C$36, 36.4716, 36.4705) * CHOOSE( CONTROL!$C$19, $D$11, 100%, $F$11)</f>
        <v>36.471600000000002</v>
      </c>
      <c r="F963" s="4">
        <f>CHOOSE( CONTROL!$C$36, 37.1394, 37.1383) * CHOOSE(CONTROL!$C$19, $D$11, 100%, $F$11)</f>
        <v>37.139400000000002</v>
      </c>
      <c r="G963" s="8">
        <f>CHOOSE( CONTROL!$C$36, 36.006, 36.0049) * CHOOSE( CONTROL!$C$19, $D$11, 100%, $F$11)</f>
        <v>36.006</v>
      </c>
      <c r="H963" s="4">
        <f>CHOOSE( CONTROL!$C$36, 36.8951, 36.8941) * CHOOSE(CONTROL!$C$19, $D$11, 100%, $F$11)</f>
        <v>36.895099999999999</v>
      </c>
      <c r="I963" s="8">
        <f>CHOOSE( CONTROL!$C$36, 35.5401, 35.5391) * CHOOSE(CONTROL!$C$19, $D$11, 100%, $F$11)</f>
        <v>35.540100000000002</v>
      </c>
      <c r="J963" s="4">
        <f>CHOOSE( CONTROL!$C$36, 35.3404, 35.3394) * CHOOSE(CONTROL!$C$19, $D$11, 100%, $F$11)</f>
        <v>35.340400000000002</v>
      </c>
      <c r="K963" s="4"/>
      <c r="L963" s="9">
        <v>28.360600000000002</v>
      </c>
      <c r="M963" s="9">
        <v>11.6745</v>
      </c>
      <c r="N963" s="9">
        <v>4.7850000000000001</v>
      </c>
      <c r="O963" s="9">
        <v>0.36199999999999999</v>
      </c>
      <c r="P963" s="9">
        <v>1.2509999999999999</v>
      </c>
      <c r="Q963" s="9">
        <v>19.053000000000001</v>
      </c>
      <c r="R963" s="9"/>
      <c r="S963" s="11"/>
    </row>
    <row r="964" spans="1:19" ht="15.75">
      <c r="A964" s="13">
        <v>70494</v>
      </c>
      <c r="B964" s="8">
        <f>CHOOSE( CONTROL!$C$36, 36.4138, 36.4127) * CHOOSE(CONTROL!$C$19, $D$11, 100%, $F$11)</f>
        <v>36.413800000000002</v>
      </c>
      <c r="C964" s="8">
        <f>CHOOSE( CONTROL!$C$36, 36.4189, 36.4178) * CHOOSE(CONTROL!$C$19, $D$11, 100%, $F$11)</f>
        <v>36.418900000000001</v>
      </c>
      <c r="D964" s="8">
        <f>CHOOSE( CONTROL!$C$36, 36.3995, 36.3984) * CHOOSE( CONTROL!$C$19, $D$11, 100%, $F$11)</f>
        <v>36.399500000000003</v>
      </c>
      <c r="E964" s="12">
        <f>CHOOSE( CONTROL!$C$36, 36.4061, 36.405) * CHOOSE( CONTROL!$C$19, $D$11, 100%, $F$11)</f>
        <v>36.406100000000002</v>
      </c>
      <c r="F964" s="4">
        <f>CHOOSE( CONTROL!$C$36, 37.0731, 37.072) * CHOOSE(CONTROL!$C$19, $D$11, 100%, $F$11)</f>
        <v>37.073099999999997</v>
      </c>
      <c r="G964" s="8">
        <f>CHOOSE( CONTROL!$C$36, 35.9415, 35.9405) * CHOOSE( CONTROL!$C$19, $D$11, 100%, $F$11)</f>
        <v>35.941499999999998</v>
      </c>
      <c r="H964" s="4">
        <f>CHOOSE( CONTROL!$C$36, 36.8297, 36.8286) * CHOOSE(CONTROL!$C$19, $D$11, 100%, $F$11)</f>
        <v>36.829700000000003</v>
      </c>
      <c r="I964" s="8">
        <f>CHOOSE( CONTROL!$C$36, 35.4801, 35.4791) * CHOOSE(CONTROL!$C$19, $D$11, 100%, $F$11)</f>
        <v>35.4801</v>
      </c>
      <c r="J964" s="4">
        <f>CHOOSE( CONTROL!$C$36, 35.2761, 35.2751) * CHOOSE(CONTROL!$C$19, $D$11, 100%, $F$11)</f>
        <v>35.2761</v>
      </c>
      <c r="K964" s="4"/>
      <c r="L964" s="9">
        <v>29.306000000000001</v>
      </c>
      <c r="M964" s="9">
        <v>12.063700000000001</v>
      </c>
      <c r="N964" s="9">
        <v>4.9444999999999997</v>
      </c>
      <c r="O964" s="9">
        <v>0.37409999999999999</v>
      </c>
      <c r="P964" s="9">
        <v>1.2927</v>
      </c>
      <c r="Q964" s="9">
        <v>19.688099999999999</v>
      </c>
      <c r="R964" s="9"/>
      <c r="S964" s="11"/>
    </row>
    <row r="965" spans="1:19" ht="15.75">
      <c r="A965" s="13">
        <v>70525</v>
      </c>
      <c r="B965" s="8">
        <f>CHOOSE( CONTROL!$C$36, 37.4884, 37.4873) * CHOOSE(CONTROL!$C$19, $D$11, 100%, $F$11)</f>
        <v>37.488399999999999</v>
      </c>
      <c r="C965" s="8">
        <f>CHOOSE( CONTROL!$C$36, 37.4935, 37.4924) * CHOOSE(CONTROL!$C$19, $D$11, 100%, $F$11)</f>
        <v>37.493499999999997</v>
      </c>
      <c r="D965" s="8">
        <f>CHOOSE( CONTROL!$C$36, 37.4948, 37.4937) * CHOOSE( CONTROL!$C$19, $D$11, 100%, $F$11)</f>
        <v>37.494799999999998</v>
      </c>
      <c r="E965" s="12">
        <f>CHOOSE( CONTROL!$C$36, 37.4938, 37.4927) * CHOOSE( CONTROL!$C$19, $D$11, 100%, $F$11)</f>
        <v>37.4938</v>
      </c>
      <c r="F965" s="4">
        <f>CHOOSE( CONTROL!$C$36, 38.1476, 38.1465) * CHOOSE(CONTROL!$C$19, $D$11, 100%, $F$11)</f>
        <v>38.147599999999997</v>
      </c>
      <c r="G965" s="8">
        <f>CHOOSE( CONTROL!$C$36, 37.0121, 37.0111) * CHOOSE( CONTROL!$C$19, $D$11, 100%, $F$11)</f>
        <v>37.012099999999997</v>
      </c>
      <c r="H965" s="4">
        <f>CHOOSE( CONTROL!$C$36, 37.8893, 37.8882) * CHOOSE(CONTROL!$C$19, $D$11, 100%, $F$11)</f>
        <v>37.889299999999999</v>
      </c>
      <c r="I965" s="8">
        <f>CHOOSE( CONTROL!$C$36, 36.4986, 36.4976) * CHOOSE(CONTROL!$C$19, $D$11, 100%, $F$11)</f>
        <v>36.498600000000003</v>
      </c>
      <c r="J965" s="4">
        <f>CHOOSE( CONTROL!$C$36, 36.3166, 36.3156) * CHOOSE(CONTROL!$C$19, $D$11, 100%, $F$11)</f>
        <v>36.316600000000001</v>
      </c>
      <c r="K965" s="4"/>
      <c r="L965" s="9">
        <v>29.306000000000001</v>
      </c>
      <c r="M965" s="9">
        <v>12.063700000000001</v>
      </c>
      <c r="N965" s="9">
        <v>4.9444999999999997</v>
      </c>
      <c r="O965" s="9">
        <v>0.37409999999999999</v>
      </c>
      <c r="P965" s="9">
        <v>1.2927</v>
      </c>
      <c r="Q965" s="9">
        <v>19.688099999999999</v>
      </c>
      <c r="R965" s="9"/>
      <c r="S965" s="11"/>
    </row>
    <row r="966" spans="1:19" ht="15.75">
      <c r="A966" s="13">
        <v>70553</v>
      </c>
      <c r="B966" s="8">
        <f>CHOOSE( CONTROL!$C$36, 35.0638, 35.0627) * CHOOSE(CONTROL!$C$19, $D$11, 100%, $F$11)</f>
        <v>35.063800000000001</v>
      </c>
      <c r="C966" s="8">
        <f>CHOOSE( CONTROL!$C$36, 35.0689, 35.0678) * CHOOSE(CONTROL!$C$19, $D$11, 100%, $F$11)</f>
        <v>35.068899999999999</v>
      </c>
      <c r="D966" s="8">
        <f>CHOOSE( CONTROL!$C$36, 35.07, 35.0689) * CHOOSE( CONTROL!$C$19, $D$11, 100%, $F$11)</f>
        <v>35.07</v>
      </c>
      <c r="E966" s="12">
        <f>CHOOSE( CONTROL!$C$36, 35.0691, 35.068) * CHOOSE( CONTROL!$C$19, $D$11, 100%, $F$11)</f>
        <v>35.069099999999999</v>
      </c>
      <c r="F966" s="4">
        <f>CHOOSE( CONTROL!$C$36, 35.723, 35.7219) * CHOOSE(CONTROL!$C$19, $D$11, 100%, $F$11)</f>
        <v>35.722999999999999</v>
      </c>
      <c r="G966" s="8">
        <f>CHOOSE( CONTROL!$C$36, 34.6213, 34.6202) * CHOOSE( CONTROL!$C$19, $D$11, 100%, $F$11)</f>
        <v>34.621299999999998</v>
      </c>
      <c r="H966" s="4">
        <f>CHOOSE( CONTROL!$C$36, 35.4985, 35.4974) * CHOOSE(CONTROL!$C$19, $D$11, 100%, $F$11)</f>
        <v>35.4985</v>
      </c>
      <c r="I966" s="8">
        <f>CHOOSE( CONTROL!$C$36, 34.1493, 34.1483) * CHOOSE(CONTROL!$C$19, $D$11, 100%, $F$11)</f>
        <v>34.149299999999997</v>
      </c>
      <c r="J966" s="4">
        <f>CHOOSE( CONTROL!$C$36, 33.9689, 33.9678) * CHOOSE(CONTROL!$C$19, $D$11, 100%, $F$11)</f>
        <v>33.968899999999998</v>
      </c>
      <c r="K966" s="4"/>
      <c r="L966" s="9">
        <v>26.469899999999999</v>
      </c>
      <c r="M966" s="9">
        <v>10.8962</v>
      </c>
      <c r="N966" s="9">
        <v>4.4660000000000002</v>
      </c>
      <c r="O966" s="9">
        <v>0.33789999999999998</v>
      </c>
      <c r="P966" s="9">
        <v>1.1676</v>
      </c>
      <c r="Q966" s="9">
        <v>17.782800000000002</v>
      </c>
      <c r="R966" s="9"/>
      <c r="S966" s="11"/>
    </row>
    <row r="967" spans="1:19" ht="15.75">
      <c r="A967" s="13">
        <v>70584</v>
      </c>
      <c r="B967" s="8">
        <f>CHOOSE( CONTROL!$C$36, 34.317, 34.3159) * CHOOSE(CONTROL!$C$19, $D$11, 100%, $F$11)</f>
        <v>34.317</v>
      </c>
      <c r="C967" s="8">
        <f>CHOOSE( CONTROL!$C$36, 34.3221, 34.321) * CHOOSE(CONTROL!$C$19, $D$11, 100%, $F$11)</f>
        <v>34.322099999999999</v>
      </c>
      <c r="D967" s="8">
        <f>CHOOSE( CONTROL!$C$36, 34.3226, 34.3215) * CHOOSE( CONTROL!$C$19, $D$11, 100%, $F$11)</f>
        <v>34.322600000000001</v>
      </c>
      <c r="E967" s="12">
        <f>CHOOSE( CONTROL!$C$36, 34.3219, 34.3208) * CHOOSE( CONTROL!$C$19, $D$11, 100%, $F$11)</f>
        <v>34.321899999999999</v>
      </c>
      <c r="F967" s="4">
        <f>CHOOSE( CONTROL!$C$36, 34.9762, 34.9752) * CHOOSE(CONTROL!$C$19, $D$11, 100%, $F$11)</f>
        <v>34.976199999999999</v>
      </c>
      <c r="G967" s="8">
        <f>CHOOSE( CONTROL!$C$36, 33.8845, 33.8834) * CHOOSE( CONTROL!$C$19, $D$11, 100%, $F$11)</f>
        <v>33.884500000000003</v>
      </c>
      <c r="H967" s="4">
        <f>CHOOSE( CONTROL!$C$36, 34.7621, 34.7611) * CHOOSE(CONTROL!$C$19, $D$11, 100%, $F$11)</f>
        <v>34.762099999999997</v>
      </c>
      <c r="I967" s="8">
        <f>CHOOSE( CONTROL!$C$36, 33.4239, 33.4228) * CHOOSE(CONTROL!$C$19, $D$11, 100%, $F$11)</f>
        <v>33.423900000000003</v>
      </c>
      <c r="J967" s="4">
        <f>CHOOSE( CONTROL!$C$36, 33.2458, 33.2448) * CHOOSE(CONTROL!$C$19, $D$11, 100%, $F$11)</f>
        <v>33.245800000000003</v>
      </c>
      <c r="K967" s="4"/>
      <c r="L967" s="9">
        <v>29.306000000000001</v>
      </c>
      <c r="M967" s="9">
        <v>12.063700000000001</v>
      </c>
      <c r="N967" s="9">
        <v>4.9444999999999997</v>
      </c>
      <c r="O967" s="9">
        <v>0.37409999999999999</v>
      </c>
      <c r="P967" s="9">
        <v>1.2927</v>
      </c>
      <c r="Q967" s="9">
        <v>19.688099999999999</v>
      </c>
      <c r="R967" s="9"/>
      <c r="S967" s="11"/>
    </row>
    <row r="968" spans="1:19" ht="15.75">
      <c r="A968" s="13">
        <v>70614</v>
      </c>
      <c r="B968" s="8">
        <f>CHOOSE( CONTROL!$C$36, 34.8396, 34.8385) * CHOOSE(CONTROL!$C$19, $D$11, 100%, $F$11)</f>
        <v>34.839599999999997</v>
      </c>
      <c r="C968" s="8">
        <f>CHOOSE( CONTROL!$C$36, 34.8441, 34.843) * CHOOSE(CONTROL!$C$19, $D$11, 100%, $F$11)</f>
        <v>34.844099999999997</v>
      </c>
      <c r="D968" s="8">
        <f>CHOOSE( CONTROL!$C$36, 34.8645, 34.8634) * CHOOSE( CONTROL!$C$19, $D$11, 100%, $F$11)</f>
        <v>34.8645</v>
      </c>
      <c r="E968" s="12">
        <f>CHOOSE( CONTROL!$C$36, 34.8572, 34.8561) * CHOOSE( CONTROL!$C$19, $D$11, 100%, $F$11)</f>
        <v>34.857199999999999</v>
      </c>
      <c r="F968" s="4">
        <f>CHOOSE( CONTROL!$C$36, 35.574, 35.5729) * CHOOSE(CONTROL!$C$19, $D$11, 100%, $F$11)</f>
        <v>35.573999999999998</v>
      </c>
      <c r="G968" s="8">
        <f>CHOOSE( CONTROL!$C$36, 34.4071, 34.406) * CHOOSE( CONTROL!$C$19, $D$11, 100%, $F$11)</f>
        <v>34.4071</v>
      </c>
      <c r="H968" s="4">
        <f>CHOOSE( CONTROL!$C$36, 35.3515, 35.3505) * CHOOSE(CONTROL!$C$19, $D$11, 100%, $F$11)</f>
        <v>35.351500000000001</v>
      </c>
      <c r="I968" s="8">
        <f>CHOOSE( CONTROL!$C$36, 33.8989, 33.8978) * CHOOSE(CONTROL!$C$19, $D$11, 100%, $F$11)</f>
        <v>33.898899999999998</v>
      </c>
      <c r="J968" s="4">
        <f>CHOOSE( CONTROL!$C$36, 33.7511, 33.75) * CHOOSE(CONTROL!$C$19, $D$11, 100%, $F$11)</f>
        <v>33.751100000000001</v>
      </c>
      <c r="K968" s="4"/>
      <c r="L968" s="9">
        <v>30.092199999999998</v>
      </c>
      <c r="M968" s="9">
        <v>11.6745</v>
      </c>
      <c r="N968" s="9">
        <v>4.7850000000000001</v>
      </c>
      <c r="O968" s="9">
        <v>0.36199999999999999</v>
      </c>
      <c r="P968" s="9">
        <v>1.2509999999999999</v>
      </c>
      <c r="Q968" s="9">
        <v>19.053000000000001</v>
      </c>
      <c r="R968" s="9"/>
      <c r="S968" s="11"/>
    </row>
    <row r="969" spans="1:19" ht="15.75">
      <c r="A969" s="13">
        <v>70645</v>
      </c>
      <c r="B969" s="8">
        <f>CHOOSE( CONTROL!$C$36, 35.7703, 35.7686) * CHOOSE(CONTROL!$C$19, $D$11, 100%, $F$11)</f>
        <v>35.770299999999999</v>
      </c>
      <c r="C969" s="8">
        <f>CHOOSE( CONTROL!$C$36, 35.7783, 35.7766) * CHOOSE(CONTROL!$C$19, $D$11, 100%, $F$11)</f>
        <v>35.778300000000002</v>
      </c>
      <c r="D969" s="8">
        <f>CHOOSE( CONTROL!$C$36, 35.7924, 35.7908) * CHOOSE( CONTROL!$C$19, $D$11, 100%, $F$11)</f>
        <v>35.792400000000001</v>
      </c>
      <c r="E969" s="12">
        <f>CHOOSE( CONTROL!$C$36, 35.7861, 35.7844) * CHOOSE( CONTROL!$C$19, $D$11, 100%, $F$11)</f>
        <v>35.786099999999998</v>
      </c>
      <c r="F969" s="4">
        <f>CHOOSE( CONTROL!$C$36, 36.5033, 36.5016) * CHOOSE(CONTROL!$C$19, $D$11, 100%, $F$11)</f>
        <v>36.503300000000003</v>
      </c>
      <c r="G969" s="8">
        <f>CHOOSE( CONTROL!$C$36, 35.3234, 35.3218) * CHOOSE( CONTROL!$C$19, $D$11, 100%, $F$11)</f>
        <v>35.323399999999999</v>
      </c>
      <c r="H969" s="4">
        <f>CHOOSE( CONTROL!$C$36, 36.2679, 36.2662) * CHOOSE(CONTROL!$C$19, $D$11, 100%, $F$11)</f>
        <v>36.267899999999997</v>
      </c>
      <c r="I969" s="8">
        <f>CHOOSE( CONTROL!$C$36, 34.7988, 34.7972) * CHOOSE(CONTROL!$C$19, $D$11, 100%, $F$11)</f>
        <v>34.7988</v>
      </c>
      <c r="J969" s="4">
        <f>CHOOSE( CONTROL!$C$36, 34.6509, 34.6493) * CHOOSE(CONTROL!$C$19, $D$11, 100%, $F$11)</f>
        <v>34.6509</v>
      </c>
      <c r="K969" s="4"/>
      <c r="L969" s="9">
        <v>30.7165</v>
      </c>
      <c r="M969" s="9">
        <v>12.063700000000001</v>
      </c>
      <c r="N969" s="9">
        <v>4.9444999999999997</v>
      </c>
      <c r="O969" s="9">
        <v>0.37409999999999999</v>
      </c>
      <c r="P969" s="9">
        <v>1.2927</v>
      </c>
      <c r="Q969" s="9">
        <v>19.688099999999999</v>
      </c>
      <c r="R969" s="9"/>
      <c r="S969" s="11"/>
    </row>
    <row r="970" spans="1:19" ht="15.75">
      <c r="A970" s="13">
        <v>70675</v>
      </c>
      <c r="B970" s="8">
        <f>CHOOSE( CONTROL!$C$36, 35.1949, 35.1933) * CHOOSE(CONTROL!$C$19, $D$11, 100%, $F$11)</f>
        <v>35.194899999999997</v>
      </c>
      <c r="C970" s="8">
        <f>CHOOSE( CONTROL!$C$36, 35.2029, 35.2013) * CHOOSE(CONTROL!$C$19, $D$11, 100%, $F$11)</f>
        <v>35.2029</v>
      </c>
      <c r="D970" s="8">
        <f>CHOOSE( CONTROL!$C$36, 35.2173, 35.2157) * CHOOSE( CONTROL!$C$19, $D$11, 100%, $F$11)</f>
        <v>35.217300000000002</v>
      </c>
      <c r="E970" s="12">
        <f>CHOOSE( CONTROL!$C$36, 35.2109, 35.2093) * CHOOSE( CONTROL!$C$19, $D$11, 100%, $F$11)</f>
        <v>35.210900000000002</v>
      </c>
      <c r="F970" s="4">
        <f>CHOOSE( CONTROL!$C$36, 35.928, 35.9263) * CHOOSE(CONTROL!$C$19, $D$11, 100%, $F$11)</f>
        <v>35.927999999999997</v>
      </c>
      <c r="G970" s="8">
        <f>CHOOSE( CONTROL!$C$36, 34.7563, 34.7546) * CHOOSE( CONTROL!$C$19, $D$11, 100%, $F$11)</f>
        <v>34.756300000000003</v>
      </c>
      <c r="H970" s="4">
        <f>CHOOSE( CONTROL!$C$36, 35.7006, 35.6989) * CHOOSE(CONTROL!$C$19, $D$11, 100%, $F$11)</f>
        <v>35.700600000000001</v>
      </c>
      <c r="I970" s="8">
        <f>CHOOSE( CONTROL!$C$36, 34.2421, 34.2405) * CHOOSE(CONTROL!$C$19, $D$11, 100%, $F$11)</f>
        <v>34.242100000000001</v>
      </c>
      <c r="J970" s="4">
        <f>CHOOSE( CONTROL!$C$36, 34.0939, 34.0922) * CHOOSE(CONTROL!$C$19, $D$11, 100%, $F$11)</f>
        <v>34.093899999999998</v>
      </c>
      <c r="K970" s="4"/>
      <c r="L970" s="9">
        <v>29.7257</v>
      </c>
      <c r="M970" s="9">
        <v>11.6745</v>
      </c>
      <c r="N970" s="9">
        <v>4.7850000000000001</v>
      </c>
      <c r="O970" s="9">
        <v>0.36199999999999999</v>
      </c>
      <c r="P970" s="9">
        <v>1.2509999999999999</v>
      </c>
      <c r="Q970" s="9">
        <v>19.053000000000001</v>
      </c>
      <c r="R970" s="9"/>
      <c r="S970" s="11"/>
    </row>
    <row r="971" spans="1:19" ht="15.75">
      <c r="A971" s="13">
        <v>70706</v>
      </c>
      <c r="B971" s="8">
        <f>CHOOSE( CONTROL!$C$36, 36.71, 36.7083) * CHOOSE(CONTROL!$C$19, $D$11, 100%, $F$11)</f>
        <v>36.71</v>
      </c>
      <c r="C971" s="8">
        <f>CHOOSE( CONTROL!$C$36, 36.718, 36.7163) * CHOOSE(CONTROL!$C$19, $D$11, 100%, $F$11)</f>
        <v>36.718000000000004</v>
      </c>
      <c r="D971" s="8">
        <f>CHOOSE( CONTROL!$C$36, 36.7326, 36.7309) * CHOOSE( CONTROL!$C$19, $D$11, 100%, $F$11)</f>
        <v>36.732599999999998</v>
      </c>
      <c r="E971" s="12">
        <f>CHOOSE( CONTROL!$C$36, 36.7261, 36.7244) * CHOOSE( CONTROL!$C$19, $D$11, 100%, $F$11)</f>
        <v>36.726100000000002</v>
      </c>
      <c r="F971" s="4">
        <f>CHOOSE( CONTROL!$C$36, 37.443, 37.4413) * CHOOSE(CONTROL!$C$19, $D$11, 100%, $F$11)</f>
        <v>37.442999999999998</v>
      </c>
      <c r="G971" s="8">
        <f>CHOOSE( CONTROL!$C$36, 36.2503, 36.2487) * CHOOSE( CONTROL!$C$19, $D$11, 100%, $F$11)</f>
        <v>36.250300000000003</v>
      </c>
      <c r="H971" s="4">
        <f>CHOOSE( CONTROL!$C$36, 37.1945, 37.1928) * CHOOSE(CONTROL!$C$19, $D$11, 100%, $F$11)</f>
        <v>37.194499999999998</v>
      </c>
      <c r="I971" s="8">
        <f>CHOOSE( CONTROL!$C$36, 35.7107, 35.7091) * CHOOSE(CONTROL!$C$19, $D$11, 100%, $F$11)</f>
        <v>35.710700000000003</v>
      </c>
      <c r="J971" s="4">
        <f>CHOOSE( CONTROL!$C$36, 35.5609, 35.5592) * CHOOSE(CONTROL!$C$19, $D$11, 100%, $F$11)</f>
        <v>35.560899999999997</v>
      </c>
      <c r="K971" s="4"/>
      <c r="L971" s="9">
        <v>30.7165</v>
      </c>
      <c r="M971" s="9">
        <v>12.063700000000001</v>
      </c>
      <c r="N971" s="9">
        <v>4.9444999999999997</v>
      </c>
      <c r="O971" s="9">
        <v>0.37409999999999999</v>
      </c>
      <c r="P971" s="9">
        <v>1.2927</v>
      </c>
      <c r="Q971" s="9">
        <v>19.688099999999999</v>
      </c>
      <c r="R971" s="9"/>
      <c r="S971" s="11"/>
    </row>
    <row r="972" spans="1:19" ht="15.75">
      <c r="A972" s="13">
        <v>70737</v>
      </c>
      <c r="B972" s="8">
        <f>CHOOSE( CONTROL!$C$36, 33.8752, 33.8735) * CHOOSE(CONTROL!$C$19, $D$11, 100%, $F$11)</f>
        <v>33.8752</v>
      </c>
      <c r="C972" s="8">
        <f>CHOOSE( CONTROL!$C$36, 33.8832, 33.8815) * CHOOSE(CONTROL!$C$19, $D$11, 100%, $F$11)</f>
        <v>33.883200000000002</v>
      </c>
      <c r="D972" s="8">
        <f>CHOOSE( CONTROL!$C$36, 33.8979, 33.8962) * CHOOSE( CONTROL!$C$19, $D$11, 100%, $F$11)</f>
        <v>33.8979</v>
      </c>
      <c r="E972" s="12">
        <f>CHOOSE( CONTROL!$C$36, 33.8914, 33.8897) * CHOOSE( CONTROL!$C$19, $D$11, 100%, $F$11)</f>
        <v>33.891399999999997</v>
      </c>
      <c r="F972" s="4">
        <f>CHOOSE( CONTROL!$C$36, 34.6082, 34.6066) * CHOOSE(CONTROL!$C$19, $D$11, 100%, $F$11)</f>
        <v>34.608199999999997</v>
      </c>
      <c r="G972" s="8">
        <f>CHOOSE( CONTROL!$C$36, 33.4552, 33.4535) * CHOOSE( CONTROL!$C$19, $D$11, 100%, $F$11)</f>
        <v>33.455199999999998</v>
      </c>
      <c r="H972" s="4">
        <f>CHOOSE( CONTROL!$C$36, 34.3992, 34.3976) * CHOOSE(CONTROL!$C$19, $D$11, 100%, $F$11)</f>
        <v>34.3992</v>
      </c>
      <c r="I972" s="8">
        <f>CHOOSE( CONTROL!$C$36, 32.9646, 32.963) * CHOOSE(CONTROL!$C$19, $D$11, 100%, $F$11)</f>
        <v>32.964599999999997</v>
      </c>
      <c r="J972" s="4">
        <f>CHOOSE( CONTROL!$C$36, 32.8159, 32.8143) * CHOOSE(CONTROL!$C$19, $D$11, 100%, $F$11)</f>
        <v>32.815899999999999</v>
      </c>
      <c r="K972" s="4"/>
      <c r="L972" s="9">
        <v>30.7165</v>
      </c>
      <c r="M972" s="9">
        <v>12.063700000000001</v>
      </c>
      <c r="N972" s="9">
        <v>4.9444999999999997</v>
      </c>
      <c r="O972" s="9">
        <v>0.37409999999999999</v>
      </c>
      <c r="P972" s="9">
        <v>1.2927</v>
      </c>
      <c r="Q972" s="9">
        <v>19.688099999999999</v>
      </c>
      <c r="R972" s="9"/>
      <c r="S972" s="11"/>
    </row>
    <row r="973" spans="1:19" ht="15.75">
      <c r="A973" s="13">
        <v>70767</v>
      </c>
      <c r="B973" s="8">
        <f>CHOOSE( CONTROL!$C$36, 33.1653, 33.1637) * CHOOSE(CONTROL!$C$19, $D$11, 100%, $F$11)</f>
        <v>33.165300000000002</v>
      </c>
      <c r="C973" s="8">
        <f>CHOOSE( CONTROL!$C$36, 33.1733, 33.1717) * CHOOSE(CONTROL!$C$19, $D$11, 100%, $F$11)</f>
        <v>33.173299999999998</v>
      </c>
      <c r="D973" s="8">
        <f>CHOOSE( CONTROL!$C$36, 33.1879, 33.1863) * CHOOSE( CONTROL!$C$19, $D$11, 100%, $F$11)</f>
        <v>33.187899999999999</v>
      </c>
      <c r="E973" s="12">
        <f>CHOOSE( CONTROL!$C$36, 33.1814, 33.1798) * CHOOSE( CONTROL!$C$19, $D$11, 100%, $F$11)</f>
        <v>33.181399999999996</v>
      </c>
      <c r="F973" s="4">
        <f>CHOOSE( CONTROL!$C$36, 33.8984, 33.8967) * CHOOSE(CONTROL!$C$19, $D$11, 100%, $F$11)</f>
        <v>33.898400000000002</v>
      </c>
      <c r="G973" s="8">
        <f>CHOOSE( CONTROL!$C$36, 32.7551, 32.7535) * CHOOSE( CONTROL!$C$19, $D$11, 100%, $F$11)</f>
        <v>32.755099999999999</v>
      </c>
      <c r="H973" s="4">
        <f>CHOOSE( CONTROL!$C$36, 33.6993, 33.6976) * CHOOSE(CONTROL!$C$19, $D$11, 100%, $F$11)</f>
        <v>33.699300000000001</v>
      </c>
      <c r="I973" s="8">
        <f>CHOOSE( CONTROL!$C$36, 32.2765, 32.2749) * CHOOSE(CONTROL!$C$19, $D$11, 100%, $F$11)</f>
        <v>32.276499999999999</v>
      </c>
      <c r="J973" s="4">
        <f>CHOOSE( CONTROL!$C$36, 32.1286, 32.127) * CHOOSE(CONTROL!$C$19, $D$11, 100%, $F$11)</f>
        <v>32.128599999999999</v>
      </c>
      <c r="K973" s="4"/>
      <c r="L973" s="9">
        <v>29.7257</v>
      </c>
      <c r="M973" s="9">
        <v>11.6745</v>
      </c>
      <c r="N973" s="9">
        <v>4.7850000000000001</v>
      </c>
      <c r="O973" s="9">
        <v>0.36199999999999999</v>
      </c>
      <c r="P973" s="9">
        <v>1.2509999999999999</v>
      </c>
      <c r="Q973" s="9">
        <v>19.053000000000001</v>
      </c>
      <c r="R973" s="9"/>
      <c r="S973" s="11"/>
    </row>
    <row r="974" spans="1:19" ht="15.75">
      <c r="A974" s="13">
        <v>70798</v>
      </c>
      <c r="B974" s="8">
        <f>CHOOSE( CONTROL!$C$36, 34.6369, 34.6359) * CHOOSE(CONTROL!$C$19, $D$11, 100%, $F$11)</f>
        <v>34.636899999999997</v>
      </c>
      <c r="C974" s="8">
        <f>CHOOSE( CONTROL!$C$36, 34.6423, 34.6412) * CHOOSE(CONTROL!$C$19, $D$11, 100%, $F$11)</f>
        <v>34.642299999999999</v>
      </c>
      <c r="D974" s="8">
        <f>CHOOSE( CONTROL!$C$36, 34.6628, 34.6617) * CHOOSE( CONTROL!$C$19, $D$11, 100%, $F$11)</f>
        <v>34.662799999999997</v>
      </c>
      <c r="E974" s="12">
        <f>CHOOSE( CONTROL!$C$36, 34.6555, 34.6544) * CHOOSE( CONTROL!$C$19, $D$11, 100%, $F$11)</f>
        <v>34.655500000000004</v>
      </c>
      <c r="F974" s="4">
        <f>CHOOSE( CONTROL!$C$36, 35.3717, 35.3706) * CHOOSE(CONTROL!$C$19, $D$11, 100%, $F$11)</f>
        <v>35.371699999999997</v>
      </c>
      <c r="G974" s="8">
        <f>CHOOSE( CONTROL!$C$36, 34.2081, 34.207) * CHOOSE( CONTROL!$C$19, $D$11, 100%, $F$11)</f>
        <v>34.208100000000002</v>
      </c>
      <c r="H974" s="4">
        <f>CHOOSE( CONTROL!$C$36, 35.1521, 35.151) * CHOOSE(CONTROL!$C$19, $D$11, 100%, $F$11)</f>
        <v>35.152099999999997</v>
      </c>
      <c r="I974" s="8">
        <f>CHOOSE( CONTROL!$C$36, 33.7049, 33.7039) * CHOOSE(CONTROL!$C$19, $D$11, 100%, $F$11)</f>
        <v>33.704900000000002</v>
      </c>
      <c r="J974" s="4">
        <f>CHOOSE( CONTROL!$C$36, 33.5552, 33.5542) * CHOOSE(CONTROL!$C$19, $D$11, 100%, $F$11)</f>
        <v>33.555199999999999</v>
      </c>
      <c r="K974" s="4"/>
      <c r="L974" s="9">
        <v>31.095300000000002</v>
      </c>
      <c r="M974" s="9">
        <v>12.063700000000001</v>
      </c>
      <c r="N974" s="9">
        <v>4.9444999999999997</v>
      </c>
      <c r="O974" s="9">
        <v>0.37409999999999999</v>
      </c>
      <c r="P974" s="9">
        <v>1.2927</v>
      </c>
      <c r="Q974" s="9">
        <v>19.688099999999999</v>
      </c>
      <c r="R974" s="9"/>
      <c r="S974" s="11"/>
    </row>
    <row r="975" spans="1:19" ht="15.75">
      <c r="A975" s="13">
        <v>70828</v>
      </c>
      <c r="B975" s="8">
        <f>CHOOSE( CONTROL!$C$36, 37.3571, 37.356) * CHOOSE(CONTROL!$C$19, $D$11, 100%, $F$11)</f>
        <v>37.357100000000003</v>
      </c>
      <c r="C975" s="8">
        <f>CHOOSE( CONTROL!$C$36, 37.3622, 37.3611) * CHOOSE(CONTROL!$C$19, $D$11, 100%, $F$11)</f>
        <v>37.362200000000001</v>
      </c>
      <c r="D975" s="8">
        <f>CHOOSE( CONTROL!$C$36, 37.3414, 37.3403) * CHOOSE( CONTROL!$C$19, $D$11, 100%, $F$11)</f>
        <v>37.3414</v>
      </c>
      <c r="E975" s="12">
        <f>CHOOSE( CONTROL!$C$36, 37.3485, 37.3474) * CHOOSE( CONTROL!$C$19, $D$11, 100%, $F$11)</f>
        <v>37.348500000000001</v>
      </c>
      <c r="F975" s="4">
        <f>CHOOSE( CONTROL!$C$36, 38.0163, 38.0153) * CHOOSE(CONTROL!$C$19, $D$11, 100%, $F$11)</f>
        <v>38.016300000000001</v>
      </c>
      <c r="G975" s="8">
        <f>CHOOSE( CONTROL!$C$36, 36.8707, 36.8696) * CHOOSE( CONTROL!$C$19, $D$11, 100%, $F$11)</f>
        <v>36.870699999999999</v>
      </c>
      <c r="H975" s="4">
        <f>CHOOSE( CONTROL!$C$36, 37.7598, 37.7587) * CHOOSE(CONTROL!$C$19, $D$11, 100%, $F$11)</f>
        <v>37.759799999999998</v>
      </c>
      <c r="I975" s="8">
        <f>CHOOSE( CONTROL!$C$36, 36.3897, 36.3886) * CHOOSE(CONTROL!$C$19, $D$11, 100%, $F$11)</f>
        <v>36.389699999999998</v>
      </c>
      <c r="J975" s="4">
        <f>CHOOSE( CONTROL!$C$36, 36.1895, 36.1885) * CHOOSE(CONTROL!$C$19, $D$11, 100%, $F$11)</f>
        <v>36.189500000000002</v>
      </c>
      <c r="K975" s="4"/>
      <c r="L975" s="9">
        <v>28.360600000000002</v>
      </c>
      <c r="M975" s="9">
        <v>11.6745</v>
      </c>
      <c r="N975" s="9">
        <v>4.7850000000000001</v>
      </c>
      <c r="O975" s="9">
        <v>0.36199999999999999</v>
      </c>
      <c r="P975" s="9">
        <v>1.2509999999999999</v>
      </c>
      <c r="Q975" s="9">
        <v>19.053000000000001</v>
      </c>
      <c r="R975" s="9"/>
      <c r="S975" s="11"/>
    </row>
    <row r="976" spans="1:19" ht="15.75">
      <c r="A976" s="13">
        <v>70859</v>
      </c>
      <c r="B976" s="8">
        <f>CHOOSE( CONTROL!$C$36, 37.2891, 37.288) * CHOOSE(CONTROL!$C$19, $D$11, 100%, $F$11)</f>
        <v>37.289099999999998</v>
      </c>
      <c r="C976" s="8">
        <f>CHOOSE( CONTROL!$C$36, 37.2942, 37.2931) * CHOOSE(CONTROL!$C$19, $D$11, 100%, $F$11)</f>
        <v>37.294199999999996</v>
      </c>
      <c r="D976" s="8">
        <f>CHOOSE( CONTROL!$C$36, 37.2748, 37.2737) * CHOOSE( CONTROL!$C$19, $D$11, 100%, $F$11)</f>
        <v>37.274799999999999</v>
      </c>
      <c r="E976" s="12">
        <f>CHOOSE( CONTROL!$C$36, 37.2814, 37.2803) * CHOOSE( CONTROL!$C$19, $D$11, 100%, $F$11)</f>
        <v>37.281399999999998</v>
      </c>
      <c r="F976" s="4">
        <f>CHOOSE( CONTROL!$C$36, 37.9484, 37.9473) * CHOOSE(CONTROL!$C$19, $D$11, 100%, $F$11)</f>
        <v>37.948399999999999</v>
      </c>
      <c r="G976" s="8">
        <f>CHOOSE( CONTROL!$C$36, 36.8046, 36.8036) * CHOOSE( CONTROL!$C$19, $D$11, 100%, $F$11)</f>
        <v>36.804600000000001</v>
      </c>
      <c r="H976" s="4">
        <f>CHOOSE( CONTROL!$C$36, 37.6928, 37.6917) * CHOOSE(CONTROL!$C$19, $D$11, 100%, $F$11)</f>
        <v>37.692799999999998</v>
      </c>
      <c r="I976" s="8">
        <f>CHOOSE( CONTROL!$C$36, 36.3281, 36.3271) * CHOOSE(CONTROL!$C$19, $D$11, 100%, $F$11)</f>
        <v>36.328099999999999</v>
      </c>
      <c r="J976" s="4">
        <f>CHOOSE( CONTROL!$C$36, 36.1237, 36.1227) * CHOOSE(CONTROL!$C$19, $D$11, 100%, $F$11)</f>
        <v>36.123699999999999</v>
      </c>
      <c r="K976" s="4"/>
      <c r="L976" s="9">
        <v>29.306000000000001</v>
      </c>
      <c r="M976" s="9">
        <v>12.063700000000001</v>
      </c>
      <c r="N976" s="9">
        <v>4.9444999999999997</v>
      </c>
      <c r="O976" s="9">
        <v>0.37409999999999999</v>
      </c>
      <c r="P976" s="9">
        <v>1.2927</v>
      </c>
      <c r="Q976" s="9">
        <v>19.688099999999999</v>
      </c>
      <c r="R976" s="9"/>
      <c r="S976" s="11"/>
    </row>
    <row r="977" spans="1:19" ht="15.75">
      <c r="A977" s="13">
        <v>70890</v>
      </c>
      <c r="B977" s="8">
        <f>CHOOSE( CONTROL!$C$36, 38.3895, 38.3884) * CHOOSE(CONTROL!$C$19, $D$11, 100%, $F$11)</f>
        <v>38.389499999999998</v>
      </c>
      <c r="C977" s="8">
        <f>CHOOSE( CONTROL!$C$36, 38.3946, 38.3935) * CHOOSE(CONTROL!$C$19, $D$11, 100%, $F$11)</f>
        <v>38.394599999999997</v>
      </c>
      <c r="D977" s="8">
        <f>CHOOSE( CONTROL!$C$36, 38.3959, 38.3948) * CHOOSE( CONTROL!$C$19, $D$11, 100%, $F$11)</f>
        <v>38.395899999999997</v>
      </c>
      <c r="E977" s="12">
        <f>CHOOSE( CONTROL!$C$36, 38.3949, 38.3938) * CHOOSE( CONTROL!$C$19, $D$11, 100%, $F$11)</f>
        <v>38.3949</v>
      </c>
      <c r="F977" s="4">
        <f>CHOOSE( CONTROL!$C$36, 39.0488, 39.0477) * CHOOSE(CONTROL!$C$19, $D$11, 100%, $F$11)</f>
        <v>39.0488</v>
      </c>
      <c r="G977" s="8">
        <f>CHOOSE( CONTROL!$C$36, 37.9007, 37.8996) * CHOOSE( CONTROL!$C$19, $D$11, 100%, $F$11)</f>
        <v>37.900700000000001</v>
      </c>
      <c r="H977" s="4">
        <f>CHOOSE( CONTROL!$C$36, 38.7778, 38.7768) * CHOOSE(CONTROL!$C$19, $D$11, 100%, $F$11)</f>
        <v>38.777799999999999</v>
      </c>
      <c r="I977" s="8">
        <f>CHOOSE( CONTROL!$C$36, 37.3716, 37.3706) * CHOOSE(CONTROL!$C$19, $D$11, 100%, $F$11)</f>
        <v>37.371600000000001</v>
      </c>
      <c r="J977" s="4">
        <f>CHOOSE( CONTROL!$C$36, 37.1892, 37.1882) * CHOOSE(CONTROL!$C$19, $D$11, 100%, $F$11)</f>
        <v>37.1892</v>
      </c>
      <c r="K977" s="4"/>
      <c r="L977" s="9">
        <v>29.306000000000001</v>
      </c>
      <c r="M977" s="9">
        <v>12.063700000000001</v>
      </c>
      <c r="N977" s="9">
        <v>4.9444999999999997</v>
      </c>
      <c r="O977" s="9">
        <v>0.37409999999999999</v>
      </c>
      <c r="P977" s="9">
        <v>1.2927</v>
      </c>
      <c r="Q977" s="9">
        <v>19.688099999999999</v>
      </c>
      <c r="R977" s="9"/>
      <c r="S977" s="11"/>
    </row>
    <row r="978" spans="1:19" ht="15.75">
      <c r="A978" s="13">
        <v>70918</v>
      </c>
      <c r="B978" s="8">
        <f>CHOOSE( CONTROL!$C$36, 35.9066, 35.9056) * CHOOSE(CONTROL!$C$19, $D$11, 100%, $F$11)</f>
        <v>35.906599999999997</v>
      </c>
      <c r="C978" s="8">
        <f>CHOOSE( CONTROL!$C$36, 35.9117, 35.9107) * CHOOSE(CONTROL!$C$19, $D$11, 100%, $F$11)</f>
        <v>35.911700000000003</v>
      </c>
      <c r="D978" s="8">
        <f>CHOOSE( CONTROL!$C$36, 35.9129, 35.9118) * CHOOSE( CONTROL!$C$19, $D$11, 100%, $F$11)</f>
        <v>35.9129</v>
      </c>
      <c r="E978" s="12">
        <f>CHOOSE( CONTROL!$C$36, 35.9119, 35.9109) * CHOOSE( CONTROL!$C$19, $D$11, 100%, $F$11)</f>
        <v>35.911900000000003</v>
      </c>
      <c r="F978" s="4">
        <f>CHOOSE( CONTROL!$C$36, 36.5659, 36.5648) * CHOOSE(CONTROL!$C$19, $D$11, 100%, $F$11)</f>
        <v>36.565899999999999</v>
      </c>
      <c r="G978" s="8">
        <f>CHOOSE( CONTROL!$C$36, 35.4524, 35.4513) * CHOOSE( CONTROL!$C$19, $D$11, 100%, $F$11)</f>
        <v>35.452399999999997</v>
      </c>
      <c r="H978" s="4">
        <f>CHOOSE( CONTROL!$C$36, 36.3296, 36.3285) * CHOOSE(CONTROL!$C$19, $D$11, 100%, $F$11)</f>
        <v>36.329599999999999</v>
      </c>
      <c r="I978" s="8">
        <f>CHOOSE( CONTROL!$C$36, 34.9659, 34.9648) * CHOOSE(CONTROL!$C$19, $D$11, 100%, $F$11)</f>
        <v>34.965899999999998</v>
      </c>
      <c r="J978" s="4">
        <f>CHOOSE( CONTROL!$C$36, 34.7851, 34.784) * CHOOSE(CONTROL!$C$19, $D$11, 100%, $F$11)</f>
        <v>34.7851</v>
      </c>
      <c r="K978" s="4"/>
      <c r="L978" s="9">
        <v>26.469899999999999</v>
      </c>
      <c r="M978" s="9">
        <v>10.8962</v>
      </c>
      <c r="N978" s="9">
        <v>4.4660000000000002</v>
      </c>
      <c r="O978" s="9">
        <v>0.33789999999999998</v>
      </c>
      <c r="P978" s="9">
        <v>1.1676</v>
      </c>
      <c r="Q978" s="9">
        <v>17.782800000000002</v>
      </c>
      <c r="R978" s="9"/>
      <c r="S978" s="11"/>
    </row>
    <row r="979" spans="1:19" ht="15.75">
      <c r="A979" s="13">
        <v>70949</v>
      </c>
      <c r="B979" s="8">
        <f>CHOOSE( CONTROL!$C$36, 35.1419, 35.1408) * CHOOSE(CONTROL!$C$19, $D$11, 100%, $F$11)</f>
        <v>35.1419</v>
      </c>
      <c r="C979" s="8">
        <f>CHOOSE( CONTROL!$C$36, 35.147, 35.1459) * CHOOSE(CONTROL!$C$19, $D$11, 100%, $F$11)</f>
        <v>35.146999999999998</v>
      </c>
      <c r="D979" s="8">
        <f>CHOOSE( CONTROL!$C$36, 35.1475, 35.1465) * CHOOSE( CONTROL!$C$19, $D$11, 100%, $F$11)</f>
        <v>35.147500000000001</v>
      </c>
      <c r="E979" s="12">
        <f>CHOOSE( CONTROL!$C$36, 35.1468, 35.1457) * CHOOSE( CONTROL!$C$19, $D$11, 100%, $F$11)</f>
        <v>35.146799999999999</v>
      </c>
      <c r="F979" s="4">
        <f>CHOOSE( CONTROL!$C$36, 35.8012, 35.8001) * CHOOSE(CONTROL!$C$19, $D$11, 100%, $F$11)</f>
        <v>35.801200000000001</v>
      </c>
      <c r="G979" s="8">
        <f>CHOOSE( CONTROL!$C$36, 34.6979, 34.6968) * CHOOSE( CONTROL!$C$19, $D$11, 100%, $F$11)</f>
        <v>34.697899999999997</v>
      </c>
      <c r="H979" s="4">
        <f>CHOOSE( CONTROL!$C$36, 35.5756, 35.5745) * CHOOSE(CONTROL!$C$19, $D$11, 100%, $F$11)</f>
        <v>35.575600000000001</v>
      </c>
      <c r="I979" s="8">
        <f>CHOOSE( CONTROL!$C$36, 34.223, 34.222) * CHOOSE(CONTROL!$C$19, $D$11, 100%, $F$11)</f>
        <v>34.222999999999999</v>
      </c>
      <c r="J979" s="4">
        <f>CHOOSE( CONTROL!$C$36, 34.0446, 34.0435) * CHOOSE(CONTROL!$C$19, $D$11, 100%, $F$11)</f>
        <v>34.044600000000003</v>
      </c>
      <c r="K979" s="4"/>
      <c r="L979" s="9">
        <v>29.306000000000001</v>
      </c>
      <c r="M979" s="9">
        <v>12.063700000000001</v>
      </c>
      <c r="N979" s="9">
        <v>4.9444999999999997</v>
      </c>
      <c r="O979" s="9">
        <v>0.37409999999999999</v>
      </c>
      <c r="P979" s="9">
        <v>1.2927</v>
      </c>
      <c r="Q979" s="9">
        <v>19.688099999999999</v>
      </c>
      <c r="R979" s="9"/>
      <c r="S979" s="11"/>
    </row>
    <row r="980" spans="1:19" ht="15.75">
      <c r="A980" s="13">
        <v>70979</v>
      </c>
      <c r="B980" s="8">
        <f>CHOOSE( CONTROL!$C$36, 35.6771, 35.676) * CHOOSE(CONTROL!$C$19, $D$11, 100%, $F$11)</f>
        <v>35.677100000000003</v>
      </c>
      <c r="C980" s="8">
        <f>CHOOSE( CONTROL!$C$36, 35.6816, 35.6805) * CHOOSE(CONTROL!$C$19, $D$11, 100%, $F$11)</f>
        <v>35.681600000000003</v>
      </c>
      <c r="D980" s="8">
        <f>CHOOSE( CONTROL!$C$36, 35.702, 35.7009) * CHOOSE( CONTROL!$C$19, $D$11, 100%, $F$11)</f>
        <v>35.701999999999998</v>
      </c>
      <c r="E980" s="12">
        <f>CHOOSE( CONTROL!$C$36, 35.6947, 35.6936) * CHOOSE( CONTROL!$C$19, $D$11, 100%, $F$11)</f>
        <v>35.694699999999997</v>
      </c>
      <c r="F980" s="4">
        <f>CHOOSE( CONTROL!$C$36, 36.4115, 36.4104) * CHOOSE(CONTROL!$C$19, $D$11, 100%, $F$11)</f>
        <v>36.411499999999997</v>
      </c>
      <c r="G980" s="8">
        <f>CHOOSE( CONTROL!$C$36, 35.2329, 35.2318) * CHOOSE( CONTROL!$C$19, $D$11, 100%, $F$11)</f>
        <v>35.232900000000001</v>
      </c>
      <c r="H980" s="4">
        <f>CHOOSE( CONTROL!$C$36, 36.1773, 36.1762) * CHOOSE(CONTROL!$C$19, $D$11, 100%, $F$11)</f>
        <v>36.177300000000002</v>
      </c>
      <c r="I980" s="8">
        <f>CHOOSE( CONTROL!$C$36, 34.7102, 34.7092) * CHOOSE(CONTROL!$C$19, $D$11, 100%, $F$11)</f>
        <v>34.7102</v>
      </c>
      <c r="J980" s="4">
        <f>CHOOSE( CONTROL!$C$36, 34.562, 34.561) * CHOOSE(CONTROL!$C$19, $D$11, 100%, $F$11)</f>
        <v>34.561999999999998</v>
      </c>
      <c r="K980" s="4"/>
      <c r="L980" s="9">
        <v>30.092199999999998</v>
      </c>
      <c r="M980" s="9">
        <v>11.6745</v>
      </c>
      <c r="N980" s="9">
        <v>4.7850000000000001</v>
      </c>
      <c r="O980" s="9">
        <v>0.36199999999999999</v>
      </c>
      <c r="P980" s="9">
        <v>1.2509999999999999</v>
      </c>
      <c r="Q980" s="9">
        <v>19.053000000000001</v>
      </c>
      <c r="R980" s="9"/>
      <c r="S980" s="11"/>
    </row>
    <row r="981" spans="1:19" ht="15.75">
      <c r="A981" s="13">
        <v>71010</v>
      </c>
      <c r="B981" s="8">
        <f>CHOOSE( CONTROL!$C$36, 36.63, 36.6284) * CHOOSE(CONTROL!$C$19, $D$11, 100%, $F$11)</f>
        <v>36.630000000000003</v>
      </c>
      <c r="C981" s="8">
        <f>CHOOSE( CONTROL!$C$36, 36.638, 36.6364) * CHOOSE(CONTROL!$C$19, $D$11, 100%, $F$11)</f>
        <v>36.637999999999998</v>
      </c>
      <c r="D981" s="8">
        <f>CHOOSE( CONTROL!$C$36, 36.6522, 36.6506) * CHOOSE( CONTROL!$C$19, $D$11, 100%, $F$11)</f>
        <v>36.652200000000001</v>
      </c>
      <c r="E981" s="12">
        <f>CHOOSE( CONTROL!$C$36, 36.6458, 36.6442) * CHOOSE( CONTROL!$C$19, $D$11, 100%, $F$11)</f>
        <v>36.645800000000001</v>
      </c>
      <c r="F981" s="4">
        <f>CHOOSE( CONTROL!$C$36, 37.3631, 37.3614) * CHOOSE(CONTROL!$C$19, $D$11, 100%, $F$11)</f>
        <v>37.363100000000003</v>
      </c>
      <c r="G981" s="8">
        <f>CHOOSE( CONTROL!$C$36, 36.1712, 36.1696) * CHOOSE( CONTROL!$C$19, $D$11, 100%, $F$11)</f>
        <v>36.171199999999999</v>
      </c>
      <c r="H981" s="4">
        <f>CHOOSE( CONTROL!$C$36, 37.1157, 37.114) * CHOOSE(CONTROL!$C$19, $D$11, 100%, $F$11)</f>
        <v>37.115699999999997</v>
      </c>
      <c r="I981" s="8">
        <f>CHOOSE( CONTROL!$C$36, 35.6317, 35.6301) * CHOOSE(CONTROL!$C$19, $D$11, 100%, $F$11)</f>
        <v>35.631700000000002</v>
      </c>
      <c r="J981" s="4">
        <f>CHOOSE( CONTROL!$C$36, 35.4835, 35.4819) * CHOOSE(CONTROL!$C$19, $D$11, 100%, $F$11)</f>
        <v>35.483499999999999</v>
      </c>
      <c r="K981" s="4"/>
      <c r="L981" s="9">
        <v>30.7165</v>
      </c>
      <c r="M981" s="9">
        <v>12.063700000000001</v>
      </c>
      <c r="N981" s="9">
        <v>4.9444999999999997</v>
      </c>
      <c r="O981" s="9">
        <v>0.37409999999999999</v>
      </c>
      <c r="P981" s="9">
        <v>1.2927</v>
      </c>
      <c r="Q981" s="9">
        <v>19.688099999999999</v>
      </c>
      <c r="R981" s="9"/>
      <c r="S981" s="11"/>
    </row>
    <row r="982" spans="1:19" ht="15.75">
      <c r="A982" s="13">
        <v>71040</v>
      </c>
      <c r="B982" s="8">
        <f>CHOOSE( CONTROL!$C$36, 36.0409, 36.0392) * CHOOSE(CONTROL!$C$19, $D$11, 100%, $F$11)</f>
        <v>36.040900000000001</v>
      </c>
      <c r="C982" s="8">
        <f>CHOOSE( CONTROL!$C$36, 36.0489, 36.0472) * CHOOSE(CONTROL!$C$19, $D$11, 100%, $F$11)</f>
        <v>36.048900000000003</v>
      </c>
      <c r="D982" s="8">
        <f>CHOOSE( CONTROL!$C$36, 36.0633, 36.0616) * CHOOSE( CONTROL!$C$19, $D$11, 100%, $F$11)</f>
        <v>36.063299999999998</v>
      </c>
      <c r="E982" s="12">
        <f>CHOOSE( CONTROL!$C$36, 36.0569, 36.0552) * CHOOSE( CONTROL!$C$19, $D$11, 100%, $F$11)</f>
        <v>36.056899999999999</v>
      </c>
      <c r="F982" s="4">
        <f>CHOOSE( CONTROL!$C$36, 36.7739, 36.7723) * CHOOSE(CONTROL!$C$19, $D$11, 100%, $F$11)</f>
        <v>36.773899999999998</v>
      </c>
      <c r="G982" s="8">
        <f>CHOOSE( CONTROL!$C$36, 35.5904, 35.5888) * CHOOSE( CONTROL!$C$19, $D$11, 100%, $F$11)</f>
        <v>35.590400000000002</v>
      </c>
      <c r="H982" s="4">
        <f>CHOOSE( CONTROL!$C$36, 36.5347, 36.5331) * CHOOSE(CONTROL!$C$19, $D$11, 100%, $F$11)</f>
        <v>36.534700000000001</v>
      </c>
      <c r="I982" s="8">
        <f>CHOOSE( CONTROL!$C$36, 35.0617, 35.06) * CHOOSE(CONTROL!$C$19, $D$11, 100%, $F$11)</f>
        <v>35.061700000000002</v>
      </c>
      <c r="J982" s="4">
        <f>CHOOSE( CONTROL!$C$36, 34.913, 34.9114) * CHOOSE(CONTROL!$C$19, $D$11, 100%, $F$11)</f>
        <v>34.912999999999997</v>
      </c>
      <c r="K982" s="4"/>
      <c r="L982" s="9">
        <v>29.7257</v>
      </c>
      <c r="M982" s="9">
        <v>11.6745</v>
      </c>
      <c r="N982" s="9">
        <v>4.7850000000000001</v>
      </c>
      <c r="O982" s="9">
        <v>0.36199999999999999</v>
      </c>
      <c r="P982" s="9">
        <v>1.2509999999999999</v>
      </c>
      <c r="Q982" s="9">
        <v>19.053000000000001</v>
      </c>
      <c r="R982" s="9"/>
      <c r="S982" s="11"/>
    </row>
    <row r="983" spans="1:19" ht="15.75">
      <c r="A983" s="13">
        <v>71071</v>
      </c>
      <c r="B983" s="8">
        <f>CHOOSE( CONTROL!$C$36, 37.5923, 37.5907) * CHOOSE(CONTROL!$C$19, $D$11, 100%, $F$11)</f>
        <v>37.592300000000002</v>
      </c>
      <c r="C983" s="8">
        <f>CHOOSE( CONTROL!$C$36, 37.6003, 37.5987) * CHOOSE(CONTROL!$C$19, $D$11, 100%, $F$11)</f>
        <v>37.600299999999997</v>
      </c>
      <c r="D983" s="8">
        <f>CHOOSE( CONTROL!$C$36, 37.615, 37.6133) * CHOOSE( CONTROL!$C$19, $D$11, 100%, $F$11)</f>
        <v>37.615000000000002</v>
      </c>
      <c r="E983" s="12">
        <f>CHOOSE( CONTROL!$C$36, 37.6085, 37.6068) * CHOOSE( CONTROL!$C$19, $D$11, 100%, $F$11)</f>
        <v>37.608499999999999</v>
      </c>
      <c r="F983" s="4">
        <f>CHOOSE( CONTROL!$C$36, 38.3254, 38.3237) * CHOOSE(CONTROL!$C$19, $D$11, 100%, $F$11)</f>
        <v>38.325400000000002</v>
      </c>
      <c r="G983" s="8">
        <f>CHOOSE( CONTROL!$C$36, 37.1204, 37.1188) * CHOOSE( CONTROL!$C$19, $D$11, 100%, $F$11)</f>
        <v>37.120399999999997</v>
      </c>
      <c r="H983" s="4">
        <f>CHOOSE( CONTROL!$C$36, 38.0645, 38.0629) * CHOOSE(CONTROL!$C$19, $D$11, 100%, $F$11)</f>
        <v>38.064500000000002</v>
      </c>
      <c r="I983" s="8">
        <f>CHOOSE( CONTROL!$C$36, 36.5655, 36.5639) * CHOOSE(CONTROL!$C$19, $D$11, 100%, $F$11)</f>
        <v>36.5655</v>
      </c>
      <c r="J983" s="4">
        <f>CHOOSE( CONTROL!$C$36, 36.4153, 36.4136) * CHOOSE(CONTROL!$C$19, $D$11, 100%, $F$11)</f>
        <v>36.415300000000002</v>
      </c>
      <c r="K983" s="4"/>
      <c r="L983" s="9">
        <v>30.7165</v>
      </c>
      <c r="M983" s="9">
        <v>12.063700000000001</v>
      </c>
      <c r="N983" s="9">
        <v>4.9444999999999997</v>
      </c>
      <c r="O983" s="9">
        <v>0.37409999999999999</v>
      </c>
      <c r="P983" s="9">
        <v>1.2927</v>
      </c>
      <c r="Q983" s="9">
        <v>19.688099999999999</v>
      </c>
      <c r="R983" s="9"/>
      <c r="S983" s="11"/>
    </row>
    <row r="984" spans="1:19" ht="15.75">
      <c r="A984" s="13">
        <v>71102</v>
      </c>
      <c r="B984" s="8">
        <f>CHOOSE( CONTROL!$C$36, 34.6894, 34.6878) * CHOOSE(CONTROL!$C$19, $D$11, 100%, $F$11)</f>
        <v>34.689399999999999</v>
      </c>
      <c r="C984" s="8">
        <f>CHOOSE( CONTROL!$C$36, 34.6974, 34.6958) * CHOOSE(CONTROL!$C$19, $D$11, 100%, $F$11)</f>
        <v>34.697400000000002</v>
      </c>
      <c r="D984" s="8">
        <f>CHOOSE( CONTROL!$C$36, 34.7121, 34.7105) * CHOOSE( CONTROL!$C$19, $D$11, 100%, $F$11)</f>
        <v>34.7121</v>
      </c>
      <c r="E984" s="12">
        <f>CHOOSE( CONTROL!$C$36, 34.7056, 34.704) * CHOOSE( CONTROL!$C$19, $D$11, 100%, $F$11)</f>
        <v>34.705599999999997</v>
      </c>
      <c r="F984" s="4">
        <f>CHOOSE( CONTROL!$C$36, 35.4225, 35.4208) * CHOOSE(CONTROL!$C$19, $D$11, 100%, $F$11)</f>
        <v>35.422499999999999</v>
      </c>
      <c r="G984" s="8">
        <f>CHOOSE( CONTROL!$C$36, 34.2581, 34.2564) * CHOOSE( CONTROL!$C$19, $D$11, 100%, $F$11)</f>
        <v>34.258099999999999</v>
      </c>
      <c r="H984" s="4">
        <f>CHOOSE( CONTROL!$C$36, 35.2021, 35.2005) * CHOOSE(CONTROL!$C$19, $D$11, 100%, $F$11)</f>
        <v>35.202100000000002</v>
      </c>
      <c r="I984" s="8">
        <f>CHOOSE( CONTROL!$C$36, 33.7534, 33.7518) * CHOOSE(CONTROL!$C$19, $D$11, 100%, $F$11)</f>
        <v>33.753399999999999</v>
      </c>
      <c r="J984" s="4">
        <f>CHOOSE( CONTROL!$C$36, 33.6044, 33.6028) * CHOOSE(CONTROL!$C$19, $D$11, 100%, $F$11)</f>
        <v>33.604399999999998</v>
      </c>
      <c r="K984" s="4"/>
      <c r="L984" s="9">
        <v>30.7165</v>
      </c>
      <c r="M984" s="9">
        <v>12.063700000000001</v>
      </c>
      <c r="N984" s="9">
        <v>4.9444999999999997</v>
      </c>
      <c r="O984" s="9">
        <v>0.37409999999999999</v>
      </c>
      <c r="P984" s="9">
        <v>1.2927</v>
      </c>
      <c r="Q984" s="9">
        <v>19.688099999999999</v>
      </c>
      <c r="R984" s="9"/>
      <c r="S984" s="11"/>
    </row>
    <row r="985" spans="1:19" ht="15.75">
      <c r="A985" s="13">
        <v>71132</v>
      </c>
      <c r="B985" s="8">
        <f>CHOOSE( CONTROL!$C$36, 33.9625, 33.9609) * CHOOSE(CONTROL!$C$19, $D$11, 100%, $F$11)</f>
        <v>33.962499999999999</v>
      </c>
      <c r="C985" s="8">
        <f>CHOOSE( CONTROL!$C$36, 33.9705, 33.9689) * CHOOSE(CONTROL!$C$19, $D$11, 100%, $F$11)</f>
        <v>33.970500000000001</v>
      </c>
      <c r="D985" s="8">
        <f>CHOOSE( CONTROL!$C$36, 33.9851, 33.9835) * CHOOSE( CONTROL!$C$19, $D$11, 100%, $F$11)</f>
        <v>33.985100000000003</v>
      </c>
      <c r="E985" s="12">
        <f>CHOOSE( CONTROL!$C$36, 33.9786, 33.977) * CHOOSE( CONTROL!$C$19, $D$11, 100%, $F$11)</f>
        <v>33.9786</v>
      </c>
      <c r="F985" s="4">
        <f>CHOOSE( CONTROL!$C$36, 34.6956, 34.6939) * CHOOSE(CONTROL!$C$19, $D$11, 100%, $F$11)</f>
        <v>34.695599999999999</v>
      </c>
      <c r="G985" s="8">
        <f>CHOOSE( CONTROL!$C$36, 33.5412, 33.5396) * CHOOSE( CONTROL!$C$19, $D$11, 100%, $F$11)</f>
        <v>33.541200000000003</v>
      </c>
      <c r="H985" s="4">
        <f>CHOOSE( CONTROL!$C$36, 34.4854, 34.4837) * CHOOSE(CONTROL!$C$19, $D$11, 100%, $F$11)</f>
        <v>34.485399999999998</v>
      </c>
      <c r="I985" s="8">
        <f>CHOOSE( CONTROL!$C$36, 33.0488, 33.0472) * CHOOSE(CONTROL!$C$19, $D$11, 100%, $F$11)</f>
        <v>33.0488</v>
      </c>
      <c r="J985" s="4">
        <f>CHOOSE( CONTROL!$C$36, 32.9005, 32.8989) * CHOOSE(CONTROL!$C$19, $D$11, 100%, $F$11)</f>
        <v>32.900500000000001</v>
      </c>
      <c r="K985" s="4"/>
      <c r="L985" s="9">
        <v>29.7257</v>
      </c>
      <c r="M985" s="9">
        <v>11.6745</v>
      </c>
      <c r="N985" s="9">
        <v>4.7850000000000001</v>
      </c>
      <c r="O985" s="9">
        <v>0.36199999999999999</v>
      </c>
      <c r="P985" s="9">
        <v>1.2509999999999999</v>
      </c>
      <c r="Q985" s="9">
        <v>19.053000000000001</v>
      </c>
      <c r="R985" s="9"/>
      <c r="S985" s="11"/>
    </row>
    <row r="986" spans="1:19" ht="15.75">
      <c r="A986" s="13">
        <v>71163</v>
      </c>
      <c r="B986" s="8">
        <f>CHOOSE( CONTROL!$C$36, 35.4696, 35.4685) * CHOOSE(CONTROL!$C$19, $D$11, 100%, $F$11)</f>
        <v>35.4696</v>
      </c>
      <c r="C986" s="8">
        <f>CHOOSE( CONTROL!$C$36, 35.4749, 35.4738) * CHOOSE(CONTROL!$C$19, $D$11, 100%, $F$11)</f>
        <v>35.474899999999998</v>
      </c>
      <c r="D986" s="8">
        <f>CHOOSE( CONTROL!$C$36, 35.4954, 35.4943) * CHOOSE( CONTROL!$C$19, $D$11, 100%, $F$11)</f>
        <v>35.495399999999997</v>
      </c>
      <c r="E986" s="12">
        <f>CHOOSE( CONTROL!$C$36, 35.4881, 35.487) * CHOOSE( CONTROL!$C$19, $D$11, 100%, $F$11)</f>
        <v>35.488100000000003</v>
      </c>
      <c r="F986" s="4">
        <f>CHOOSE( CONTROL!$C$36, 36.2043, 36.2032) * CHOOSE(CONTROL!$C$19, $D$11, 100%, $F$11)</f>
        <v>36.204300000000003</v>
      </c>
      <c r="G986" s="8">
        <f>CHOOSE( CONTROL!$C$36, 35.0291, 35.028) * CHOOSE( CONTROL!$C$19, $D$11, 100%, $F$11)</f>
        <v>35.0291</v>
      </c>
      <c r="H986" s="4">
        <f>CHOOSE( CONTROL!$C$36, 35.9731, 35.972) * CHOOSE(CONTROL!$C$19, $D$11, 100%, $F$11)</f>
        <v>35.973100000000002</v>
      </c>
      <c r="I986" s="8">
        <f>CHOOSE( CONTROL!$C$36, 34.5115, 34.5105) * CHOOSE(CONTROL!$C$19, $D$11, 100%, $F$11)</f>
        <v>34.511499999999998</v>
      </c>
      <c r="J986" s="4">
        <f>CHOOSE( CONTROL!$C$36, 34.3614, 34.3604) * CHOOSE(CONTROL!$C$19, $D$11, 100%, $F$11)</f>
        <v>34.361400000000003</v>
      </c>
      <c r="K986" s="4"/>
      <c r="L986" s="9">
        <v>31.095300000000002</v>
      </c>
      <c r="M986" s="9">
        <v>12.063700000000001</v>
      </c>
      <c r="N986" s="9">
        <v>4.9444999999999997</v>
      </c>
      <c r="O986" s="9">
        <v>0.37409999999999999</v>
      </c>
      <c r="P986" s="9">
        <v>1.2927</v>
      </c>
      <c r="Q986" s="9">
        <v>19.688099999999999</v>
      </c>
      <c r="R986" s="9"/>
      <c r="S986" s="11"/>
    </row>
    <row r="987" spans="1:19" ht="15.75">
      <c r="A987" s="13">
        <v>71193</v>
      </c>
      <c r="B987" s="8">
        <f>CHOOSE( CONTROL!$C$36, 38.2551, 38.254) * CHOOSE(CONTROL!$C$19, $D$11, 100%, $F$11)</f>
        <v>38.255099999999999</v>
      </c>
      <c r="C987" s="8">
        <f>CHOOSE( CONTROL!$C$36, 38.2602, 38.2591) * CHOOSE(CONTROL!$C$19, $D$11, 100%, $F$11)</f>
        <v>38.260199999999998</v>
      </c>
      <c r="D987" s="8">
        <f>CHOOSE( CONTROL!$C$36, 38.2394, 38.2383) * CHOOSE( CONTROL!$C$19, $D$11, 100%, $F$11)</f>
        <v>38.239400000000003</v>
      </c>
      <c r="E987" s="12">
        <f>CHOOSE( CONTROL!$C$36, 38.2465, 38.2454) * CHOOSE( CONTROL!$C$19, $D$11, 100%, $F$11)</f>
        <v>38.246499999999997</v>
      </c>
      <c r="F987" s="4">
        <f>CHOOSE( CONTROL!$C$36, 38.9143, 38.9132) * CHOOSE(CONTROL!$C$19, $D$11, 100%, $F$11)</f>
        <v>38.914299999999997</v>
      </c>
      <c r="G987" s="8">
        <f>CHOOSE( CONTROL!$C$36, 37.7561, 37.755) * CHOOSE( CONTROL!$C$19, $D$11, 100%, $F$11)</f>
        <v>37.756100000000004</v>
      </c>
      <c r="H987" s="4">
        <f>CHOOSE( CONTROL!$C$36, 38.6453, 38.6442) * CHOOSE(CONTROL!$C$19, $D$11, 100%, $F$11)</f>
        <v>38.645299999999999</v>
      </c>
      <c r="I987" s="8">
        <f>CHOOSE( CONTROL!$C$36, 37.2596, 37.2586) * CHOOSE(CONTROL!$C$19, $D$11, 100%, $F$11)</f>
        <v>37.259599999999999</v>
      </c>
      <c r="J987" s="4">
        <f>CHOOSE( CONTROL!$C$36, 37.059, 37.058) * CHOOSE(CONTROL!$C$19, $D$11, 100%, $F$11)</f>
        <v>37.058999999999997</v>
      </c>
      <c r="K987" s="4"/>
      <c r="L987" s="9">
        <v>28.360600000000002</v>
      </c>
      <c r="M987" s="9">
        <v>11.6745</v>
      </c>
      <c r="N987" s="9">
        <v>4.7850000000000001</v>
      </c>
      <c r="O987" s="9">
        <v>0.36199999999999999</v>
      </c>
      <c r="P987" s="9">
        <v>1.2509999999999999</v>
      </c>
      <c r="Q987" s="9">
        <v>19.053000000000001</v>
      </c>
      <c r="R987" s="9"/>
      <c r="S987" s="11"/>
    </row>
    <row r="988" spans="1:19" ht="15.75">
      <c r="A988" s="13">
        <v>71224</v>
      </c>
      <c r="B988" s="8">
        <f>CHOOSE( CONTROL!$C$36, 38.1855, 38.1844) * CHOOSE(CONTROL!$C$19, $D$11, 100%, $F$11)</f>
        <v>38.185499999999998</v>
      </c>
      <c r="C988" s="8">
        <f>CHOOSE( CONTROL!$C$36, 38.1906, 38.1895) * CHOOSE(CONTROL!$C$19, $D$11, 100%, $F$11)</f>
        <v>38.190600000000003</v>
      </c>
      <c r="D988" s="8">
        <f>CHOOSE( CONTROL!$C$36, 38.1712, 38.1701) * CHOOSE( CONTROL!$C$19, $D$11, 100%, $F$11)</f>
        <v>38.171199999999999</v>
      </c>
      <c r="E988" s="12">
        <f>CHOOSE( CONTROL!$C$36, 38.1778, 38.1767) * CHOOSE( CONTROL!$C$19, $D$11, 100%, $F$11)</f>
        <v>38.177799999999998</v>
      </c>
      <c r="F988" s="4">
        <f>CHOOSE( CONTROL!$C$36, 38.8447, 38.8436) * CHOOSE(CONTROL!$C$19, $D$11, 100%, $F$11)</f>
        <v>38.844700000000003</v>
      </c>
      <c r="G988" s="8">
        <f>CHOOSE( CONTROL!$C$36, 37.6885, 37.6874) * CHOOSE( CONTROL!$C$19, $D$11, 100%, $F$11)</f>
        <v>37.688499999999998</v>
      </c>
      <c r="H988" s="4">
        <f>CHOOSE( CONTROL!$C$36, 38.5766, 38.5756) * CHOOSE(CONTROL!$C$19, $D$11, 100%, $F$11)</f>
        <v>38.576599999999999</v>
      </c>
      <c r="I988" s="8">
        <f>CHOOSE( CONTROL!$C$36, 37.1965, 37.1954) * CHOOSE(CONTROL!$C$19, $D$11, 100%, $F$11)</f>
        <v>37.1965</v>
      </c>
      <c r="J988" s="4">
        <f>CHOOSE( CONTROL!$C$36, 36.9916, 36.9906) * CHOOSE(CONTROL!$C$19, $D$11, 100%, $F$11)</f>
        <v>36.991599999999998</v>
      </c>
      <c r="K988" s="4"/>
      <c r="L988" s="9">
        <v>29.306000000000001</v>
      </c>
      <c r="M988" s="9">
        <v>12.063700000000001</v>
      </c>
      <c r="N988" s="9">
        <v>4.9444999999999997</v>
      </c>
      <c r="O988" s="9">
        <v>0.37409999999999999</v>
      </c>
      <c r="P988" s="9">
        <v>1.2927</v>
      </c>
      <c r="Q988" s="9">
        <v>19.688099999999999</v>
      </c>
      <c r="R988" s="9"/>
      <c r="S988" s="11"/>
    </row>
    <row r="989" spans="1:19" ht="15.75">
      <c r="A989" s="13">
        <v>71255</v>
      </c>
      <c r="B989" s="8">
        <f>CHOOSE( CONTROL!$C$36, 39.3123, 39.3112) * CHOOSE(CONTROL!$C$19, $D$11, 100%, $F$11)</f>
        <v>39.3123</v>
      </c>
      <c r="C989" s="8">
        <f>CHOOSE( CONTROL!$C$36, 39.3174, 39.3163) * CHOOSE(CONTROL!$C$19, $D$11, 100%, $F$11)</f>
        <v>39.317399999999999</v>
      </c>
      <c r="D989" s="8">
        <f>CHOOSE( CONTROL!$C$36, 39.3187, 39.3176) * CHOOSE( CONTROL!$C$19, $D$11, 100%, $F$11)</f>
        <v>39.3187</v>
      </c>
      <c r="E989" s="12">
        <f>CHOOSE( CONTROL!$C$36, 39.3177, 39.3166) * CHOOSE( CONTROL!$C$19, $D$11, 100%, $F$11)</f>
        <v>39.317700000000002</v>
      </c>
      <c r="F989" s="4">
        <f>CHOOSE( CONTROL!$C$36, 39.9715, 39.9705) * CHOOSE(CONTROL!$C$19, $D$11, 100%, $F$11)</f>
        <v>39.971499999999999</v>
      </c>
      <c r="G989" s="8">
        <f>CHOOSE( CONTROL!$C$36, 38.8106, 38.8096) * CHOOSE( CONTROL!$C$19, $D$11, 100%, $F$11)</f>
        <v>38.810600000000001</v>
      </c>
      <c r="H989" s="4">
        <f>CHOOSE( CONTROL!$C$36, 39.6877, 39.6867) * CHOOSE(CONTROL!$C$19, $D$11, 100%, $F$11)</f>
        <v>39.6877</v>
      </c>
      <c r="I989" s="8">
        <f>CHOOSE( CONTROL!$C$36, 38.2656, 38.2646) * CHOOSE(CONTROL!$C$19, $D$11, 100%, $F$11)</f>
        <v>38.265599999999999</v>
      </c>
      <c r="J989" s="4">
        <f>CHOOSE( CONTROL!$C$36, 38.0827, 38.0817) * CHOOSE(CONTROL!$C$19, $D$11, 100%, $F$11)</f>
        <v>38.082700000000003</v>
      </c>
      <c r="K989" s="4"/>
      <c r="L989" s="9">
        <v>29.306000000000001</v>
      </c>
      <c r="M989" s="9">
        <v>12.063700000000001</v>
      </c>
      <c r="N989" s="9">
        <v>4.9444999999999997</v>
      </c>
      <c r="O989" s="9">
        <v>0.37409999999999999</v>
      </c>
      <c r="P989" s="9">
        <v>1.2927</v>
      </c>
      <c r="Q989" s="9">
        <v>19.688099999999999</v>
      </c>
      <c r="R989" s="9"/>
      <c r="S989" s="11"/>
    </row>
    <row r="990" spans="1:19" ht="15.75">
      <c r="A990" s="13">
        <v>71283</v>
      </c>
      <c r="B990" s="8">
        <f>CHOOSE( CONTROL!$C$36, 36.7698, 36.7687) * CHOOSE(CONTROL!$C$19, $D$11, 100%, $F$11)</f>
        <v>36.769799999999996</v>
      </c>
      <c r="C990" s="8">
        <f>CHOOSE( CONTROL!$C$36, 36.7749, 36.7738) * CHOOSE(CONTROL!$C$19, $D$11, 100%, $F$11)</f>
        <v>36.774900000000002</v>
      </c>
      <c r="D990" s="8">
        <f>CHOOSE( CONTROL!$C$36, 36.776, 36.7749) * CHOOSE( CONTROL!$C$19, $D$11, 100%, $F$11)</f>
        <v>36.776000000000003</v>
      </c>
      <c r="E990" s="12">
        <f>CHOOSE( CONTROL!$C$36, 36.7751, 36.774) * CHOOSE( CONTROL!$C$19, $D$11, 100%, $F$11)</f>
        <v>36.775100000000002</v>
      </c>
      <c r="F990" s="4">
        <f>CHOOSE( CONTROL!$C$36, 37.429, 37.4279) * CHOOSE(CONTROL!$C$19, $D$11, 100%, $F$11)</f>
        <v>37.429000000000002</v>
      </c>
      <c r="G990" s="8">
        <f>CHOOSE( CONTROL!$C$36, 36.3035, 36.3024) * CHOOSE( CONTROL!$C$19, $D$11, 100%, $F$11)</f>
        <v>36.3035</v>
      </c>
      <c r="H990" s="4">
        <f>CHOOSE( CONTROL!$C$36, 37.1807, 37.1796) * CHOOSE(CONTROL!$C$19, $D$11, 100%, $F$11)</f>
        <v>37.180700000000002</v>
      </c>
      <c r="I990" s="8">
        <f>CHOOSE( CONTROL!$C$36, 35.8021, 35.801) * CHOOSE(CONTROL!$C$19, $D$11, 100%, $F$11)</f>
        <v>35.802100000000003</v>
      </c>
      <c r="J990" s="4">
        <f>CHOOSE( CONTROL!$C$36, 35.6208, 35.6198) * CHOOSE(CONTROL!$C$19, $D$11, 100%, $F$11)</f>
        <v>35.620800000000003</v>
      </c>
      <c r="K990" s="4"/>
      <c r="L990" s="9">
        <v>26.469899999999999</v>
      </c>
      <c r="M990" s="9">
        <v>10.8962</v>
      </c>
      <c r="N990" s="9">
        <v>4.4660000000000002</v>
      </c>
      <c r="O990" s="9">
        <v>0.33789999999999998</v>
      </c>
      <c r="P990" s="9">
        <v>1.1676</v>
      </c>
      <c r="Q990" s="9">
        <v>17.782800000000002</v>
      </c>
      <c r="R990" s="9"/>
      <c r="S990" s="11"/>
    </row>
    <row r="991" spans="1:19" ht="15.75">
      <c r="A991" s="13">
        <v>71314</v>
      </c>
      <c r="B991" s="8">
        <f>CHOOSE( CONTROL!$C$36, 35.9867, 35.9856) * CHOOSE(CONTROL!$C$19, $D$11, 100%, $F$11)</f>
        <v>35.986699999999999</v>
      </c>
      <c r="C991" s="8">
        <f>CHOOSE( CONTROL!$C$36, 35.9918, 35.9907) * CHOOSE(CONTROL!$C$19, $D$11, 100%, $F$11)</f>
        <v>35.991799999999998</v>
      </c>
      <c r="D991" s="8">
        <f>CHOOSE( CONTROL!$C$36, 35.9923, 35.9912) * CHOOSE( CONTROL!$C$19, $D$11, 100%, $F$11)</f>
        <v>35.9923</v>
      </c>
      <c r="E991" s="12">
        <f>CHOOSE( CONTROL!$C$36, 35.9916, 35.9905) * CHOOSE( CONTROL!$C$19, $D$11, 100%, $F$11)</f>
        <v>35.991599999999998</v>
      </c>
      <c r="F991" s="4">
        <f>CHOOSE( CONTROL!$C$36, 36.6459, 36.6449) * CHOOSE(CONTROL!$C$19, $D$11, 100%, $F$11)</f>
        <v>36.645899999999997</v>
      </c>
      <c r="G991" s="8">
        <f>CHOOSE( CONTROL!$C$36, 35.5309, 35.5298) * CHOOSE( CONTROL!$C$19, $D$11, 100%, $F$11)</f>
        <v>35.530900000000003</v>
      </c>
      <c r="H991" s="4">
        <f>CHOOSE( CONTROL!$C$36, 36.4085, 36.4075) * CHOOSE(CONTROL!$C$19, $D$11, 100%, $F$11)</f>
        <v>36.408499999999997</v>
      </c>
      <c r="I991" s="8">
        <f>CHOOSE( CONTROL!$C$36, 35.0414, 35.0404) * CHOOSE(CONTROL!$C$19, $D$11, 100%, $F$11)</f>
        <v>35.041400000000003</v>
      </c>
      <c r="J991" s="4">
        <f>CHOOSE( CONTROL!$C$36, 34.8626, 34.8615) * CHOOSE(CONTROL!$C$19, $D$11, 100%, $F$11)</f>
        <v>34.8626</v>
      </c>
      <c r="K991" s="4"/>
      <c r="L991" s="9">
        <v>29.306000000000001</v>
      </c>
      <c r="M991" s="9">
        <v>12.063700000000001</v>
      </c>
      <c r="N991" s="9">
        <v>4.9444999999999997</v>
      </c>
      <c r="O991" s="9">
        <v>0.37409999999999999</v>
      </c>
      <c r="P991" s="9">
        <v>1.2927</v>
      </c>
      <c r="Q991" s="9">
        <v>19.688099999999999</v>
      </c>
      <c r="R991" s="9"/>
      <c r="S991" s="11"/>
    </row>
    <row r="992" spans="1:19" ht="15.75">
      <c r="A992" s="13">
        <v>71344</v>
      </c>
      <c r="B992" s="8">
        <f>CHOOSE( CONTROL!$C$36, 36.5347, 36.5336) * CHOOSE(CONTROL!$C$19, $D$11, 100%, $F$11)</f>
        <v>36.534700000000001</v>
      </c>
      <c r="C992" s="8">
        <f>CHOOSE( CONTROL!$C$36, 36.5392, 36.5381) * CHOOSE(CONTROL!$C$19, $D$11, 100%, $F$11)</f>
        <v>36.539200000000001</v>
      </c>
      <c r="D992" s="8">
        <f>CHOOSE( CONTROL!$C$36, 36.5596, 36.5585) * CHOOSE( CONTROL!$C$19, $D$11, 100%, $F$11)</f>
        <v>36.559600000000003</v>
      </c>
      <c r="E992" s="12">
        <f>CHOOSE( CONTROL!$C$36, 36.5523, 36.5512) * CHOOSE( CONTROL!$C$19, $D$11, 100%, $F$11)</f>
        <v>36.552300000000002</v>
      </c>
      <c r="F992" s="4">
        <f>CHOOSE( CONTROL!$C$36, 37.2691, 37.268) * CHOOSE(CONTROL!$C$19, $D$11, 100%, $F$11)</f>
        <v>37.269100000000002</v>
      </c>
      <c r="G992" s="8">
        <f>CHOOSE( CONTROL!$C$36, 36.0785, 36.0775) * CHOOSE( CONTROL!$C$19, $D$11, 100%, $F$11)</f>
        <v>36.078499999999998</v>
      </c>
      <c r="H992" s="4">
        <f>CHOOSE( CONTROL!$C$36, 37.023, 37.0219) * CHOOSE(CONTROL!$C$19, $D$11, 100%, $F$11)</f>
        <v>37.023000000000003</v>
      </c>
      <c r="I992" s="8">
        <f>CHOOSE( CONTROL!$C$36, 35.5411, 35.54) * CHOOSE(CONTROL!$C$19, $D$11, 100%, $F$11)</f>
        <v>35.5411</v>
      </c>
      <c r="J992" s="4">
        <f>CHOOSE( CONTROL!$C$36, 35.3924, 35.3914) * CHOOSE(CONTROL!$C$19, $D$11, 100%, $F$11)</f>
        <v>35.392400000000002</v>
      </c>
      <c r="K992" s="4"/>
      <c r="L992" s="9">
        <v>30.092199999999998</v>
      </c>
      <c r="M992" s="9">
        <v>11.6745</v>
      </c>
      <c r="N992" s="9">
        <v>4.7850000000000001</v>
      </c>
      <c r="O992" s="9">
        <v>0.36199999999999999</v>
      </c>
      <c r="P992" s="9">
        <v>1.2509999999999999</v>
      </c>
      <c r="Q992" s="9">
        <v>19.053000000000001</v>
      </c>
      <c r="R992" s="9"/>
      <c r="S992" s="11"/>
    </row>
    <row r="993" spans="1:19" ht="15.75">
      <c r="A993" s="13">
        <v>71375</v>
      </c>
      <c r="B993" s="8">
        <f>CHOOSE( CONTROL!$C$36, 37.5105, 37.5088) * CHOOSE(CONTROL!$C$19, $D$11, 100%, $F$11)</f>
        <v>37.5105</v>
      </c>
      <c r="C993" s="8">
        <f>CHOOSE( CONTROL!$C$36, 37.5185, 37.5168) * CHOOSE(CONTROL!$C$19, $D$11, 100%, $F$11)</f>
        <v>37.518500000000003</v>
      </c>
      <c r="D993" s="8">
        <f>CHOOSE( CONTROL!$C$36, 37.5327, 37.531) * CHOOSE( CONTROL!$C$19, $D$11, 100%, $F$11)</f>
        <v>37.532699999999998</v>
      </c>
      <c r="E993" s="12">
        <f>CHOOSE( CONTROL!$C$36, 37.5263, 37.5246) * CHOOSE( CONTROL!$C$19, $D$11, 100%, $F$11)</f>
        <v>37.526299999999999</v>
      </c>
      <c r="F993" s="4">
        <f>CHOOSE( CONTROL!$C$36, 38.2435, 38.2419) * CHOOSE(CONTROL!$C$19, $D$11, 100%, $F$11)</f>
        <v>38.243499999999997</v>
      </c>
      <c r="G993" s="8">
        <f>CHOOSE( CONTROL!$C$36, 37.0394, 37.0377) * CHOOSE( CONTROL!$C$19, $D$11, 100%, $F$11)</f>
        <v>37.039400000000001</v>
      </c>
      <c r="H993" s="4">
        <f>CHOOSE( CONTROL!$C$36, 37.9838, 37.9822) * CHOOSE(CONTROL!$C$19, $D$11, 100%, $F$11)</f>
        <v>37.983800000000002</v>
      </c>
      <c r="I993" s="8">
        <f>CHOOSE( CONTROL!$C$36, 36.4847, 36.4831) * CHOOSE(CONTROL!$C$19, $D$11, 100%, $F$11)</f>
        <v>36.484699999999997</v>
      </c>
      <c r="J993" s="4">
        <f>CHOOSE( CONTROL!$C$36, 36.336, 36.3344) * CHOOSE(CONTROL!$C$19, $D$11, 100%, $F$11)</f>
        <v>36.335999999999999</v>
      </c>
      <c r="K993" s="4"/>
      <c r="L993" s="9">
        <v>30.7165</v>
      </c>
      <c r="M993" s="9">
        <v>12.063700000000001</v>
      </c>
      <c r="N993" s="9">
        <v>4.9444999999999997</v>
      </c>
      <c r="O993" s="9">
        <v>0.37409999999999999</v>
      </c>
      <c r="P993" s="9">
        <v>1.2927</v>
      </c>
      <c r="Q993" s="9">
        <v>19.688099999999999</v>
      </c>
      <c r="R993" s="9"/>
      <c r="S993" s="11"/>
    </row>
    <row r="994" spans="1:19" ht="15.75">
      <c r="A994" s="13">
        <v>71405</v>
      </c>
      <c r="B994" s="8">
        <f>CHOOSE( CONTROL!$C$36, 36.9072, 36.9055) * CHOOSE(CONTROL!$C$19, $D$11, 100%, $F$11)</f>
        <v>36.907200000000003</v>
      </c>
      <c r="C994" s="8">
        <f>CHOOSE( CONTROL!$C$36, 36.9152, 36.9135) * CHOOSE(CONTROL!$C$19, $D$11, 100%, $F$11)</f>
        <v>36.915199999999999</v>
      </c>
      <c r="D994" s="8">
        <f>CHOOSE( CONTROL!$C$36, 36.9296, 36.9279) * CHOOSE( CONTROL!$C$19, $D$11, 100%, $F$11)</f>
        <v>36.929600000000001</v>
      </c>
      <c r="E994" s="12">
        <f>CHOOSE( CONTROL!$C$36, 36.9232, 36.9215) * CHOOSE( CONTROL!$C$19, $D$11, 100%, $F$11)</f>
        <v>36.923200000000001</v>
      </c>
      <c r="F994" s="4">
        <f>CHOOSE( CONTROL!$C$36, 37.6402, 37.6386) * CHOOSE(CONTROL!$C$19, $D$11, 100%, $F$11)</f>
        <v>37.6402</v>
      </c>
      <c r="G994" s="8">
        <f>CHOOSE( CONTROL!$C$36, 36.4446, 36.443) * CHOOSE( CONTROL!$C$19, $D$11, 100%, $F$11)</f>
        <v>36.444600000000001</v>
      </c>
      <c r="H994" s="4">
        <f>CHOOSE( CONTROL!$C$36, 37.3889, 37.3873) * CHOOSE(CONTROL!$C$19, $D$11, 100%, $F$11)</f>
        <v>37.3889</v>
      </c>
      <c r="I994" s="8">
        <f>CHOOSE( CONTROL!$C$36, 35.9009, 35.8993) * CHOOSE(CONTROL!$C$19, $D$11, 100%, $F$11)</f>
        <v>35.9009</v>
      </c>
      <c r="J994" s="4">
        <f>CHOOSE( CONTROL!$C$36, 35.7518, 35.7502) * CHOOSE(CONTROL!$C$19, $D$11, 100%, $F$11)</f>
        <v>35.751800000000003</v>
      </c>
      <c r="K994" s="4"/>
      <c r="L994" s="9">
        <v>29.7257</v>
      </c>
      <c r="M994" s="9">
        <v>11.6745</v>
      </c>
      <c r="N994" s="9">
        <v>4.7850000000000001</v>
      </c>
      <c r="O994" s="9">
        <v>0.36199999999999999</v>
      </c>
      <c r="P994" s="9">
        <v>1.2509999999999999</v>
      </c>
      <c r="Q994" s="9">
        <v>19.053000000000001</v>
      </c>
      <c r="R994" s="9"/>
      <c r="S994" s="11"/>
    </row>
    <row r="995" spans="1:19" ht="15.75">
      <c r="A995" s="13">
        <v>71436</v>
      </c>
      <c r="B995" s="8">
        <f>CHOOSE( CONTROL!$C$36, 38.4959, 38.4942) * CHOOSE(CONTROL!$C$19, $D$11, 100%, $F$11)</f>
        <v>38.495899999999999</v>
      </c>
      <c r="C995" s="8">
        <f>CHOOSE( CONTROL!$C$36, 38.5039, 38.5022) * CHOOSE(CONTROL!$C$19, $D$11, 100%, $F$11)</f>
        <v>38.503900000000002</v>
      </c>
      <c r="D995" s="8">
        <f>CHOOSE( CONTROL!$C$36, 38.5185, 38.5169) * CHOOSE( CONTROL!$C$19, $D$11, 100%, $F$11)</f>
        <v>38.518500000000003</v>
      </c>
      <c r="E995" s="12">
        <f>CHOOSE( CONTROL!$C$36, 38.512, 38.5104) * CHOOSE( CONTROL!$C$19, $D$11, 100%, $F$11)</f>
        <v>38.512</v>
      </c>
      <c r="F995" s="4">
        <f>CHOOSE( CONTROL!$C$36, 39.2289, 39.2273) * CHOOSE(CONTROL!$C$19, $D$11, 100%, $F$11)</f>
        <v>39.228900000000003</v>
      </c>
      <c r="G995" s="8">
        <f>CHOOSE( CONTROL!$C$36, 38.0114, 38.0097) * CHOOSE( CONTROL!$C$19, $D$11, 100%, $F$11)</f>
        <v>38.011400000000002</v>
      </c>
      <c r="H995" s="4">
        <f>CHOOSE( CONTROL!$C$36, 38.9555, 38.9539) * CHOOSE(CONTROL!$C$19, $D$11, 100%, $F$11)</f>
        <v>38.955500000000001</v>
      </c>
      <c r="I995" s="8">
        <f>CHOOSE( CONTROL!$C$36, 37.4409, 37.4392) * CHOOSE(CONTROL!$C$19, $D$11, 100%, $F$11)</f>
        <v>37.440899999999999</v>
      </c>
      <c r="J995" s="4">
        <f>CHOOSE( CONTROL!$C$36, 37.2902, 37.2886) * CHOOSE(CONTROL!$C$19, $D$11, 100%, $F$11)</f>
        <v>37.290199999999999</v>
      </c>
      <c r="K995" s="4"/>
      <c r="L995" s="9">
        <v>30.7165</v>
      </c>
      <c r="M995" s="9">
        <v>12.063700000000001</v>
      </c>
      <c r="N995" s="9">
        <v>4.9444999999999997</v>
      </c>
      <c r="O995" s="9">
        <v>0.37409999999999999</v>
      </c>
      <c r="P995" s="9">
        <v>1.2927</v>
      </c>
      <c r="Q995" s="9">
        <v>19.688099999999999</v>
      </c>
      <c r="R995" s="9"/>
      <c r="S995" s="11"/>
    </row>
    <row r="996" spans="1:19" ht="15.75">
      <c r="A996" s="13">
        <v>71467</v>
      </c>
      <c r="B996" s="8">
        <f>CHOOSE( CONTROL!$C$36, 35.5233, 35.5216) * CHOOSE(CONTROL!$C$19, $D$11, 100%, $F$11)</f>
        <v>35.523299999999999</v>
      </c>
      <c r="C996" s="8">
        <f>CHOOSE( CONTROL!$C$36, 35.5313, 35.5296) * CHOOSE(CONTROL!$C$19, $D$11, 100%, $F$11)</f>
        <v>35.531300000000002</v>
      </c>
      <c r="D996" s="8">
        <f>CHOOSE( CONTROL!$C$36, 35.546, 35.5443) * CHOOSE( CONTROL!$C$19, $D$11, 100%, $F$11)</f>
        <v>35.545999999999999</v>
      </c>
      <c r="E996" s="12">
        <f>CHOOSE( CONTROL!$C$36, 35.5395, 35.5378) * CHOOSE( CONTROL!$C$19, $D$11, 100%, $F$11)</f>
        <v>35.539499999999997</v>
      </c>
      <c r="F996" s="4">
        <f>CHOOSE( CONTROL!$C$36, 36.2563, 36.2546) * CHOOSE(CONTROL!$C$19, $D$11, 100%, $F$11)</f>
        <v>36.256300000000003</v>
      </c>
      <c r="G996" s="8">
        <f>CHOOSE( CONTROL!$C$36, 35.0802, 35.0786) * CHOOSE( CONTROL!$C$19, $D$11, 100%, $F$11)</f>
        <v>35.080199999999998</v>
      </c>
      <c r="H996" s="4">
        <f>CHOOSE( CONTROL!$C$36, 36.0243, 36.0227) * CHOOSE(CONTROL!$C$19, $D$11, 100%, $F$11)</f>
        <v>36.024299999999997</v>
      </c>
      <c r="I996" s="8">
        <f>CHOOSE( CONTROL!$C$36, 34.5612, 34.5596) * CHOOSE(CONTROL!$C$19, $D$11, 100%, $F$11)</f>
        <v>34.561199999999999</v>
      </c>
      <c r="J996" s="4">
        <f>CHOOSE( CONTROL!$C$36, 34.4118, 34.4102) * CHOOSE(CONTROL!$C$19, $D$11, 100%, $F$11)</f>
        <v>34.411799999999999</v>
      </c>
      <c r="K996" s="4"/>
      <c r="L996" s="9">
        <v>30.7165</v>
      </c>
      <c r="M996" s="9">
        <v>12.063700000000001</v>
      </c>
      <c r="N996" s="9">
        <v>4.9444999999999997</v>
      </c>
      <c r="O996" s="9">
        <v>0.37409999999999999</v>
      </c>
      <c r="P996" s="9">
        <v>1.2927</v>
      </c>
      <c r="Q996" s="9">
        <v>19.688099999999999</v>
      </c>
      <c r="R996" s="9"/>
      <c r="S996" s="11"/>
    </row>
    <row r="997" spans="1:19" ht="15.75">
      <c r="A997" s="13">
        <v>71497</v>
      </c>
      <c r="B997" s="8">
        <f>CHOOSE( CONTROL!$C$36, 34.7789, 34.7772) * CHOOSE(CONTROL!$C$19, $D$11, 100%, $F$11)</f>
        <v>34.7789</v>
      </c>
      <c r="C997" s="8">
        <f>CHOOSE( CONTROL!$C$36, 34.7869, 34.7852) * CHOOSE(CONTROL!$C$19, $D$11, 100%, $F$11)</f>
        <v>34.786900000000003</v>
      </c>
      <c r="D997" s="8">
        <f>CHOOSE( CONTROL!$C$36, 34.8015, 34.7998) * CHOOSE( CONTROL!$C$19, $D$11, 100%, $F$11)</f>
        <v>34.801499999999997</v>
      </c>
      <c r="E997" s="12">
        <f>CHOOSE( CONTROL!$C$36, 34.795, 34.7933) * CHOOSE( CONTROL!$C$19, $D$11, 100%, $F$11)</f>
        <v>34.795000000000002</v>
      </c>
      <c r="F997" s="4">
        <f>CHOOSE( CONTROL!$C$36, 35.5119, 35.5103) * CHOOSE(CONTROL!$C$19, $D$11, 100%, $F$11)</f>
        <v>35.511899999999997</v>
      </c>
      <c r="G997" s="8">
        <f>CHOOSE( CONTROL!$C$36, 34.3462, 34.3445) * CHOOSE( CONTROL!$C$19, $D$11, 100%, $F$11)</f>
        <v>34.346200000000003</v>
      </c>
      <c r="H997" s="4">
        <f>CHOOSE( CONTROL!$C$36, 35.2903, 35.2887) * CHOOSE(CONTROL!$C$19, $D$11, 100%, $F$11)</f>
        <v>35.290300000000002</v>
      </c>
      <c r="I997" s="8">
        <f>CHOOSE( CONTROL!$C$36, 33.8397, 33.8381) * CHOOSE(CONTROL!$C$19, $D$11, 100%, $F$11)</f>
        <v>33.839700000000001</v>
      </c>
      <c r="J997" s="4">
        <f>CHOOSE( CONTROL!$C$36, 33.691, 33.6894) * CHOOSE(CONTROL!$C$19, $D$11, 100%, $F$11)</f>
        <v>33.691000000000003</v>
      </c>
      <c r="K997" s="4"/>
      <c r="L997" s="9">
        <v>29.7257</v>
      </c>
      <c r="M997" s="9">
        <v>11.6745</v>
      </c>
      <c r="N997" s="9">
        <v>4.7850000000000001</v>
      </c>
      <c r="O997" s="9">
        <v>0.36199999999999999</v>
      </c>
      <c r="P997" s="9">
        <v>1.2509999999999999</v>
      </c>
      <c r="Q997" s="9">
        <v>19.053000000000001</v>
      </c>
      <c r="R997" s="9"/>
      <c r="S997" s="11"/>
    </row>
    <row r="998" spans="1:19" ht="15.75">
      <c r="A998" s="13">
        <v>71528</v>
      </c>
      <c r="B998" s="8">
        <f>CHOOSE( CONTROL!$C$36, 36.3222, 36.3211) * CHOOSE(CONTROL!$C$19, $D$11, 100%, $F$11)</f>
        <v>36.322200000000002</v>
      </c>
      <c r="C998" s="8">
        <f>CHOOSE( CONTROL!$C$36, 36.3275, 36.3264) * CHOOSE(CONTROL!$C$19, $D$11, 100%, $F$11)</f>
        <v>36.327500000000001</v>
      </c>
      <c r="D998" s="8">
        <f>CHOOSE( CONTROL!$C$36, 36.348, 36.3469) * CHOOSE( CONTROL!$C$19, $D$11, 100%, $F$11)</f>
        <v>36.347999999999999</v>
      </c>
      <c r="E998" s="12">
        <f>CHOOSE( CONTROL!$C$36, 36.3407, 36.3396) * CHOOSE( CONTROL!$C$19, $D$11, 100%, $F$11)</f>
        <v>36.340699999999998</v>
      </c>
      <c r="F998" s="4">
        <f>CHOOSE( CONTROL!$C$36, 37.0569, 37.0558) * CHOOSE(CONTROL!$C$19, $D$11, 100%, $F$11)</f>
        <v>37.056899999999999</v>
      </c>
      <c r="G998" s="8">
        <f>CHOOSE( CONTROL!$C$36, 35.8698, 35.8688) * CHOOSE( CONTROL!$C$19, $D$11, 100%, $F$11)</f>
        <v>35.869799999999998</v>
      </c>
      <c r="H998" s="4">
        <f>CHOOSE( CONTROL!$C$36, 36.8138, 36.8127) * CHOOSE(CONTROL!$C$19, $D$11, 100%, $F$11)</f>
        <v>36.813800000000001</v>
      </c>
      <c r="I998" s="8">
        <f>CHOOSE( CONTROL!$C$36, 35.3375, 35.3365) * CHOOSE(CONTROL!$C$19, $D$11, 100%, $F$11)</f>
        <v>35.337499999999999</v>
      </c>
      <c r="J998" s="4">
        <f>CHOOSE( CONTROL!$C$36, 35.187, 35.186) * CHOOSE(CONTROL!$C$19, $D$11, 100%, $F$11)</f>
        <v>35.186999999999998</v>
      </c>
      <c r="K998" s="4"/>
      <c r="L998" s="9">
        <v>31.095300000000002</v>
      </c>
      <c r="M998" s="9">
        <v>12.063700000000001</v>
      </c>
      <c r="N998" s="9">
        <v>4.9444999999999997</v>
      </c>
      <c r="O998" s="9">
        <v>0.37409999999999999</v>
      </c>
      <c r="P998" s="9">
        <v>1.2927</v>
      </c>
      <c r="Q998" s="9">
        <v>19.688099999999999</v>
      </c>
      <c r="R998" s="9"/>
      <c r="S998" s="11"/>
    </row>
    <row r="999" spans="1:19" ht="15.75">
      <c r="A999" s="13">
        <v>71558</v>
      </c>
      <c r="B999" s="8">
        <f>CHOOSE( CONTROL!$C$36, 39.1746, 39.1735) * CHOOSE(CONTROL!$C$19, $D$11, 100%, $F$11)</f>
        <v>39.174599999999998</v>
      </c>
      <c r="C999" s="8">
        <f>CHOOSE( CONTROL!$C$36, 39.1797, 39.1786) * CHOOSE(CONTROL!$C$19, $D$11, 100%, $F$11)</f>
        <v>39.179699999999997</v>
      </c>
      <c r="D999" s="8">
        <f>CHOOSE( CONTROL!$C$36, 39.159, 39.1579) * CHOOSE( CONTROL!$C$19, $D$11, 100%, $F$11)</f>
        <v>39.158999999999999</v>
      </c>
      <c r="E999" s="12">
        <f>CHOOSE( CONTROL!$C$36, 39.166, 39.1649) * CHOOSE( CONTROL!$C$19, $D$11, 100%, $F$11)</f>
        <v>39.165999999999997</v>
      </c>
      <c r="F999" s="4">
        <f>CHOOSE( CONTROL!$C$36, 39.8339, 39.8328) * CHOOSE(CONTROL!$C$19, $D$11, 100%, $F$11)</f>
        <v>39.8339</v>
      </c>
      <c r="G999" s="8">
        <f>CHOOSE( CONTROL!$C$36, 38.6628, 38.6618) * CHOOSE( CONTROL!$C$19, $D$11, 100%, $F$11)</f>
        <v>38.662799999999997</v>
      </c>
      <c r="H999" s="4">
        <f>CHOOSE( CONTROL!$C$36, 39.552, 39.5509) * CHOOSE(CONTROL!$C$19, $D$11, 100%, $F$11)</f>
        <v>39.552</v>
      </c>
      <c r="I999" s="8">
        <f>CHOOSE( CONTROL!$C$36, 38.1505, 38.1494) * CHOOSE(CONTROL!$C$19, $D$11, 100%, $F$11)</f>
        <v>38.150500000000001</v>
      </c>
      <c r="J999" s="4">
        <f>CHOOSE( CONTROL!$C$36, 37.9495, 37.9484) * CHOOSE(CONTROL!$C$19, $D$11, 100%, $F$11)</f>
        <v>37.9495</v>
      </c>
      <c r="K999" s="4"/>
      <c r="L999" s="9">
        <v>28.360600000000002</v>
      </c>
      <c r="M999" s="9">
        <v>11.6745</v>
      </c>
      <c r="N999" s="9">
        <v>4.7850000000000001</v>
      </c>
      <c r="O999" s="9">
        <v>0.36199999999999999</v>
      </c>
      <c r="P999" s="9">
        <v>1.2509999999999999</v>
      </c>
      <c r="Q999" s="9">
        <v>19.053000000000001</v>
      </c>
      <c r="R999" s="9"/>
      <c r="S999" s="11"/>
    </row>
    <row r="1000" spans="1:19" ht="15.75">
      <c r="A1000" s="13">
        <v>71589</v>
      </c>
      <c r="B1000" s="8">
        <f>CHOOSE( CONTROL!$C$36, 39.1034, 39.1023) * CHOOSE(CONTROL!$C$19, $D$11, 100%, $F$11)</f>
        <v>39.103400000000001</v>
      </c>
      <c r="C1000" s="8">
        <f>CHOOSE( CONTROL!$C$36, 39.1085, 39.1074) * CHOOSE(CONTROL!$C$19, $D$11, 100%, $F$11)</f>
        <v>39.108499999999999</v>
      </c>
      <c r="D1000" s="8">
        <f>CHOOSE( CONTROL!$C$36, 39.0891, 39.088) * CHOOSE( CONTROL!$C$19, $D$11, 100%, $F$11)</f>
        <v>39.089100000000002</v>
      </c>
      <c r="E1000" s="12">
        <f>CHOOSE( CONTROL!$C$36, 39.0957, 39.0946) * CHOOSE( CONTROL!$C$19, $D$11, 100%, $F$11)</f>
        <v>39.095700000000001</v>
      </c>
      <c r="F1000" s="4">
        <f>CHOOSE( CONTROL!$C$36, 39.7626, 39.7615) * CHOOSE(CONTROL!$C$19, $D$11, 100%, $F$11)</f>
        <v>39.762599999999999</v>
      </c>
      <c r="G1000" s="8">
        <f>CHOOSE( CONTROL!$C$36, 38.5936, 38.5925) * CHOOSE( CONTROL!$C$19, $D$11, 100%, $F$11)</f>
        <v>38.593600000000002</v>
      </c>
      <c r="H1000" s="4">
        <f>CHOOSE( CONTROL!$C$36, 39.4817, 39.4806) * CHOOSE(CONTROL!$C$19, $D$11, 100%, $F$11)</f>
        <v>39.481699999999996</v>
      </c>
      <c r="I1000" s="8">
        <f>CHOOSE( CONTROL!$C$36, 38.0857, 38.0847) * CHOOSE(CONTROL!$C$19, $D$11, 100%, $F$11)</f>
        <v>38.085700000000003</v>
      </c>
      <c r="J1000" s="4">
        <f>CHOOSE( CONTROL!$C$36, 37.8804, 37.8794) * CHOOSE(CONTROL!$C$19, $D$11, 100%, $F$11)</f>
        <v>37.880400000000002</v>
      </c>
      <c r="K1000" s="4"/>
      <c r="L1000" s="9">
        <v>29.306000000000001</v>
      </c>
      <c r="M1000" s="9">
        <v>12.063700000000001</v>
      </c>
      <c r="N1000" s="9">
        <v>4.9444999999999997</v>
      </c>
      <c r="O1000" s="9">
        <v>0.37409999999999999</v>
      </c>
      <c r="P1000" s="9">
        <v>1.2927</v>
      </c>
      <c r="Q1000" s="9">
        <v>19.688099999999999</v>
      </c>
      <c r="R1000" s="9"/>
      <c r="S1000" s="11"/>
    </row>
    <row r="1001" spans="1:19" ht="15.75">
      <c r="A1001" s="13">
        <v>71620</v>
      </c>
      <c r="B1001" s="8">
        <f>CHOOSE( CONTROL!$C$36, 40.2573, 40.2562) * CHOOSE(CONTROL!$C$19, $D$11, 100%, $F$11)</f>
        <v>40.257300000000001</v>
      </c>
      <c r="C1001" s="8">
        <f>CHOOSE( CONTROL!$C$36, 40.2624, 40.2613) * CHOOSE(CONTROL!$C$19, $D$11, 100%, $F$11)</f>
        <v>40.2624</v>
      </c>
      <c r="D1001" s="8">
        <f>CHOOSE( CONTROL!$C$36, 40.2636, 40.2626) * CHOOSE( CONTROL!$C$19, $D$11, 100%, $F$11)</f>
        <v>40.263599999999997</v>
      </c>
      <c r="E1001" s="12">
        <f>CHOOSE( CONTROL!$C$36, 40.2626, 40.2616) * CHOOSE( CONTROL!$C$19, $D$11, 100%, $F$11)</f>
        <v>40.262599999999999</v>
      </c>
      <c r="F1001" s="4">
        <f>CHOOSE( CONTROL!$C$36, 40.9165, 40.9154) * CHOOSE(CONTROL!$C$19, $D$11, 100%, $F$11)</f>
        <v>40.916499999999999</v>
      </c>
      <c r="G1001" s="8">
        <f>CHOOSE( CONTROL!$C$36, 39.7424, 39.7413) * CHOOSE( CONTROL!$C$19, $D$11, 100%, $F$11)</f>
        <v>39.742400000000004</v>
      </c>
      <c r="H1001" s="4">
        <f>CHOOSE( CONTROL!$C$36, 40.6195, 40.6184) * CHOOSE(CONTROL!$C$19, $D$11, 100%, $F$11)</f>
        <v>40.619500000000002</v>
      </c>
      <c r="I1001" s="8">
        <f>CHOOSE( CONTROL!$C$36, 39.1811, 39.18) * CHOOSE(CONTROL!$C$19, $D$11, 100%, $F$11)</f>
        <v>39.181100000000001</v>
      </c>
      <c r="J1001" s="4">
        <f>CHOOSE( CONTROL!$C$36, 38.9978, 38.9967) * CHOOSE(CONTROL!$C$19, $D$11, 100%, $F$11)</f>
        <v>38.997799999999998</v>
      </c>
      <c r="K1001" s="4"/>
      <c r="L1001" s="9">
        <v>29.306000000000001</v>
      </c>
      <c r="M1001" s="9">
        <v>12.063700000000001</v>
      </c>
      <c r="N1001" s="9">
        <v>4.9444999999999997</v>
      </c>
      <c r="O1001" s="9">
        <v>0.37409999999999999</v>
      </c>
      <c r="P1001" s="9">
        <v>1.2927</v>
      </c>
      <c r="Q1001" s="9">
        <v>19.688099999999999</v>
      </c>
      <c r="R1001" s="9"/>
      <c r="S1001" s="11"/>
    </row>
    <row r="1002" spans="1:19" ht="15.75">
      <c r="A1002" s="13">
        <v>71649</v>
      </c>
      <c r="B1002" s="8">
        <f>CHOOSE( CONTROL!$C$36, 37.6536, 37.6526) * CHOOSE(CONTROL!$C$19, $D$11, 100%, $F$11)</f>
        <v>37.653599999999997</v>
      </c>
      <c r="C1002" s="8">
        <f>CHOOSE( CONTROL!$C$36, 37.6587, 37.6577) * CHOOSE(CONTROL!$C$19, $D$11, 100%, $F$11)</f>
        <v>37.658700000000003</v>
      </c>
      <c r="D1002" s="8">
        <f>CHOOSE( CONTROL!$C$36, 37.6599, 37.6588) * CHOOSE( CONTROL!$C$19, $D$11, 100%, $F$11)</f>
        <v>37.6599</v>
      </c>
      <c r="E1002" s="12">
        <f>CHOOSE( CONTROL!$C$36, 37.6589, 37.6579) * CHOOSE( CONTROL!$C$19, $D$11, 100%, $F$11)</f>
        <v>37.658900000000003</v>
      </c>
      <c r="F1002" s="4">
        <f>CHOOSE( CONTROL!$C$36, 38.3129, 38.3118) * CHOOSE(CONTROL!$C$19, $D$11, 100%, $F$11)</f>
        <v>38.312899999999999</v>
      </c>
      <c r="G1002" s="8">
        <f>CHOOSE( CONTROL!$C$36, 37.175, 37.174) * CHOOSE( CONTROL!$C$19, $D$11, 100%, $F$11)</f>
        <v>37.174999999999997</v>
      </c>
      <c r="H1002" s="4">
        <f>CHOOSE( CONTROL!$C$36, 38.0522, 38.0512) * CHOOSE(CONTROL!$C$19, $D$11, 100%, $F$11)</f>
        <v>38.052199999999999</v>
      </c>
      <c r="I1002" s="8">
        <f>CHOOSE( CONTROL!$C$36, 36.6583, 36.6573) * CHOOSE(CONTROL!$C$19, $D$11, 100%, $F$11)</f>
        <v>36.658299999999997</v>
      </c>
      <c r="J1002" s="4">
        <f>CHOOSE( CONTROL!$C$36, 36.4767, 36.4756) * CHOOSE(CONTROL!$C$19, $D$11, 100%, $F$11)</f>
        <v>36.476700000000001</v>
      </c>
      <c r="K1002" s="4"/>
      <c r="L1002" s="9">
        <v>27.415299999999998</v>
      </c>
      <c r="M1002" s="9">
        <v>11.285299999999999</v>
      </c>
      <c r="N1002" s="9">
        <v>4.6254999999999997</v>
      </c>
      <c r="O1002" s="9">
        <v>0.34989999999999999</v>
      </c>
      <c r="P1002" s="9">
        <v>1.2093</v>
      </c>
      <c r="Q1002" s="9">
        <v>18.417899999999999</v>
      </c>
      <c r="R1002" s="9"/>
      <c r="S1002" s="11"/>
    </row>
    <row r="1003" spans="1:19" ht="15.75">
      <c r="A1003" s="13">
        <v>71680</v>
      </c>
      <c r="B1003" s="8">
        <f>CHOOSE( CONTROL!$C$36, 36.8517, 36.8507) * CHOOSE(CONTROL!$C$19, $D$11, 100%, $F$11)</f>
        <v>36.851700000000001</v>
      </c>
      <c r="C1003" s="8">
        <f>CHOOSE( CONTROL!$C$36, 36.8568, 36.8558) * CHOOSE(CONTROL!$C$19, $D$11, 100%, $F$11)</f>
        <v>36.8568</v>
      </c>
      <c r="D1003" s="8">
        <f>CHOOSE( CONTROL!$C$36, 36.8574, 36.8563) * CHOOSE( CONTROL!$C$19, $D$11, 100%, $F$11)</f>
        <v>36.857399999999998</v>
      </c>
      <c r="E1003" s="12">
        <f>CHOOSE( CONTROL!$C$36, 36.8566, 36.8556) * CHOOSE( CONTROL!$C$19, $D$11, 100%, $F$11)</f>
        <v>36.8566</v>
      </c>
      <c r="F1003" s="4">
        <f>CHOOSE( CONTROL!$C$36, 37.511, 37.5099) * CHOOSE(CONTROL!$C$19, $D$11, 100%, $F$11)</f>
        <v>37.511000000000003</v>
      </c>
      <c r="G1003" s="8">
        <f>CHOOSE( CONTROL!$C$36, 36.3839, 36.3828) * CHOOSE( CONTROL!$C$19, $D$11, 100%, $F$11)</f>
        <v>36.383899999999997</v>
      </c>
      <c r="H1003" s="4">
        <f>CHOOSE( CONTROL!$C$36, 37.2615, 37.2605) * CHOOSE(CONTROL!$C$19, $D$11, 100%, $F$11)</f>
        <v>37.261499999999998</v>
      </c>
      <c r="I1003" s="8">
        <f>CHOOSE( CONTROL!$C$36, 35.8795, 35.8784) * CHOOSE(CONTROL!$C$19, $D$11, 100%, $F$11)</f>
        <v>35.8795</v>
      </c>
      <c r="J1003" s="4">
        <f>CHOOSE( CONTROL!$C$36, 35.7002, 35.6992) * CHOOSE(CONTROL!$C$19, $D$11, 100%, $F$11)</f>
        <v>35.700200000000002</v>
      </c>
      <c r="K1003" s="4"/>
      <c r="L1003" s="9">
        <v>29.306000000000001</v>
      </c>
      <c r="M1003" s="9">
        <v>12.063700000000001</v>
      </c>
      <c r="N1003" s="9">
        <v>4.9444999999999997</v>
      </c>
      <c r="O1003" s="9">
        <v>0.37409999999999999</v>
      </c>
      <c r="P1003" s="9">
        <v>1.2927</v>
      </c>
      <c r="Q1003" s="9">
        <v>19.688099999999999</v>
      </c>
      <c r="R1003" s="9"/>
      <c r="S1003" s="11"/>
    </row>
    <row r="1004" spans="1:19" ht="15.75">
      <c r="A1004" s="13">
        <v>71710</v>
      </c>
      <c r="B1004" s="8">
        <f>CHOOSE( CONTROL!$C$36, 37.4129, 37.4118) * CHOOSE(CONTROL!$C$19, $D$11, 100%, $F$11)</f>
        <v>37.4129</v>
      </c>
      <c r="C1004" s="8">
        <f>CHOOSE( CONTROL!$C$36, 37.4174, 37.4163) * CHOOSE(CONTROL!$C$19, $D$11, 100%, $F$11)</f>
        <v>37.417400000000001</v>
      </c>
      <c r="D1004" s="8">
        <f>CHOOSE( CONTROL!$C$36, 37.4378, 37.4367) * CHOOSE( CONTROL!$C$19, $D$11, 100%, $F$11)</f>
        <v>37.437800000000003</v>
      </c>
      <c r="E1004" s="12">
        <f>CHOOSE( CONTROL!$C$36, 37.4305, 37.4294) * CHOOSE( CONTROL!$C$19, $D$11, 100%, $F$11)</f>
        <v>37.430500000000002</v>
      </c>
      <c r="F1004" s="4">
        <f>CHOOSE( CONTROL!$C$36, 38.1473, 38.1462) * CHOOSE(CONTROL!$C$19, $D$11, 100%, $F$11)</f>
        <v>38.147300000000001</v>
      </c>
      <c r="G1004" s="8">
        <f>CHOOSE( CONTROL!$C$36, 36.9445, 36.9434) * CHOOSE( CONTROL!$C$19, $D$11, 100%, $F$11)</f>
        <v>36.944499999999998</v>
      </c>
      <c r="H1004" s="4">
        <f>CHOOSE( CONTROL!$C$36, 37.8889, 37.8878) * CHOOSE(CONTROL!$C$19, $D$11, 100%, $F$11)</f>
        <v>37.8889</v>
      </c>
      <c r="I1004" s="8">
        <f>CHOOSE( CONTROL!$C$36, 36.3918, 36.3908) * CHOOSE(CONTROL!$C$19, $D$11, 100%, $F$11)</f>
        <v>36.391800000000003</v>
      </c>
      <c r="J1004" s="4">
        <f>CHOOSE( CONTROL!$C$36, 36.2428, 36.2417) * CHOOSE(CONTROL!$C$19, $D$11, 100%, $F$11)</f>
        <v>36.242800000000003</v>
      </c>
      <c r="K1004" s="4"/>
      <c r="L1004" s="9">
        <v>30.092199999999998</v>
      </c>
      <c r="M1004" s="9">
        <v>11.6745</v>
      </c>
      <c r="N1004" s="9">
        <v>4.7850000000000001</v>
      </c>
      <c r="O1004" s="9">
        <v>0.36199999999999999</v>
      </c>
      <c r="P1004" s="9">
        <v>1.2509999999999999</v>
      </c>
      <c r="Q1004" s="9">
        <v>19.053000000000001</v>
      </c>
      <c r="R1004" s="9"/>
      <c r="S1004" s="11"/>
    </row>
    <row r="1005" spans="1:19" ht="15.75">
      <c r="A1005" s="13">
        <v>71741</v>
      </c>
      <c r="B1005" s="8">
        <f>CHOOSE( CONTROL!$C$36, 38.4121, 38.4104) * CHOOSE(CONTROL!$C$19, $D$11, 100%, $F$11)</f>
        <v>38.412100000000002</v>
      </c>
      <c r="C1005" s="8">
        <f>CHOOSE( CONTROL!$C$36, 38.4201, 38.4184) * CHOOSE(CONTROL!$C$19, $D$11, 100%, $F$11)</f>
        <v>38.420099999999998</v>
      </c>
      <c r="D1005" s="8">
        <f>CHOOSE( CONTROL!$C$36, 38.4343, 38.4326) * CHOOSE( CONTROL!$C$19, $D$11, 100%, $F$11)</f>
        <v>38.4343</v>
      </c>
      <c r="E1005" s="12">
        <f>CHOOSE( CONTROL!$C$36, 38.4279, 38.4262) * CHOOSE( CONTROL!$C$19, $D$11, 100%, $F$11)</f>
        <v>38.427900000000001</v>
      </c>
      <c r="F1005" s="4">
        <f>CHOOSE( CONTROL!$C$36, 39.1451, 39.1435) * CHOOSE(CONTROL!$C$19, $D$11, 100%, $F$11)</f>
        <v>39.145099999999999</v>
      </c>
      <c r="G1005" s="8">
        <f>CHOOSE( CONTROL!$C$36, 37.9284, 37.9267) * CHOOSE( CONTROL!$C$19, $D$11, 100%, $F$11)</f>
        <v>37.928400000000003</v>
      </c>
      <c r="H1005" s="4">
        <f>CHOOSE( CONTROL!$C$36, 38.8729, 38.8712) * CHOOSE(CONTROL!$C$19, $D$11, 100%, $F$11)</f>
        <v>38.872900000000001</v>
      </c>
      <c r="I1005" s="8">
        <f>CHOOSE( CONTROL!$C$36, 37.3582, 37.3566) * CHOOSE(CONTROL!$C$19, $D$11, 100%, $F$11)</f>
        <v>37.358199999999997</v>
      </c>
      <c r="J1005" s="4">
        <f>CHOOSE( CONTROL!$C$36, 37.209, 37.2074) * CHOOSE(CONTROL!$C$19, $D$11, 100%, $F$11)</f>
        <v>37.209000000000003</v>
      </c>
      <c r="K1005" s="4"/>
      <c r="L1005" s="9">
        <v>30.7165</v>
      </c>
      <c r="M1005" s="9">
        <v>12.063700000000001</v>
      </c>
      <c r="N1005" s="9">
        <v>4.9444999999999997</v>
      </c>
      <c r="O1005" s="9">
        <v>0.37409999999999999</v>
      </c>
      <c r="P1005" s="9">
        <v>1.2927</v>
      </c>
      <c r="Q1005" s="9">
        <v>19.688099999999999</v>
      </c>
      <c r="R1005" s="9"/>
      <c r="S1005" s="11"/>
    </row>
    <row r="1006" spans="1:19" ht="15.75">
      <c r="A1006" s="13">
        <v>71771</v>
      </c>
      <c r="B1006" s="8">
        <f>CHOOSE( CONTROL!$C$36, 37.7943, 37.7926) * CHOOSE(CONTROL!$C$19, $D$11, 100%, $F$11)</f>
        <v>37.7943</v>
      </c>
      <c r="C1006" s="8">
        <f>CHOOSE( CONTROL!$C$36, 37.8023, 37.8006) * CHOOSE(CONTROL!$C$19, $D$11, 100%, $F$11)</f>
        <v>37.802300000000002</v>
      </c>
      <c r="D1006" s="8">
        <f>CHOOSE( CONTROL!$C$36, 37.8167, 37.815) * CHOOSE( CONTROL!$C$19, $D$11, 100%, $F$11)</f>
        <v>37.816699999999997</v>
      </c>
      <c r="E1006" s="12">
        <f>CHOOSE( CONTROL!$C$36, 37.8103, 37.8086) * CHOOSE( CONTROL!$C$19, $D$11, 100%, $F$11)</f>
        <v>37.810299999999998</v>
      </c>
      <c r="F1006" s="4">
        <f>CHOOSE( CONTROL!$C$36, 38.5273, 38.5257) * CHOOSE(CONTROL!$C$19, $D$11, 100%, $F$11)</f>
        <v>38.527299999999997</v>
      </c>
      <c r="G1006" s="8">
        <f>CHOOSE( CONTROL!$C$36, 37.3194, 37.3177) * CHOOSE( CONTROL!$C$19, $D$11, 100%, $F$11)</f>
        <v>37.319400000000002</v>
      </c>
      <c r="H1006" s="4">
        <f>CHOOSE( CONTROL!$C$36, 38.2637, 38.262) * CHOOSE(CONTROL!$C$19, $D$11, 100%, $F$11)</f>
        <v>38.2637</v>
      </c>
      <c r="I1006" s="8">
        <f>CHOOSE( CONTROL!$C$36, 36.7603, 36.7587) * CHOOSE(CONTROL!$C$19, $D$11, 100%, $F$11)</f>
        <v>36.760300000000001</v>
      </c>
      <c r="J1006" s="4">
        <f>CHOOSE( CONTROL!$C$36, 36.6108, 36.6092) * CHOOSE(CONTROL!$C$19, $D$11, 100%, $F$11)</f>
        <v>36.610799999999998</v>
      </c>
      <c r="K1006" s="4"/>
      <c r="L1006" s="9">
        <v>29.7257</v>
      </c>
      <c r="M1006" s="9">
        <v>11.6745</v>
      </c>
      <c r="N1006" s="9">
        <v>4.7850000000000001</v>
      </c>
      <c r="O1006" s="9">
        <v>0.36199999999999999</v>
      </c>
      <c r="P1006" s="9">
        <v>1.2509999999999999</v>
      </c>
      <c r="Q1006" s="9">
        <v>19.053000000000001</v>
      </c>
      <c r="R1006" s="9"/>
      <c r="S1006" s="11"/>
    </row>
    <row r="1007" spans="1:19" ht="15.75">
      <c r="A1007" s="13">
        <v>71802</v>
      </c>
      <c r="B1007" s="8">
        <f>CHOOSE( CONTROL!$C$36, 39.4212, 39.4195) * CHOOSE(CONTROL!$C$19, $D$11, 100%, $F$11)</f>
        <v>39.421199999999999</v>
      </c>
      <c r="C1007" s="8">
        <f>CHOOSE( CONTROL!$C$36, 39.4292, 39.4275) * CHOOSE(CONTROL!$C$19, $D$11, 100%, $F$11)</f>
        <v>39.429200000000002</v>
      </c>
      <c r="D1007" s="8">
        <f>CHOOSE( CONTROL!$C$36, 39.4438, 39.4421) * CHOOSE( CONTROL!$C$19, $D$11, 100%, $F$11)</f>
        <v>39.443800000000003</v>
      </c>
      <c r="E1007" s="12">
        <f>CHOOSE( CONTROL!$C$36, 39.4373, 39.4356) * CHOOSE( CONTROL!$C$19, $D$11, 100%, $F$11)</f>
        <v>39.4373</v>
      </c>
      <c r="F1007" s="4">
        <f>CHOOSE( CONTROL!$C$36, 40.1542, 40.1526) * CHOOSE(CONTROL!$C$19, $D$11, 100%, $F$11)</f>
        <v>40.154200000000003</v>
      </c>
      <c r="G1007" s="8">
        <f>CHOOSE( CONTROL!$C$36, 38.9237, 38.9221) * CHOOSE( CONTROL!$C$19, $D$11, 100%, $F$11)</f>
        <v>38.923699999999997</v>
      </c>
      <c r="H1007" s="4">
        <f>CHOOSE( CONTROL!$C$36, 39.8679, 39.8662) * CHOOSE(CONTROL!$C$19, $D$11, 100%, $F$11)</f>
        <v>39.867899999999999</v>
      </c>
      <c r="I1007" s="8">
        <f>CHOOSE( CONTROL!$C$36, 38.3373, 38.3356) * CHOOSE(CONTROL!$C$19, $D$11, 100%, $F$11)</f>
        <v>38.337299999999999</v>
      </c>
      <c r="J1007" s="4">
        <f>CHOOSE( CONTROL!$C$36, 38.1861, 38.1845) * CHOOSE(CONTROL!$C$19, $D$11, 100%, $F$11)</f>
        <v>38.186100000000003</v>
      </c>
      <c r="K1007" s="4"/>
      <c r="L1007" s="9">
        <v>30.7165</v>
      </c>
      <c r="M1007" s="9">
        <v>12.063700000000001</v>
      </c>
      <c r="N1007" s="9">
        <v>4.9444999999999997</v>
      </c>
      <c r="O1007" s="9">
        <v>0.37409999999999999</v>
      </c>
      <c r="P1007" s="9">
        <v>1.2927</v>
      </c>
      <c r="Q1007" s="9">
        <v>19.688099999999999</v>
      </c>
      <c r="R1007" s="9"/>
      <c r="S1007" s="11"/>
    </row>
    <row r="1008" spans="1:19" ht="15.75">
      <c r="A1008" s="13">
        <v>71833</v>
      </c>
      <c r="B1008" s="8">
        <f>CHOOSE( CONTROL!$C$36, 36.3771, 36.3755) * CHOOSE(CONTROL!$C$19, $D$11, 100%, $F$11)</f>
        <v>36.377099999999999</v>
      </c>
      <c r="C1008" s="8">
        <f>CHOOSE( CONTROL!$C$36, 36.3851, 36.3835) * CHOOSE(CONTROL!$C$19, $D$11, 100%, $F$11)</f>
        <v>36.385100000000001</v>
      </c>
      <c r="D1008" s="8">
        <f>CHOOSE( CONTROL!$C$36, 36.3998, 36.3981) * CHOOSE( CONTROL!$C$19, $D$11, 100%, $F$11)</f>
        <v>36.399799999999999</v>
      </c>
      <c r="E1008" s="12">
        <f>CHOOSE( CONTROL!$C$36, 36.3933, 36.3916) * CHOOSE( CONTROL!$C$19, $D$11, 100%, $F$11)</f>
        <v>36.393300000000004</v>
      </c>
      <c r="F1008" s="4">
        <f>CHOOSE( CONTROL!$C$36, 37.1102, 37.1085) * CHOOSE(CONTROL!$C$19, $D$11, 100%, $F$11)</f>
        <v>37.110199999999999</v>
      </c>
      <c r="G1008" s="8">
        <f>CHOOSE( CONTROL!$C$36, 35.9222, 35.9206) * CHOOSE( CONTROL!$C$19, $D$11, 100%, $F$11)</f>
        <v>35.922199999999997</v>
      </c>
      <c r="H1008" s="4">
        <f>CHOOSE( CONTROL!$C$36, 36.8663, 36.8646) * CHOOSE(CONTROL!$C$19, $D$11, 100%, $F$11)</f>
        <v>36.866300000000003</v>
      </c>
      <c r="I1008" s="8">
        <f>CHOOSE( CONTROL!$C$36, 35.3884, 35.3868) * CHOOSE(CONTROL!$C$19, $D$11, 100%, $F$11)</f>
        <v>35.388399999999997</v>
      </c>
      <c r="J1008" s="4">
        <f>CHOOSE( CONTROL!$C$36, 35.2386, 35.237) * CHOOSE(CONTROL!$C$19, $D$11, 100%, $F$11)</f>
        <v>35.238599999999998</v>
      </c>
      <c r="K1008" s="4"/>
      <c r="L1008" s="9">
        <v>30.7165</v>
      </c>
      <c r="M1008" s="9">
        <v>12.063700000000001</v>
      </c>
      <c r="N1008" s="9">
        <v>4.9444999999999997</v>
      </c>
      <c r="O1008" s="9">
        <v>0.37409999999999999</v>
      </c>
      <c r="P1008" s="9">
        <v>1.2927</v>
      </c>
      <c r="Q1008" s="9">
        <v>19.688099999999999</v>
      </c>
      <c r="R1008" s="9"/>
      <c r="S1008" s="11"/>
    </row>
    <row r="1009" spans="1:19" ht="15.75">
      <c r="A1009" s="13">
        <v>71863</v>
      </c>
      <c r="B1009" s="8">
        <f>CHOOSE( CONTROL!$C$36, 35.6149, 35.6132) * CHOOSE(CONTROL!$C$19, $D$11, 100%, $F$11)</f>
        <v>35.614899999999999</v>
      </c>
      <c r="C1009" s="8">
        <f>CHOOSE( CONTROL!$C$36, 35.6229, 35.6212) * CHOOSE(CONTROL!$C$19, $D$11, 100%, $F$11)</f>
        <v>35.622900000000001</v>
      </c>
      <c r="D1009" s="8">
        <f>CHOOSE( CONTROL!$C$36, 35.6374, 35.6358) * CHOOSE( CONTROL!$C$19, $D$11, 100%, $F$11)</f>
        <v>35.6374</v>
      </c>
      <c r="E1009" s="12">
        <f>CHOOSE( CONTROL!$C$36, 35.6309, 35.6293) * CHOOSE( CONTROL!$C$19, $D$11, 100%, $F$11)</f>
        <v>35.630899999999997</v>
      </c>
      <c r="F1009" s="4">
        <f>CHOOSE( CONTROL!$C$36, 36.3479, 36.3462) * CHOOSE(CONTROL!$C$19, $D$11, 100%, $F$11)</f>
        <v>36.347900000000003</v>
      </c>
      <c r="G1009" s="8">
        <f>CHOOSE( CONTROL!$C$36, 35.1705, 35.1688) * CHOOSE( CONTROL!$C$19, $D$11, 100%, $F$11)</f>
        <v>35.170499999999997</v>
      </c>
      <c r="H1009" s="4">
        <f>CHOOSE( CONTROL!$C$36, 36.1146, 36.113) * CHOOSE(CONTROL!$C$19, $D$11, 100%, $F$11)</f>
        <v>36.114600000000003</v>
      </c>
      <c r="I1009" s="8">
        <f>CHOOSE( CONTROL!$C$36, 34.6496, 34.648) * CHOOSE(CONTROL!$C$19, $D$11, 100%, $F$11)</f>
        <v>34.6496</v>
      </c>
      <c r="J1009" s="4">
        <f>CHOOSE( CONTROL!$C$36, 34.5005, 34.4988) * CHOOSE(CONTROL!$C$19, $D$11, 100%, $F$11)</f>
        <v>34.500500000000002</v>
      </c>
      <c r="K1009" s="4"/>
      <c r="L1009" s="9">
        <v>29.7257</v>
      </c>
      <c r="M1009" s="9">
        <v>11.6745</v>
      </c>
      <c r="N1009" s="9">
        <v>4.7850000000000001</v>
      </c>
      <c r="O1009" s="9">
        <v>0.36199999999999999</v>
      </c>
      <c r="P1009" s="9">
        <v>1.2509999999999999</v>
      </c>
      <c r="Q1009" s="9">
        <v>19.053000000000001</v>
      </c>
      <c r="R1009" s="9"/>
      <c r="S1009" s="11"/>
    </row>
    <row r="1010" spans="1:19" ht="15.75">
      <c r="A1010" s="13">
        <v>71894</v>
      </c>
      <c r="B1010" s="8">
        <f>CHOOSE( CONTROL!$C$36, 37.1953, 37.1942) * CHOOSE(CONTROL!$C$19, $D$11, 100%, $F$11)</f>
        <v>37.195300000000003</v>
      </c>
      <c r="C1010" s="8">
        <f>CHOOSE( CONTROL!$C$36, 37.2006, 37.1996) * CHOOSE(CONTROL!$C$19, $D$11, 100%, $F$11)</f>
        <v>37.200600000000001</v>
      </c>
      <c r="D1010" s="8">
        <f>CHOOSE( CONTROL!$C$36, 37.2211, 37.22) * CHOOSE( CONTROL!$C$19, $D$11, 100%, $F$11)</f>
        <v>37.2211</v>
      </c>
      <c r="E1010" s="12">
        <f>CHOOSE( CONTROL!$C$36, 37.2138, 37.2127) * CHOOSE( CONTROL!$C$19, $D$11, 100%, $F$11)</f>
        <v>37.213799999999999</v>
      </c>
      <c r="F1010" s="4">
        <f>CHOOSE( CONTROL!$C$36, 37.93, 37.929) * CHOOSE(CONTROL!$C$19, $D$11, 100%, $F$11)</f>
        <v>37.93</v>
      </c>
      <c r="G1010" s="8">
        <f>CHOOSE( CONTROL!$C$36, 36.7308, 36.7297) * CHOOSE( CONTROL!$C$19, $D$11, 100%, $F$11)</f>
        <v>36.730800000000002</v>
      </c>
      <c r="H1010" s="4">
        <f>CHOOSE( CONTROL!$C$36, 37.6747, 37.6736) * CHOOSE(CONTROL!$C$19, $D$11, 100%, $F$11)</f>
        <v>37.674700000000001</v>
      </c>
      <c r="I1010" s="8">
        <f>CHOOSE( CONTROL!$C$36, 36.1834, 36.1823) * CHOOSE(CONTROL!$C$19, $D$11, 100%, $F$11)</f>
        <v>36.183399999999999</v>
      </c>
      <c r="J1010" s="4">
        <f>CHOOSE( CONTROL!$C$36, 36.0325, 36.0314) * CHOOSE(CONTROL!$C$19, $D$11, 100%, $F$11)</f>
        <v>36.032499999999999</v>
      </c>
      <c r="K1010" s="4"/>
      <c r="L1010" s="9">
        <v>31.095300000000002</v>
      </c>
      <c r="M1010" s="9">
        <v>12.063700000000001</v>
      </c>
      <c r="N1010" s="9">
        <v>4.9444999999999997</v>
      </c>
      <c r="O1010" s="9">
        <v>0.37409999999999999</v>
      </c>
      <c r="P1010" s="9">
        <v>1.2927</v>
      </c>
      <c r="Q1010" s="9">
        <v>19.688099999999999</v>
      </c>
      <c r="R1010" s="9"/>
      <c r="S1010" s="11"/>
    </row>
    <row r="1011" spans="1:19" ht="15.75">
      <c r="A1011" s="13">
        <v>71924</v>
      </c>
      <c r="B1011" s="8">
        <f>CHOOSE( CONTROL!$C$36, 40.1163, 40.1152) * CHOOSE(CONTROL!$C$19, $D$11, 100%, $F$11)</f>
        <v>40.116300000000003</v>
      </c>
      <c r="C1011" s="8">
        <f>CHOOSE( CONTROL!$C$36, 40.1214, 40.1203) * CHOOSE(CONTROL!$C$19, $D$11, 100%, $F$11)</f>
        <v>40.121400000000001</v>
      </c>
      <c r="D1011" s="8">
        <f>CHOOSE( CONTROL!$C$36, 40.1006, 40.0995) * CHOOSE( CONTROL!$C$19, $D$11, 100%, $F$11)</f>
        <v>40.1006</v>
      </c>
      <c r="E1011" s="12">
        <f>CHOOSE( CONTROL!$C$36, 40.1077, 40.1066) * CHOOSE( CONTROL!$C$19, $D$11, 100%, $F$11)</f>
        <v>40.107700000000001</v>
      </c>
      <c r="F1011" s="4">
        <f>CHOOSE( CONTROL!$C$36, 40.7755, 40.7745) * CHOOSE(CONTROL!$C$19, $D$11, 100%, $F$11)</f>
        <v>40.775500000000001</v>
      </c>
      <c r="G1011" s="8">
        <f>CHOOSE( CONTROL!$C$36, 39.5914, 39.5903) * CHOOSE( CONTROL!$C$19, $D$11, 100%, $F$11)</f>
        <v>39.5914</v>
      </c>
      <c r="H1011" s="4">
        <f>CHOOSE( CONTROL!$C$36, 40.4805, 40.4794) * CHOOSE(CONTROL!$C$19, $D$11, 100%, $F$11)</f>
        <v>40.480499999999999</v>
      </c>
      <c r="I1011" s="8">
        <f>CHOOSE( CONTROL!$C$36, 39.0627, 39.0617) * CHOOSE(CONTROL!$C$19, $D$11, 100%, $F$11)</f>
        <v>39.0627</v>
      </c>
      <c r="J1011" s="4">
        <f>CHOOSE( CONTROL!$C$36, 38.8613, 38.8602) * CHOOSE(CONTROL!$C$19, $D$11, 100%, $F$11)</f>
        <v>38.8613</v>
      </c>
      <c r="K1011" s="4"/>
      <c r="L1011" s="9">
        <v>28.360600000000002</v>
      </c>
      <c r="M1011" s="9">
        <v>11.6745</v>
      </c>
      <c r="N1011" s="9">
        <v>4.7850000000000001</v>
      </c>
      <c r="O1011" s="9">
        <v>0.36199999999999999</v>
      </c>
      <c r="P1011" s="9">
        <v>1.2509999999999999</v>
      </c>
      <c r="Q1011" s="9">
        <v>19.053000000000001</v>
      </c>
      <c r="R1011" s="9"/>
      <c r="S1011" s="11"/>
    </row>
    <row r="1012" spans="1:19" ht="15.75">
      <c r="A1012" s="13">
        <v>71955</v>
      </c>
      <c r="B1012" s="8">
        <f>CHOOSE( CONTROL!$C$36, 40.0433, 40.0422) * CHOOSE(CONTROL!$C$19, $D$11, 100%, $F$11)</f>
        <v>40.043300000000002</v>
      </c>
      <c r="C1012" s="8">
        <f>CHOOSE( CONTROL!$C$36, 40.0484, 40.0473) * CHOOSE(CONTROL!$C$19, $D$11, 100%, $F$11)</f>
        <v>40.048400000000001</v>
      </c>
      <c r="D1012" s="8">
        <f>CHOOSE( CONTROL!$C$36, 40.029, 40.0279) * CHOOSE( CONTROL!$C$19, $D$11, 100%, $F$11)</f>
        <v>40.029000000000003</v>
      </c>
      <c r="E1012" s="12">
        <f>CHOOSE( CONTROL!$C$36, 40.0356, 40.0345) * CHOOSE( CONTROL!$C$19, $D$11, 100%, $F$11)</f>
        <v>40.035600000000002</v>
      </c>
      <c r="F1012" s="4">
        <f>CHOOSE( CONTROL!$C$36, 40.7025, 40.7015) * CHOOSE(CONTROL!$C$19, $D$11, 100%, $F$11)</f>
        <v>40.702500000000001</v>
      </c>
      <c r="G1012" s="8">
        <f>CHOOSE( CONTROL!$C$36, 39.5204, 39.5193) * CHOOSE( CONTROL!$C$19, $D$11, 100%, $F$11)</f>
        <v>39.520400000000002</v>
      </c>
      <c r="H1012" s="4">
        <f>CHOOSE( CONTROL!$C$36, 40.4085, 40.4075) * CHOOSE(CONTROL!$C$19, $D$11, 100%, $F$11)</f>
        <v>40.408499999999997</v>
      </c>
      <c r="I1012" s="8">
        <f>CHOOSE( CONTROL!$C$36, 38.9963, 38.9953) * CHOOSE(CONTROL!$C$19, $D$11, 100%, $F$11)</f>
        <v>38.996299999999998</v>
      </c>
      <c r="J1012" s="4">
        <f>CHOOSE( CONTROL!$C$36, 38.7906, 38.7895) * CHOOSE(CONTROL!$C$19, $D$11, 100%, $F$11)</f>
        <v>38.790599999999998</v>
      </c>
      <c r="K1012" s="4"/>
      <c r="L1012" s="9">
        <v>29.306000000000001</v>
      </c>
      <c r="M1012" s="9">
        <v>12.063700000000001</v>
      </c>
      <c r="N1012" s="9">
        <v>4.9444999999999997</v>
      </c>
      <c r="O1012" s="9">
        <v>0.37409999999999999</v>
      </c>
      <c r="P1012" s="9">
        <v>1.2927</v>
      </c>
      <c r="Q1012" s="9">
        <v>19.688099999999999</v>
      </c>
      <c r="R1012" s="9"/>
      <c r="S1012" s="11"/>
    </row>
    <row r="1013" spans="1:19" ht="15.75">
      <c r="A1013" s="13">
        <v>71986</v>
      </c>
      <c r="B1013" s="8">
        <f>CHOOSE( CONTROL!$C$36, 41.2249, 41.2238) * CHOOSE(CONTROL!$C$19, $D$11, 100%, $F$11)</f>
        <v>41.224899999999998</v>
      </c>
      <c r="C1013" s="8">
        <f>CHOOSE( CONTROL!$C$36, 41.23, 41.2289) * CHOOSE(CONTROL!$C$19, $D$11, 100%, $F$11)</f>
        <v>41.23</v>
      </c>
      <c r="D1013" s="8">
        <f>CHOOSE( CONTROL!$C$36, 41.2313, 41.2302) * CHOOSE( CONTROL!$C$19, $D$11, 100%, $F$11)</f>
        <v>41.231299999999997</v>
      </c>
      <c r="E1013" s="12">
        <f>CHOOSE( CONTROL!$C$36, 41.2303, 41.2292) * CHOOSE( CONTROL!$C$19, $D$11, 100%, $F$11)</f>
        <v>41.2303</v>
      </c>
      <c r="F1013" s="4">
        <f>CHOOSE( CONTROL!$C$36, 41.8842, 41.8831) * CHOOSE(CONTROL!$C$19, $D$11, 100%, $F$11)</f>
        <v>41.8842</v>
      </c>
      <c r="G1013" s="8">
        <f>CHOOSE( CONTROL!$C$36, 40.6966, 40.6955) * CHOOSE( CONTROL!$C$19, $D$11, 100%, $F$11)</f>
        <v>40.696599999999997</v>
      </c>
      <c r="H1013" s="4">
        <f>CHOOSE( CONTROL!$C$36, 41.5737, 41.5726) * CHOOSE(CONTROL!$C$19, $D$11, 100%, $F$11)</f>
        <v>41.573700000000002</v>
      </c>
      <c r="I1013" s="8">
        <f>CHOOSE( CONTROL!$C$36, 40.1185, 40.1175) * CHOOSE(CONTROL!$C$19, $D$11, 100%, $F$11)</f>
        <v>40.118499999999997</v>
      </c>
      <c r="J1013" s="4">
        <f>CHOOSE( CONTROL!$C$36, 39.9347, 39.9337) * CHOOSE(CONTROL!$C$19, $D$11, 100%, $F$11)</f>
        <v>39.934699999999999</v>
      </c>
      <c r="K1013" s="4"/>
      <c r="L1013" s="9">
        <v>29.306000000000001</v>
      </c>
      <c r="M1013" s="9">
        <v>12.063700000000001</v>
      </c>
      <c r="N1013" s="9">
        <v>4.9444999999999997</v>
      </c>
      <c r="O1013" s="9">
        <v>0.37409999999999999</v>
      </c>
      <c r="P1013" s="9">
        <v>1.2927</v>
      </c>
      <c r="Q1013" s="9">
        <v>19.688099999999999</v>
      </c>
      <c r="R1013" s="9"/>
      <c r="S1013" s="11"/>
    </row>
    <row r="1014" spans="1:19" ht="15.75">
      <c r="A1014" s="13">
        <v>72014</v>
      </c>
      <c r="B1014" s="8">
        <f>CHOOSE( CONTROL!$C$36, 38.5588, 38.5577) * CHOOSE(CONTROL!$C$19, $D$11, 100%, $F$11)</f>
        <v>38.558799999999998</v>
      </c>
      <c r="C1014" s="8">
        <f>CHOOSE( CONTROL!$C$36, 38.5639, 38.5628) * CHOOSE(CONTROL!$C$19, $D$11, 100%, $F$11)</f>
        <v>38.563899999999997</v>
      </c>
      <c r="D1014" s="8">
        <f>CHOOSE( CONTROL!$C$36, 38.565, 38.5639) * CHOOSE( CONTROL!$C$19, $D$11, 100%, $F$11)</f>
        <v>38.564999999999998</v>
      </c>
      <c r="E1014" s="12">
        <f>CHOOSE( CONTROL!$C$36, 38.5641, 38.563) * CHOOSE( CONTROL!$C$19, $D$11, 100%, $F$11)</f>
        <v>38.564100000000003</v>
      </c>
      <c r="F1014" s="4">
        <f>CHOOSE( CONTROL!$C$36, 39.218, 39.2169) * CHOOSE(CONTROL!$C$19, $D$11, 100%, $F$11)</f>
        <v>39.218000000000004</v>
      </c>
      <c r="G1014" s="8">
        <f>CHOOSE( CONTROL!$C$36, 38.0675, 38.0664) * CHOOSE( CONTROL!$C$19, $D$11, 100%, $F$11)</f>
        <v>38.067500000000003</v>
      </c>
      <c r="H1014" s="4">
        <f>CHOOSE( CONTROL!$C$36, 38.9447, 38.9436) * CHOOSE(CONTROL!$C$19, $D$11, 100%, $F$11)</f>
        <v>38.944699999999997</v>
      </c>
      <c r="I1014" s="8">
        <f>CHOOSE( CONTROL!$C$36, 37.5352, 37.5341) * CHOOSE(CONTROL!$C$19, $D$11, 100%, $F$11)</f>
        <v>37.535200000000003</v>
      </c>
      <c r="J1014" s="4">
        <f>CHOOSE( CONTROL!$C$36, 37.3531, 37.352) * CHOOSE(CONTROL!$C$19, $D$11, 100%, $F$11)</f>
        <v>37.353099999999998</v>
      </c>
      <c r="K1014" s="4"/>
      <c r="L1014" s="9">
        <v>26.469899999999999</v>
      </c>
      <c r="M1014" s="9">
        <v>10.8962</v>
      </c>
      <c r="N1014" s="9">
        <v>4.4660000000000002</v>
      </c>
      <c r="O1014" s="9">
        <v>0.33789999999999998</v>
      </c>
      <c r="P1014" s="9">
        <v>1.1676</v>
      </c>
      <c r="Q1014" s="9">
        <v>17.782800000000002</v>
      </c>
      <c r="R1014" s="9"/>
      <c r="S1014" s="11"/>
    </row>
    <row r="1015" spans="1:19" ht="15.75">
      <c r="A1015" s="13">
        <v>72045</v>
      </c>
      <c r="B1015" s="8">
        <f>CHOOSE( CONTROL!$C$36, 37.7376, 37.7365) * CHOOSE(CONTROL!$C$19, $D$11, 100%, $F$11)</f>
        <v>37.7376</v>
      </c>
      <c r="C1015" s="8">
        <f>CHOOSE( CONTROL!$C$36, 37.7427, 37.7416) * CHOOSE(CONTROL!$C$19, $D$11, 100%, $F$11)</f>
        <v>37.742699999999999</v>
      </c>
      <c r="D1015" s="8">
        <f>CHOOSE( CONTROL!$C$36, 37.7432, 37.7421) * CHOOSE( CONTROL!$C$19, $D$11, 100%, $F$11)</f>
        <v>37.743200000000002</v>
      </c>
      <c r="E1015" s="12">
        <f>CHOOSE( CONTROL!$C$36, 37.7425, 37.7414) * CHOOSE( CONTROL!$C$19, $D$11, 100%, $F$11)</f>
        <v>37.7425</v>
      </c>
      <c r="F1015" s="4">
        <f>CHOOSE( CONTROL!$C$36, 38.3968, 38.3958) * CHOOSE(CONTROL!$C$19, $D$11, 100%, $F$11)</f>
        <v>38.396799999999999</v>
      </c>
      <c r="G1015" s="8">
        <f>CHOOSE( CONTROL!$C$36, 37.2573, 37.2563) * CHOOSE( CONTROL!$C$19, $D$11, 100%, $F$11)</f>
        <v>37.257300000000001</v>
      </c>
      <c r="H1015" s="4">
        <f>CHOOSE( CONTROL!$C$36, 38.135, 38.1339) * CHOOSE(CONTROL!$C$19, $D$11, 100%, $F$11)</f>
        <v>38.134999999999998</v>
      </c>
      <c r="I1015" s="8">
        <f>CHOOSE( CONTROL!$C$36, 36.7377, 36.7366) * CHOOSE(CONTROL!$C$19, $D$11, 100%, $F$11)</f>
        <v>36.737699999999997</v>
      </c>
      <c r="J1015" s="4">
        <f>CHOOSE( CONTROL!$C$36, 36.558, 36.5569) * CHOOSE(CONTROL!$C$19, $D$11, 100%, $F$11)</f>
        <v>36.558</v>
      </c>
      <c r="K1015" s="4"/>
      <c r="L1015" s="9">
        <v>29.306000000000001</v>
      </c>
      <c r="M1015" s="9">
        <v>12.063700000000001</v>
      </c>
      <c r="N1015" s="9">
        <v>4.9444999999999997</v>
      </c>
      <c r="O1015" s="9">
        <v>0.37409999999999999</v>
      </c>
      <c r="P1015" s="9">
        <v>1.2927</v>
      </c>
      <c r="Q1015" s="9">
        <v>19.688099999999999</v>
      </c>
      <c r="R1015" s="9"/>
      <c r="S1015" s="11"/>
    </row>
    <row r="1016" spans="1:19" ht="15.75">
      <c r="A1016" s="13">
        <v>72075</v>
      </c>
      <c r="B1016" s="8">
        <f>CHOOSE( CONTROL!$C$36, 38.3122, 38.3111) * CHOOSE(CONTROL!$C$19, $D$11, 100%, $F$11)</f>
        <v>38.312199999999997</v>
      </c>
      <c r="C1016" s="8">
        <f>CHOOSE( CONTROL!$C$36, 38.3167, 38.3156) * CHOOSE(CONTROL!$C$19, $D$11, 100%, $F$11)</f>
        <v>38.316699999999997</v>
      </c>
      <c r="D1016" s="8">
        <f>CHOOSE( CONTROL!$C$36, 38.3371, 38.336) * CHOOSE( CONTROL!$C$19, $D$11, 100%, $F$11)</f>
        <v>38.3371</v>
      </c>
      <c r="E1016" s="12">
        <f>CHOOSE( CONTROL!$C$36, 38.3298, 38.3287) * CHOOSE( CONTROL!$C$19, $D$11, 100%, $F$11)</f>
        <v>38.329799999999999</v>
      </c>
      <c r="F1016" s="4">
        <f>CHOOSE( CONTROL!$C$36, 39.0466, 39.0455) * CHOOSE(CONTROL!$C$19, $D$11, 100%, $F$11)</f>
        <v>39.046599999999998</v>
      </c>
      <c r="G1016" s="8">
        <f>CHOOSE( CONTROL!$C$36, 37.8313, 37.8302) * CHOOSE( CONTROL!$C$19, $D$11, 100%, $F$11)</f>
        <v>37.831299999999999</v>
      </c>
      <c r="H1016" s="4">
        <f>CHOOSE( CONTROL!$C$36, 38.7757, 38.7746) * CHOOSE(CONTROL!$C$19, $D$11, 100%, $F$11)</f>
        <v>38.775700000000001</v>
      </c>
      <c r="I1016" s="8">
        <f>CHOOSE( CONTROL!$C$36, 37.2631, 37.262) * CHOOSE(CONTROL!$C$19, $D$11, 100%, $F$11)</f>
        <v>37.263100000000001</v>
      </c>
      <c r="J1016" s="4">
        <f>CHOOSE( CONTROL!$C$36, 37.1136, 37.1125) * CHOOSE(CONTROL!$C$19, $D$11, 100%, $F$11)</f>
        <v>37.113599999999998</v>
      </c>
      <c r="K1016" s="4"/>
      <c r="L1016" s="9">
        <v>30.092199999999998</v>
      </c>
      <c r="M1016" s="9">
        <v>11.6745</v>
      </c>
      <c r="N1016" s="9">
        <v>4.7850000000000001</v>
      </c>
      <c r="O1016" s="9">
        <v>0.36199999999999999</v>
      </c>
      <c r="P1016" s="9">
        <v>1.2509999999999999</v>
      </c>
      <c r="Q1016" s="9">
        <v>19.053000000000001</v>
      </c>
      <c r="R1016" s="9"/>
      <c r="S1016" s="11"/>
    </row>
    <row r="1017" spans="1:19" ht="15.75">
      <c r="A1017" s="13">
        <v>72106</v>
      </c>
      <c r="B1017" s="8">
        <f>CHOOSE( CONTROL!$C$36, 39.3354, 39.3337) * CHOOSE(CONTROL!$C$19, $D$11, 100%, $F$11)</f>
        <v>39.3354</v>
      </c>
      <c r="C1017" s="8">
        <f>CHOOSE( CONTROL!$C$36, 39.3434, 39.3417) * CHOOSE(CONTROL!$C$19, $D$11, 100%, $F$11)</f>
        <v>39.343400000000003</v>
      </c>
      <c r="D1017" s="8">
        <f>CHOOSE( CONTROL!$C$36, 39.3576, 39.3559) * CHOOSE( CONTROL!$C$19, $D$11, 100%, $F$11)</f>
        <v>39.357599999999998</v>
      </c>
      <c r="E1017" s="12">
        <f>CHOOSE( CONTROL!$C$36, 39.3512, 39.3495) * CHOOSE( CONTROL!$C$19, $D$11, 100%, $F$11)</f>
        <v>39.351199999999999</v>
      </c>
      <c r="F1017" s="4">
        <f>CHOOSE( CONTROL!$C$36, 40.0684, 40.0667) * CHOOSE(CONTROL!$C$19, $D$11, 100%, $F$11)</f>
        <v>40.068399999999997</v>
      </c>
      <c r="G1017" s="8">
        <f>CHOOSE( CONTROL!$C$36, 38.8388, 38.8371) * CHOOSE( CONTROL!$C$19, $D$11, 100%, $F$11)</f>
        <v>38.838799999999999</v>
      </c>
      <c r="H1017" s="4">
        <f>CHOOSE( CONTROL!$C$36, 39.7832, 39.7816) * CHOOSE(CONTROL!$C$19, $D$11, 100%, $F$11)</f>
        <v>39.783200000000001</v>
      </c>
      <c r="I1017" s="8">
        <f>CHOOSE( CONTROL!$C$36, 38.2526, 38.251) * CHOOSE(CONTROL!$C$19, $D$11, 100%, $F$11)</f>
        <v>38.252600000000001</v>
      </c>
      <c r="J1017" s="4">
        <f>CHOOSE( CONTROL!$C$36, 38.103, 38.1014) * CHOOSE(CONTROL!$C$19, $D$11, 100%, $F$11)</f>
        <v>38.103000000000002</v>
      </c>
      <c r="K1017" s="4"/>
      <c r="L1017" s="9">
        <v>30.7165</v>
      </c>
      <c r="M1017" s="9">
        <v>12.063700000000001</v>
      </c>
      <c r="N1017" s="9">
        <v>4.9444999999999997</v>
      </c>
      <c r="O1017" s="9">
        <v>0.37409999999999999</v>
      </c>
      <c r="P1017" s="9">
        <v>1.2927</v>
      </c>
      <c r="Q1017" s="9">
        <v>19.688099999999999</v>
      </c>
      <c r="R1017" s="9"/>
      <c r="S1017" s="11"/>
    </row>
    <row r="1018" spans="1:19" ht="15.75">
      <c r="A1018" s="13">
        <v>72136</v>
      </c>
      <c r="B1018" s="8">
        <f>CHOOSE( CONTROL!$C$36, 38.7027, 38.7011) * CHOOSE(CONTROL!$C$19, $D$11, 100%, $F$11)</f>
        <v>38.7027</v>
      </c>
      <c r="C1018" s="8">
        <f>CHOOSE( CONTROL!$C$36, 38.7107, 38.7091) * CHOOSE(CONTROL!$C$19, $D$11, 100%, $F$11)</f>
        <v>38.710700000000003</v>
      </c>
      <c r="D1018" s="8">
        <f>CHOOSE( CONTROL!$C$36, 38.7251, 38.7235) * CHOOSE( CONTROL!$C$19, $D$11, 100%, $F$11)</f>
        <v>38.725099999999998</v>
      </c>
      <c r="E1018" s="12">
        <f>CHOOSE( CONTROL!$C$36, 38.7187, 38.7171) * CHOOSE( CONTROL!$C$19, $D$11, 100%, $F$11)</f>
        <v>38.718699999999998</v>
      </c>
      <c r="F1018" s="4">
        <f>CHOOSE( CONTROL!$C$36, 39.4358, 39.4341) * CHOOSE(CONTROL!$C$19, $D$11, 100%, $F$11)</f>
        <v>39.4358</v>
      </c>
      <c r="G1018" s="8">
        <f>CHOOSE( CONTROL!$C$36, 38.2151, 38.2135) * CHOOSE( CONTROL!$C$19, $D$11, 100%, $F$11)</f>
        <v>38.2151</v>
      </c>
      <c r="H1018" s="4">
        <f>CHOOSE( CONTROL!$C$36, 39.1594, 39.1578) * CHOOSE(CONTROL!$C$19, $D$11, 100%, $F$11)</f>
        <v>39.159399999999998</v>
      </c>
      <c r="I1018" s="8">
        <f>CHOOSE( CONTROL!$C$36, 37.6404, 37.6388) * CHOOSE(CONTROL!$C$19, $D$11, 100%, $F$11)</f>
        <v>37.6404</v>
      </c>
      <c r="J1018" s="4">
        <f>CHOOSE( CONTROL!$C$36, 37.4904, 37.4888) * CHOOSE(CONTROL!$C$19, $D$11, 100%, $F$11)</f>
        <v>37.490400000000001</v>
      </c>
      <c r="K1018" s="4"/>
      <c r="L1018" s="9">
        <v>29.7257</v>
      </c>
      <c r="M1018" s="9">
        <v>11.6745</v>
      </c>
      <c r="N1018" s="9">
        <v>4.7850000000000001</v>
      </c>
      <c r="O1018" s="9">
        <v>0.36199999999999999</v>
      </c>
      <c r="P1018" s="9">
        <v>1.2509999999999999</v>
      </c>
      <c r="Q1018" s="9">
        <v>19.053000000000001</v>
      </c>
      <c r="R1018" s="9"/>
      <c r="S1018" s="11"/>
    </row>
    <row r="1019" spans="1:19" ht="15.75">
      <c r="A1019" s="13">
        <v>72167</v>
      </c>
      <c r="B1019" s="8">
        <f>CHOOSE( CONTROL!$C$36, 40.3687, 40.367) * CHOOSE(CONTROL!$C$19, $D$11, 100%, $F$11)</f>
        <v>40.368699999999997</v>
      </c>
      <c r="C1019" s="8">
        <f>CHOOSE( CONTROL!$C$36, 40.3767, 40.375) * CHOOSE(CONTROL!$C$19, $D$11, 100%, $F$11)</f>
        <v>40.3767</v>
      </c>
      <c r="D1019" s="8">
        <f>CHOOSE( CONTROL!$C$36, 40.3913, 40.3897) * CHOOSE( CONTROL!$C$19, $D$11, 100%, $F$11)</f>
        <v>40.391300000000001</v>
      </c>
      <c r="E1019" s="12">
        <f>CHOOSE( CONTROL!$C$36, 40.3848, 40.3832) * CHOOSE( CONTROL!$C$19, $D$11, 100%, $F$11)</f>
        <v>40.384799999999998</v>
      </c>
      <c r="F1019" s="4">
        <f>CHOOSE( CONTROL!$C$36, 41.1017, 41.1001) * CHOOSE(CONTROL!$C$19, $D$11, 100%, $F$11)</f>
        <v>41.101700000000001</v>
      </c>
      <c r="G1019" s="8">
        <f>CHOOSE( CONTROL!$C$36, 39.858, 39.8564) * CHOOSE( CONTROL!$C$19, $D$11, 100%, $F$11)</f>
        <v>39.857999999999997</v>
      </c>
      <c r="H1019" s="4">
        <f>CHOOSE( CONTROL!$C$36, 40.8022, 40.8005) * CHOOSE(CONTROL!$C$19, $D$11, 100%, $F$11)</f>
        <v>40.802199999999999</v>
      </c>
      <c r="I1019" s="8">
        <f>CHOOSE( CONTROL!$C$36, 39.2552, 39.2536) * CHOOSE(CONTROL!$C$19, $D$11, 100%, $F$11)</f>
        <v>39.255200000000002</v>
      </c>
      <c r="J1019" s="4">
        <f>CHOOSE( CONTROL!$C$36, 39.1036, 39.102) * CHOOSE(CONTROL!$C$19, $D$11, 100%, $F$11)</f>
        <v>39.1036</v>
      </c>
      <c r="K1019" s="4"/>
      <c r="L1019" s="9">
        <v>30.7165</v>
      </c>
      <c r="M1019" s="9">
        <v>12.063700000000001</v>
      </c>
      <c r="N1019" s="9">
        <v>4.9444999999999997</v>
      </c>
      <c r="O1019" s="9">
        <v>0.37409999999999999</v>
      </c>
      <c r="P1019" s="9">
        <v>1.2927</v>
      </c>
      <c r="Q1019" s="9">
        <v>19.688099999999999</v>
      </c>
      <c r="R1019" s="9"/>
      <c r="S1019" s="11"/>
    </row>
    <row r="1020" spans="1:19" ht="15.75">
      <c r="A1020" s="13">
        <v>72198</v>
      </c>
      <c r="B1020" s="8">
        <f>CHOOSE( CONTROL!$C$36, 37.2515, 37.2498) * CHOOSE(CONTROL!$C$19, $D$11, 100%, $F$11)</f>
        <v>37.2515</v>
      </c>
      <c r="C1020" s="8">
        <f>CHOOSE( CONTROL!$C$36, 37.2595, 37.2578) * CHOOSE(CONTROL!$C$19, $D$11, 100%, $F$11)</f>
        <v>37.259500000000003</v>
      </c>
      <c r="D1020" s="8">
        <f>CHOOSE( CONTROL!$C$36, 37.2742, 37.2725) * CHOOSE( CONTROL!$C$19, $D$11, 100%, $F$11)</f>
        <v>37.2742</v>
      </c>
      <c r="E1020" s="12">
        <f>CHOOSE( CONTROL!$C$36, 37.2677, 37.266) * CHOOSE( CONTROL!$C$19, $D$11, 100%, $F$11)</f>
        <v>37.267699999999998</v>
      </c>
      <c r="F1020" s="4">
        <f>CHOOSE( CONTROL!$C$36, 37.9845, 37.9829) * CHOOSE(CONTROL!$C$19, $D$11, 100%, $F$11)</f>
        <v>37.984499999999997</v>
      </c>
      <c r="G1020" s="8">
        <f>CHOOSE( CONTROL!$C$36, 36.7844, 36.7827) * CHOOSE( CONTROL!$C$19, $D$11, 100%, $F$11)</f>
        <v>36.784399999999998</v>
      </c>
      <c r="H1020" s="4">
        <f>CHOOSE( CONTROL!$C$36, 37.7284, 37.7268) * CHOOSE(CONTROL!$C$19, $D$11, 100%, $F$11)</f>
        <v>37.728400000000001</v>
      </c>
      <c r="I1020" s="8">
        <f>CHOOSE( CONTROL!$C$36, 36.2355, 36.2339) * CHOOSE(CONTROL!$C$19, $D$11, 100%, $F$11)</f>
        <v>36.235500000000002</v>
      </c>
      <c r="J1020" s="4">
        <f>CHOOSE( CONTROL!$C$36, 36.0852, 36.0836) * CHOOSE(CONTROL!$C$19, $D$11, 100%, $F$11)</f>
        <v>36.0852</v>
      </c>
      <c r="K1020" s="4"/>
      <c r="L1020" s="9">
        <v>30.7165</v>
      </c>
      <c r="M1020" s="9">
        <v>12.063700000000001</v>
      </c>
      <c r="N1020" s="9">
        <v>4.9444999999999997</v>
      </c>
      <c r="O1020" s="9">
        <v>0.37409999999999999</v>
      </c>
      <c r="P1020" s="9">
        <v>1.2927</v>
      </c>
      <c r="Q1020" s="9">
        <v>19.688099999999999</v>
      </c>
      <c r="R1020" s="9"/>
      <c r="S1020" s="11"/>
    </row>
    <row r="1021" spans="1:19" ht="15.75">
      <c r="A1021" s="13">
        <v>72228</v>
      </c>
      <c r="B1021" s="8">
        <f>CHOOSE( CONTROL!$C$36, 36.4709, 36.4692) * CHOOSE(CONTROL!$C$19, $D$11, 100%, $F$11)</f>
        <v>36.4709</v>
      </c>
      <c r="C1021" s="8">
        <f>CHOOSE( CONTROL!$C$36, 36.4789, 36.4772) * CHOOSE(CONTROL!$C$19, $D$11, 100%, $F$11)</f>
        <v>36.478900000000003</v>
      </c>
      <c r="D1021" s="8">
        <f>CHOOSE( CONTROL!$C$36, 36.4935, 36.4918) * CHOOSE( CONTROL!$C$19, $D$11, 100%, $F$11)</f>
        <v>36.493499999999997</v>
      </c>
      <c r="E1021" s="12">
        <f>CHOOSE( CONTROL!$C$36, 36.487, 36.4853) * CHOOSE( CONTROL!$C$19, $D$11, 100%, $F$11)</f>
        <v>36.487000000000002</v>
      </c>
      <c r="F1021" s="4">
        <f>CHOOSE( CONTROL!$C$36, 37.2039, 37.2023) * CHOOSE(CONTROL!$C$19, $D$11, 100%, $F$11)</f>
        <v>37.203899999999997</v>
      </c>
      <c r="G1021" s="8">
        <f>CHOOSE( CONTROL!$C$36, 36.0146, 36.013) * CHOOSE( CONTROL!$C$19, $D$11, 100%, $F$11)</f>
        <v>36.014600000000002</v>
      </c>
      <c r="H1021" s="4">
        <f>CHOOSE( CONTROL!$C$36, 36.9587, 36.9571) * CHOOSE(CONTROL!$C$19, $D$11, 100%, $F$11)</f>
        <v>36.9587</v>
      </c>
      <c r="I1021" s="8">
        <f>CHOOSE( CONTROL!$C$36, 35.4789, 35.4773) * CHOOSE(CONTROL!$C$19, $D$11, 100%, $F$11)</f>
        <v>35.478900000000003</v>
      </c>
      <c r="J1021" s="4">
        <f>CHOOSE( CONTROL!$C$36, 35.3294, 35.3278) * CHOOSE(CONTROL!$C$19, $D$11, 100%, $F$11)</f>
        <v>35.3294</v>
      </c>
      <c r="K1021" s="4"/>
      <c r="L1021" s="9">
        <v>29.7257</v>
      </c>
      <c r="M1021" s="9">
        <v>11.6745</v>
      </c>
      <c r="N1021" s="9">
        <v>4.7850000000000001</v>
      </c>
      <c r="O1021" s="9">
        <v>0.36199999999999999</v>
      </c>
      <c r="P1021" s="9">
        <v>1.2509999999999999</v>
      </c>
      <c r="Q1021" s="9">
        <v>19.053000000000001</v>
      </c>
      <c r="R1021" s="9"/>
      <c r="S1021" s="11"/>
    </row>
    <row r="1022" spans="1:19" ht="15.75">
      <c r="A1022" s="13">
        <v>72259</v>
      </c>
      <c r="B1022" s="8">
        <f>CHOOSE( CONTROL!$C$36, 38.0894, 38.0883) * CHOOSE(CONTROL!$C$19, $D$11, 100%, $F$11)</f>
        <v>38.089399999999998</v>
      </c>
      <c r="C1022" s="8">
        <f>CHOOSE( CONTROL!$C$36, 38.0947, 38.0936) * CHOOSE(CONTROL!$C$19, $D$11, 100%, $F$11)</f>
        <v>38.094700000000003</v>
      </c>
      <c r="D1022" s="8">
        <f>CHOOSE( CONTROL!$C$36, 38.1152, 38.1141) * CHOOSE( CONTROL!$C$19, $D$11, 100%, $F$11)</f>
        <v>38.115200000000002</v>
      </c>
      <c r="E1022" s="12">
        <f>CHOOSE( CONTROL!$C$36, 38.1079, 38.1068) * CHOOSE( CONTROL!$C$19, $D$11, 100%, $F$11)</f>
        <v>38.107900000000001</v>
      </c>
      <c r="F1022" s="4">
        <f>CHOOSE( CONTROL!$C$36, 38.8241, 38.823) * CHOOSE(CONTROL!$C$19, $D$11, 100%, $F$11)</f>
        <v>38.824100000000001</v>
      </c>
      <c r="G1022" s="8">
        <f>CHOOSE( CONTROL!$C$36, 37.6124, 37.6113) * CHOOSE( CONTROL!$C$19, $D$11, 100%, $F$11)</f>
        <v>37.612400000000001</v>
      </c>
      <c r="H1022" s="4">
        <f>CHOOSE( CONTROL!$C$36, 38.5563, 38.5553) * CHOOSE(CONTROL!$C$19, $D$11, 100%, $F$11)</f>
        <v>38.5563</v>
      </c>
      <c r="I1022" s="8">
        <f>CHOOSE( CONTROL!$C$36, 37.0496, 37.0485) * CHOOSE(CONTROL!$C$19, $D$11, 100%, $F$11)</f>
        <v>37.049599999999998</v>
      </c>
      <c r="J1022" s="4">
        <f>CHOOSE( CONTROL!$C$36, 36.8982, 36.8972) * CHOOSE(CONTROL!$C$19, $D$11, 100%, $F$11)</f>
        <v>36.898200000000003</v>
      </c>
      <c r="K1022" s="4"/>
      <c r="L1022" s="9">
        <v>31.095300000000002</v>
      </c>
      <c r="M1022" s="9">
        <v>12.063700000000001</v>
      </c>
      <c r="N1022" s="9">
        <v>4.9444999999999997</v>
      </c>
      <c r="O1022" s="9">
        <v>0.37409999999999999</v>
      </c>
      <c r="P1022" s="9">
        <v>1.2927</v>
      </c>
      <c r="Q1022" s="9">
        <v>19.688099999999999</v>
      </c>
      <c r="R1022" s="9"/>
      <c r="S1022" s="11"/>
    </row>
    <row r="1023" spans="1:19" ht="15.75">
      <c r="A1023" s="13">
        <v>72289</v>
      </c>
      <c r="B1023" s="8">
        <f>CHOOSE( CONTROL!$C$36, 41.0806, 41.0795) * CHOOSE(CONTROL!$C$19, $D$11, 100%, $F$11)</f>
        <v>41.080599999999997</v>
      </c>
      <c r="C1023" s="8">
        <f>CHOOSE( CONTROL!$C$36, 41.0857, 41.0846) * CHOOSE(CONTROL!$C$19, $D$11, 100%, $F$11)</f>
        <v>41.085700000000003</v>
      </c>
      <c r="D1023" s="8">
        <f>CHOOSE( CONTROL!$C$36, 41.0649, 41.0638) * CHOOSE( CONTROL!$C$19, $D$11, 100%, $F$11)</f>
        <v>41.064900000000002</v>
      </c>
      <c r="E1023" s="12">
        <f>CHOOSE( CONTROL!$C$36, 41.072, 41.0709) * CHOOSE( CONTROL!$C$19, $D$11, 100%, $F$11)</f>
        <v>41.072000000000003</v>
      </c>
      <c r="F1023" s="4">
        <f>CHOOSE( CONTROL!$C$36, 41.7398, 41.7387) * CHOOSE(CONTROL!$C$19, $D$11, 100%, $F$11)</f>
        <v>41.739800000000002</v>
      </c>
      <c r="G1023" s="8">
        <f>CHOOSE( CONTROL!$C$36, 40.5422, 40.5411) * CHOOSE( CONTROL!$C$19, $D$11, 100%, $F$11)</f>
        <v>40.542200000000001</v>
      </c>
      <c r="H1023" s="4">
        <f>CHOOSE( CONTROL!$C$36, 41.4313, 41.4303) * CHOOSE(CONTROL!$C$19, $D$11, 100%, $F$11)</f>
        <v>41.4313</v>
      </c>
      <c r="I1023" s="8">
        <f>CHOOSE( CONTROL!$C$36, 39.9969, 39.9959) * CHOOSE(CONTROL!$C$19, $D$11, 100%, $F$11)</f>
        <v>39.996899999999997</v>
      </c>
      <c r="J1023" s="4">
        <f>CHOOSE( CONTROL!$C$36, 39.795, 39.7939) * CHOOSE(CONTROL!$C$19, $D$11, 100%, $F$11)</f>
        <v>39.795000000000002</v>
      </c>
      <c r="K1023" s="4"/>
      <c r="L1023" s="9">
        <v>28.360600000000002</v>
      </c>
      <c r="M1023" s="9">
        <v>11.6745</v>
      </c>
      <c r="N1023" s="9">
        <v>4.7850000000000001</v>
      </c>
      <c r="O1023" s="9">
        <v>0.36199999999999999</v>
      </c>
      <c r="P1023" s="9">
        <v>1.2509999999999999</v>
      </c>
      <c r="Q1023" s="9">
        <v>19.053000000000001</v>
      </c>
      <c r="R1023" s="9"/>
      <c r="S1023" s="11"/>
    </row>
    <row r="1024" spans="1:19" ht="15.75">
      <c r="A1024" s="13">
        <v>72320</v>
      </c>
      <c r="B1024" s="8">
        <f>CHOOSE( CONTROL!$C$36, 41.0058, 41.0047) * CHOOSE(CONTROL!$C$19, $D$11, 100%, $F$11)</f>
        <v>41.005800000000001</v>
      </c>
      <c r="C1024" s="8">
        <f>CHOOSE( CONTROL!$C$36, 41.0109, 41.0098) * CHOOSE(CONTROL!$C$19, $D$11, 100%, $F$11)</f>
        <v>41.010899999999999</v>
      </c>
      <c r="D1024" s="8">
        <f>CHOOSE( CONTROL!$C$36, 40.9915, 40.9904) * CHOOSE( CONTROL!$C$19, $D$11, 100%, $F$11)</f>
        <v>40.991500000000002</v>
      </c>
      <c r="E1024" s="12">
        <f>CHOOSE( CONTROL!$C$36, 40.9981, 40.997) * CHOOSE( CONTROL!$C$19, $D$11, 100%, $F$11)</f>
        <v>40.998100000000001</v>
      </c>
      <c r="F1024" s="4">
        <f>CHOOSE( CONTROL!$C$36, 41.6651, 41.664) * CHOOSE(CONTROL!$C$19, $D$11, 100%, $F$11)</f>
        <v>41.665100000000002</v>
      </c>
      <c r="G1024" s="8">
        <f>CHOOSE( CONTROL!$C$36, 40.4695, 40.4684) * CHOOSE( CONTROL!$C$19, $D$11, 100%, $F$11)</f>
        <v>40.469499999999996</v>
      </c>
      <c r="H1024" s="4">
        <f>CHOOSE( CONTROL!$C$36, 41.3576, 41.3566) * CHOOSE(CONTROL!$C$19, $D$11, 100%, $F$11)</f>
        <v>41.357599999999998</v>
      </c>
      <c r="I1024" s="8">
        <f>CHOOSE( CONTROL!$C$36, 39.9288, 39.9277) * CHOOSE(CONTROL!$C$19, $D$11, 100%, $F$11)</f>
        <v>39.928800000000003</v>
      </c>
      <c r="J1024" s="4">
        <f>CHOOSE( CONTROL!$C$36, 39.7226, 39.7215) * CHOOSE(CONTROL!$C$19, $D$11, 100%, $F$11)</f>
        <v>39.7226</v>
      </c>
      <c r="K1024" s="4"/>
      <c r="L1024" s="9">
        <v>29.306000000000001</v>
      </c>
      <c r="M1024" s="9">
        <v>12.063700000000001</v>
      </c>
      <c r="N1024" s="9">
        <v>4.9444999999999997</v>
      </c>
      <c r="O1024" s="9">
        <v>0.37409999999999999</v>
      </c>
      <c r="P1024" s="9">
        <v>1.2927</v>
      </c>
      <c r="Q1024" s="9">
        <v>19.688099999999999</v>
      </c>
      <c r="R1024" s="9"/>
      <c r="S1024" s="11"/>
    </row>
    <row r="1025" spans="1:19" ht="15.75">
      <c r="A1025" s="13">
        <v>72351</v>
      </c>
      <c r="B1025" s="8">
        <f>CHOOSE( CONTROL!$C$36, 42.2158, 42.2147) * CHOOSE(CONTROL!$C$19, $D$11, 100%, $F$11)</f>
        <v>42.215800000000002</v>
      </c>
      <c r="C1025" s="8">
        <f>CHOOSE( CONTROL!$C$36, 42.2209, 42.2198) * CHOOSE(CONTROL!$C$19, $D$11, 100%, $F$11)</f>
        <v>42.2209</v>
      </c>
      <c r="D1025" s="8">
        <f>CHOOSE( CONTROL!$C$36, 42.2222, 42.2211) * CHOOSE( CONTROL!$C$19, $D$11, 100%, $F$11)</f>
        <v>42.222200000000001</v>
      </c>
      <c r="E1025" s="12">
        <f>CHOOSE( CONTROL!$C$36, 42.2212, 42.2201) * CHOOSE( CONTROL!$C$19, $D$11, 100%, $F$11)</f>
        <v>42.221200000000003</v>
      </c>
      <c r="F1025" s="4">
        <f>CHOOSE( CONTROL!$C$36, 42.8751, 42.874) * CHOOSE(CONTROL!$C$19, $D$11, 100%, $F$11)</f>
        <v>42.875100000000003</v>
      </c>
      <c r="G1025" s="8">
        <f>CHOOSE( CONTROL!$C$36, 41.6737, 41.6726) * CHOOSE( CONTROL!$C$19, $D$11, 100%, $F$11)</f>
        <v>41.673699999999997</v>
      </c>
      <c r="H1025" s="4">
        <f>CHOOSE( CONTROL!$C$36, 42.5508, 42.5497) * CHOOSE(CONTROL!$C$19, $D$11, 100%, $F$11)</f>
        <v>42.550800000000002</v>
      </c>
      <c r="I1025" s="8">
        <f>CHOOSE( CONTROL!$C$36, 41.0785, 41.0775) * CHOOSE(CONTROL!$C$19, $D$11, 100%, $F$11)</f>
        <v>41.078499999999998</v>
      </c>
      <c r="J1025" s="4">
        <f>CHOOSE( CONTROL!$C$36, 40.8943, 40.8932) * CHOOSE(CONTROL!$C$19, $D$11, 100%, $F$11)</f>
        <v>40.894300000000001</v>
      </c>
      <c r="K1025" s="4"/>
      <c r="L1025" s="9">
        <v>29.306000000000001</v>
      </c>
      <c r="M1025" s="9">
        <v>12.063700000000001</v>
      </c>
      <c r="N1025" s="9">
        <v>4.9444999999999997</v>
      </c>
      <c r="O1025" s="9">
        <v>0.37409999999999999</v>
      </c>
      <c r="P1025" s="9">
        <v>1.2927</v>
      </c>
      <c r="Q1025" s="9">
        <v>19.688099999999999</v>
      </c>
      <c r="R1025" s="9"/>
      <c r="S1025" s="11"/>
    </row>
    <row r="1026" spans="1:19" ht="15.75">
      <c r="A1026" s="13">
        <v>72379</v>
      </c>
      <c r="B1026" s="8">
        <f>CHOOSE( CONTROL!$C$36, 39.4856, 39.4845) * CHOOSE(CONTROL!$C$19, $D$11, 100%, $F$11)</f>
        <v>39.485599999999998</v>
      </c>
      <c r="C1026" s="8">
        <f>CHOOSE( CONTROL!$C$36, 39.4907, 39.4896) * CHOOSE(CONTROL!$C$19, $D$11, 100%, $F$11)</f>
        <v>39.490699999999997</v>
      </c>
      <c r="D1026" s="8">
        <f>CHOOSE( CONTROL!$C$36, 39.4919, 39.4908) * CHOOSE( CONTROL!$C$19, $D$11, 100%, $F$11)</f>
        <v>39.491900000000001</v>
      </c>
      <c r="E1026" s="12">
        <f>CHOOSE( CONTROL!$C$36, 39.4909, 39.4898) * CHOOSE( CONTROL!$C$19, $D$11, 100%, $F$11)</f>
        <v>39.490900000000003</v>
      </c>
      <c r="F1026" s="4">
        <f>CHOOSE( CONTROL!$C$36, 40.1449, 40.1438) * CHOOSE(CONTROL!$C$19, $D$11, 100%, $F$11)</f>
        <v>40.1449</v>
      </c>
      <c r="G1026" s="8">
        <f>CHOOSE( CONTROL!$C$36, 38.9814, 38.9804) * CHOOSE( CONTROL!$C$19, $D$11, 100%, $F$11)</f>
        <v>38.981400000000001</v>
      </c>
      <c r="H1026" s="4">
        <f>CHOOSE( CONTROL!$C$36, 39.8586, 39.8576) * CHOOSE(CONTROL!$C$19, $D$11, 100%, $F$11)</f>
        <v>39.858600000000003</v>
      </c>
      <c r="I1026" s="8">
        <f>CHOOSE( CONTROL!$C$36, 38.4331, 38.4321) * CHOOSE(CONTROL!$C$19, $D$11, 100%, $F$11)</f>
        <v>38.433100000000003</v>
      </c>
      <c r="J1026" s="4">
        <f>CHOOSE( CONTROL!$C$36, 38.2506, 38.2495) * CHOOSE(CONTROL!$C$19, $D$11, 100%, $F$11)</f>
        <v>38.250599999999999</v>
      </c>
      <c r="K1026" s="4"/>
      <c r="L1026" s="9">
        <v>26.469899999999999</v>
      </c>
      <c r="M1026" s="9">
        <v>10.8962</v>
      </c>
      <c r="N1026" s="9">
        <v>4.4660000000000002</v>
      </c>
      <c r="O1026" s="9">
        <v>0.33789999999999998</v>
      </c>
      <c r="P1026" s="9">
        <v>1.1676</v>
      </c>
      <c r="Q1026" s="9">
        <v>17.782800000000002</v>
      </c>
      <c r="R1026" s="9"/>
      <c r="S1026" s="11"/>
    </row>
    <row r="1027" spans="1:19" ht="15.75">
      <c r="A1027" s="13">
        <v>72410</v>
      </c>
      <c r="B1027" s="8">
        <f>CHOOSE( CONTROL!$C$36, 38.6447, 38.6436) * CHOOSE(CONTROL!$C$19, $D$11, 100%, $F$11)</f>
        <v>38.6447</v>
      </c>
      <c r="C1027" s="8">
        <f>CHOOSE( CONTROL!$C$36, 38.6498, 38.6487) * CHOOSE(CONTROL!$C$19, $D$11, 100%, $F$11)</f>
        <v>38.649799999999999</v>
      </c>
      <c r="D1027" s="8">
        <f>CHOOSE( CONTROL!$C$36, 38.6503, 38.6492) * CHOOSE( CONTROL!$C$19, $D$11, 100%, $F$11)</f>
        <v>38.650300000000001</v>
      </c>
      <c r="E1027" s="12">
        <f>CHOOSE( CONTROL!$C$36, 38.6496, 38.6485) * CHOOSE( CONTROL!$C$19, $D$11, 100%, $F$11)</f>
        <v>38.6496</v>
      </c>
      <c r="F1027" s="4">
        <f>CHOOSE( CONTROL!$C$36, 39.304, 39.3029) * CHOOSE(CONTROL!$C$19, $D$11, 100%, $F$11)</f>
        <v>39.304000000000002</v>
      </c>
      <c r="G1027" s="8">
        <f>CHOOSE( CONTROL!$C$36, 38.1518, 38.1507) * CHOOSE( CONTROL!$C$19, $D$11, 100%, $F$11)</f>
        <v>38.151800000000001</v>
      </c>
      <c r="H1027" s="4">
        <f>CHOOSE( CONTROL!$C$36, 39.0295, 39.0284) * CHOOSE(CONTROL!$C$19, $D$11, 100%, $F$11)</f>
        <v>39.029499999999999</v>
      </c>
      <c r="I1027" s="8">
        <f>CHOOSE( CONTROL!$C$36, 37.6165, 37.6154) * CHOOSE(CONTROL!$C$19, $D$11, 100%, $F$11)</f>
        <v>37.616500000000002</v>
      </c>
      <c r="J1027" s="4">
        <f>CHOOSE( CONTROL!$C$36, 37.4363, 37.4353) * CHOOSE(CONTROL!$C$19, $D$11, 100%, $F$11)</f>
        <v>37.436300000000003</v>
      </c>
      <c r="K1027" s="4"/>
      <c r="L1027" s="9">
        <v>29.306000000000001</v>
      </c>
      <c r="M1027" s="9">
        <v>12.063700000000001</v>
      </c>
      <c r="N1027" s="9">
        <v>4.9444999999999997</v>
      </c>
      <c r="O1027" s="9">
        <v>0.37409999999999999</v>
      </c>
      <c r="P1027" s="9">
        <v>1.2927</v>
      </c>
      <c r="Q1027" s="9">
        <v>19.688099999999999</v>
      </c>
      <c r="R1027" s="9"/>
      <c r="S1027" s="11"/>
    </row>
    <row r="1028" spans="1:19" ht="15.75">
      <c r="A1028" s="13">
        <v>72440</v>
      </c>
      <c r="B1028" s="8">
        <f>CHOOSE( CONTROL!$C$36, 39.2331, 39.232) * CHOOSE(CONTROL!$C$19, $D$11, 100%, $F$11)</f>
        <v>39.2331</v>
      </c>
      <c r="C1028" s="8">
        <f>CHOOSE( CONTROL!$C$36, 39.2376, 39.2365) * CHOOSE(CONTROL!$C$19, $D$11, 100%, $F$11)</f>
        <v>39.2376</v>
      </c>
      <c r="D1028" s="8">
        <f>CHOOSE( CONTROL!$C$36, 39.258, 39.2569) * CHOOSE( CONTROL!$C$19, $D$11, 100%, $F$11)</f>
        <v>39.258000000000003</v>
      </c>
      <c r="E1028" s="12">
        <f>CHOOSE( CONTROL!$C$36, 39.2507, 39.2496) * CHOOSE( CONTROL!$C$19, $D$11, 100%, $F$11)</f>
        <v>39.250700000000002</v>
      </c>
      <c r="F1028" s="4">
        <f>CHOOSE( CONTROL!$C$36, 39.9675, 39.9664) * CHOOSE(CONTROL!$C$19, $D$11, 100%, $F$11)</f>
        <v>39.967500000000001</v>
      </c>
      <c r="G1028" s="8">
        <f>CHOOSE( CONTROL!$C$36, 38.7393, 38.7382) * CHOOSE( CONTROL!$C$19, $D$11, 100%, $F$11)</f>
        <v>38.7393</v>
      </c>
      <c r="H1028" s="4">
        <f>CHOOSE( CONTROL!$C$36, 39.6837, 39.6827) * CHOOSE(CONTROL!$C$19, $D$11, 100%, $F$11)</f>
        <v>39.683700000000002</v>
      </c>
      <c r="I1028" s="8">
        <f>CHOOSE( CONTROL!$C$36, 38.1552, 38.1542) * CHOOSE(CONTROL!$C$19, $D$11, 100%, $F$11)</f>
        <v>38.155200000000001</v>
      </c>
      <c r="J1028" s="4">
        <f>CHOOSE( CONTROL!$C$36, 38.0053, 38.0043) * CHOOSE(CONTROL!$C$19, $D$11, 100%, $F$11)</f>
        <v>38.005299999999998</v>
      </c>
      <c r="K1028" s="4"/>
      <c r="L1028" s="9">
        <v>30.092199999999998</v>
      </c>
      <c r="M1028" s="9">
        <v>11.6745</v>
      </c>
      <c r="N1028" s="9">
        <v>4.7850000000000001</v>
      </c>
      <c r="O1028" s="9">
        <v>0.36199999999999999</v>
      </c>
      <c r="P1028" s="9">
        <v>1.2509999999999999</v>
      </c>
      <c r="Q1028" s="9">
        <v>19.053000000000001</v>
      </c>
      <c r="R1028" s="9"/>
      <c r="S1028" s="11"/>
    </row>
    <row r="1029" spans="1:19" ht="15.75">
      <c r="A1029" s="13">
        <v>72471</v>
      </c>
      <c r="B1029" s="8">
        <f>CHOOSE( CONTROL!$C$36, 40.2808, 40.2792) * CHOOSE(CONTROL!$C$19, $D$11, 100%, $F$11)</f>
        <v>40.280799999999999</v>
      </c>
      <c r="C1029" s="8">
        <f>CHOOSE( CONTROL!$C$36, 40.2888, 40.2872) * CHOOSE(CONTROL!$C$19, $D$11, 100%, $F$11)</f>
        <v>40.288800000000002</v>
      </c>
      <c r="D1029" s="8">
        <f>CHOOSE( CONTROL!$C$36, 40.303, 40.3013) * CHOOSE( CONTROL!$C$19, $D$11, 100%, $F$11)</f>
        <v>40.302999999999997</v>
      </c>
      <c r="E1029" s="12">
        <f>CHOOSE( CONTROL!$C$36, 40.2966, 40.295) * CHOOSE( CONTROL!$C$19, $D$11, 100%, $F$11)</f>
        <v>40.296599999999998</v>
      </c>
      <c r="F1029" s="4">
        <f>CHOOSE( CONTROL!$C$36, 41.0138, 41.0122) * CHOOSE(CONTROL!$C$19, $D$11, 100%, $F$11)</f>
        <v>41.013800000000003</v>
      </c>
      <c r="G1029" s="8">
        <f>CHOOSE( CONTROL!$C$36, 39.771, 39.7694) * CHOOSE( CONTROL!$C$19, $D$11, 100%, $F$11)</f>
        <v>39.771000000000001</v>
      </c>
      <c r="H1029" s="4">
        <f>CHOOSE( CONTROL!$C$36, 40.7155, 40.7139) * CHOOSE(CONTROL!$C$19, $D$11, 100%, $F$11)</f>
        <v>40.715499999999999</v>
      </c>
      <c r="I1029" s="8">
        <f>CHOOSE( CONTROL!$C$36, 39.1686, 39.1669) * CHOOSE(CONTROL!$C$19, $D$11, 100%, $F$11)</f>
        <v>39.168599999999998</v>
      </c>
      <c r="J1029" s="4">
        <f>CHOOSE( CONTROL!$C$36, 39.0185, 39.0169) * CHOOSE(CONTROL!$C$19, $D$11, 100%, $F$11)</f>
        <v>39.018500000000003</v>
      </c>
      <c r="K1029" s="4"/>
      <c r="L1029" s="9">
        <v>30.7165</v>
      </c>
      <c r="M1029" s="9">
        <v>12.063700000000001</v>
      </c>
      <c r="N1029" s="9">
        <v>4.9444999999999997</v>
      </c>
      <c r="O1029" s="9">
        <v>0.37409999999999999</v>
      </c>
      <c r="P1029" s="9">
        <v>1.2927</v>
      </c>
      <c r="Q1029" s="9">
        <v>19.688099999999999</v>
      </c>
      <c r="R1029" s="9"/>
      <c r="S1029" s="11"/>
    </row>
    <row r="1030" spans="1:19" ht="15.75">
      <c r="A1030" s="13">
        <v>72501</v>
      </c>
      <c r="B1030" s="8">
        <f>CHOOSE( CONTROL!$C$36, 39.633, 39.6313) * CHOOSE(CONTROL!$C$19, $D$11, 100%, $F$11)</f>
        <v>39.633000000000003</v>
      </c>
      <c r="C1030" s="8">
        <f>CHOOSE( CONTROL!$C$36, 39.641, 39.6393) * CHOOSE(CONTROL!$C$19, $D$11, 100%, $F$11)</f>
        <v>39.640999999999998</v>
      </c>
      <c r="D1030" s="8">
        <f>CHOOSE( CONTROL!$C$36, 39.6554, 39.6537) * CHOOSE( CONTROL!$C$19, $D$11, 100%, $F$11)</f>
        <v>39.6554</v>
      </c>
      <c r="E1030" s="12">
        <f>CHOOSE( CONTROL!$C$36, 39.649, 39.6473) * CHOOSE( CONTROL!$C$19, $D$11, 100%, $F$11)</f>
        <v>39.649000000000001</v>
      </c>
      <c r="F1030" s="4">
        <f>CHOOSE( CONTROL!$C$36, 40.366, 40.3643) * CHOOSE(CONTROL!$C$19, $D$11, 100%, $F$11)</f>
        <v>40.366</v>
      </c>
      <c r="G1030" s="8">
        <f>CHOOSE( CONTROL!$C$36, 39.1324, 39.1307) * CHOOSE( CONTROL!$C$19, $D$11, 100%, $F$11)</f>
        <v>39.132399999999997</v>
      </c>
      <c r="H1030" s="4">
        <f>CHOOSE( CONTROL!$C$36, 40.0767, 40.0751) * CHOOSE(CONTROL!$C$19, $D$11, 100%, $F$11)</f>
        <v>40.076700000000002</v>
      </c>
      <c r="I1030" s="8">
        <f>CHOOSE( CONTROL!$C$36, 38.5416, 38.54) * CHOOSE(CONTROL!$C$19, $D$11, 100%, $F$11)</f>
        <v>38.541600000000003</v>
      </c>
      <c r="J1030" s="4">
        <f>CHOOSE( CONTROL!$C$36, 38.3912, 38.3896) * CHOOSE(CONTROL!$C$19, $D$11, 100%, $F$11)</f>
        <v>38.391199999999998</v>
      </c>
      <c r="K1030" s="4"/>
      <c r="L1030" s="9">
        <v>29.7257</v>
      </c>
      <c r="M1030" s="9">
        <v>11.6745</v>
      </c>
      <c r="N1030" s="9">
        <v>4.7850000000000001</v>
      </c>
      <c r="O1030" s="9">
        <v>0.36199999999999999</v>
      </c>
      <c r="P1030" s="9">
        <v>1.2509999999999999</v>
      </c>
      <c r="Q1030" s="9">
        <v>19.053000000000001</v>
      </c>
      <c r="R1030" s="9"/>
      <c r="S1030" s="11"/>
    </row>
    <row r="1031" spans="1:19" ht="15.75">
      <c r="A1031" s="13">
        <v>72532</v>
      </c>
      <c r="B1031" s="8">
        <f>CHOOSE( CONTROL!$C$36, 41.339, 41.3373) * CHOOSE(CONTROL!$C$19, $D$11, 100%, $F$11)</f>
        <v>41.338999999999999</v>
      </c>
      <c r="C1031" s="8">
        <f>CHOOSE( CONTROL!$C$36, 41.347, 41.3453) * CHOOSE(CONTROL!$C$19, $D$11, 100%, $F$11)</f>
        <v>41.347000000000001</v>
      </c>
      <c r="D1031" s="8">
        <f>CHOOSE( CONTROL!$C$36, 41.3616, 41.3599) * CHOOSE( CONTROL!$C$19, $D$11, 100%, $F$11)</f>
        <v>41.361600000000003</v>
      </c>
      <c r="E1031" s="12">
        <f>CHOOSE( CONTROL!$C$36, 41.3551, 41.3534) * CHOOSE( CONTROL!$C$19, $D$11, 100%, $F$11)</f>
        <v>41.3551</v>
      </c>
      <c r="F1031" s="4">
        <f>CHOOSE( CONTROL!$C$36, 42.072, 42.0703) * CHOOSE(CONTROL!$C$19, $D$11, 100%, $F$11)</f>
        <v>42.072000000000003</v>
      </c>
      <c r="G1031" s="8">
        <f>CHOOSE( CONTROL!$C$36, 40.8148, 40.8131) * CHOOSE( CONTROL!$C$19, $D$11, 100%, $F$11)</f>
        <v>40.814799999999998</v>
      </c>
      <c r="H1031" s="4">
        <f>CHOOSE( CONTROL!$C$36, 41.7589, 41.7573) * CHOOSE(CONTROL!$C$19, $D$11, 100%, $F$11)</f>
        <v>41.758899999999997</v>
      </c>
      <c r="I1031" s="8">
        <f>CHOOSE( CONTROL!$C$36, 40.1952, 40.1936) * CHOOSE(CONTROL!$C$19, $D$11, 100%, $F$11)</f>
        <v>40.1952</v>
      </c>
      <c r="J1031" s="4">
        <f>CHOOSE( CONTROL!$C$36, 40.0431, 40.0415) * CHOOSE(CONTROL!$C$19, $D$11, 100%, $F$11)</f>
        <v>40.043100000000003</v>
      </c>
      <c r="K1031" s="4"/>
      <c r="L1031" s="9">
        <v>30.7165</v>
      </c>
      <c r="M1031" s="9">
        <v>12.063700000000001</v>
      </c>
      <c r="N1031" s="9">
        <v>4.9444999999999997</v>
      </c>
      <c r="O1031" s="9">
        <v>0.37409999999999999</v>
      </c>
      <c r="P1031" s="9">
        <v>1.2927</v>
      </c>
      <c r="Q1031" s="9">
        <v>19.688099999999999</v>
      </c>
      <c r="R1031" s="9"/>
      <c r="S1031" s="11"/>
    </row>
    <row r="1032" spans="1:19" ht="15.75">
      <c r="A1032" s="13">
        <v>72563</v>
      </c>
      <c r="B1032" s="8">
        <f>CHOOSE( CONTROL!$C$36, 38.1469, 38.1452) * CHOOSE(CONTROL!$C$19, $D$11, 100%, $F$11)</f>
        <v>38.146900000000002</v>
      </c>
      <c r="C1032" s="8">
        <f>CHOOSE( CONTROL!$C$36, 38.1549, 38.1532) * CHOOSE(CONTROL!$C$19, $D$11, 100%, $F$11)</f>
        <v>38.154899999999998</v>
      </c>
      <c r="D1032" s="8">
        <f>CHOOSE( CONTROL!$C$36, 38.1696, 38.1679) * CHOOSE( CONTROL!$C$19, $D$11, 100%, $F$11)</f>
        <v>38.169600000000003</v>
      </c>
      <c r="E1032" s="12">
        <f>CHOOSE( CONTROL!$C$36, 38.1631, 38.1614) * CHOOSE( CONTROL!$C$19, $D$11, 100%, $F$11)</f>
        <v>38.1631</v>
      </c>
      <c r="F1032" s="4">
        <f>CHOOSE( CONTROL!$C$36, 38.8799, 38.8782) * CHOOSE(CONTROL!$C$19, $D$11, 100%, $F$11)</f>
        <v>38.879899999999999</v>
      </c>
      <c r="G1032" s="8">
        <f>CHOOSE( CONTROL!$C$36, 37.6673, 37.6656) * CHOOSE( CONTROL!$C$19, $D$11, 100%, $F$11)</f>
        <v>37.667299999999997</v>
      </c>
      <c r="H1032" s="4">
        <f>CHOOSE( CONTROL!$C$36, 38.6113, 38.6097) * CHOOSE(CONTROL!$C$19, $D$11, 100%, $F$11)</f>
        <v>38.6113</v>
      </c>
      <c r="I1032" s="8">
        <f>CHOOSE( CONTROL!$C$36, 37.1029, 37.1013) * CHOOSE(CONTROL!$C$19, $D$11, 100%, $F$11)</f>
        <v>37.102899999999998</v>
      </c>
      <c r="J1032" s="4">
        <f>CHOOSE( CONTROL!$C$36, 36.9522, 36.9506) * CHOOSE(CONTROL!$C$19, $D$11, 100%, $F$11)</f>
        <v>36.952199999999998</v>
      </c>
      <c r="K1032" s="4"/>
      <c r="L1032" s="9">
        <v>30.7165</v>
      </c>
      <c r="M1032" s="9">
        <v>12.063700000000001</v>
      </c>
      <c r="N1032" s="9">
        <v>4.9444999999999997</v>
      </c>
      <c r="O1032" s="9">
        <v>0.37409999999999999</v>
      </c>
      <c r="P1032" s="9">
        <v>1.2927</v>
      </c>
      <c r="Q1032" s="9">
        <v>19.688099999999999</v>
      </c>
      <c r="R1032" s="9"/>
      <c r="S1032" s="11"/>
    </row>
    <row r="1033" spans="1:19" ht="15.75">
      <c r="A1033" s="13">
        <v>72593</v>
      </c>
      <c r="B1033" s="8">
        <f>CHOOSE( CONTROL!$C$36, 37.3475, 37.3459) * CHOOSE(CONTROL!$C$19, $D$11, 100%, $F$11)</f>
        <v>37.347499999999997</v>
      </c>
      <c r="C1033" s="8">
        <f>CHOOSE( CONTROL!$C$36, 37.3555, 37.3539) * CHOOSE(CONTROL!$C$19, $D$11, 100%, $F$11)</f>
        <v>37.355499999999999</v>
      </c>
      <c r="D1033" s="8">
        <f>CHOOSE( CONTROL!$C$36, 37.3701, 37.3685) * CHOOSE( CONTROL!$C$19, $D$11, 100%, $F$11)</f>
        <v>37.370100000000001</v>
      </c>
      <c r="E1033" s="12">
        <f>CHOOSE( CONTROL!$C$36, 37.3636, 37.362) * CHOOSE( CONTROL!$C$19, $D$11, 100%, $F$11)</f>
        <v>37.363599999999998</v>
      </c>
      <c r="F1033" s="4">
        <f>CHOOSE( CONTROL!$C$36, 38.0806, 38.0789) * CHOOSE(CONTROL!$C$19, $D$11, 100%, $F$11)</f>
        <v>38.080599999999997</v>
      </c>
      <c r="G1033" s="8">
        <f>CHOOSE( CONTROL!$C$36, 36.879, 36.8773) * CHOOSE( CONTROL!$C$19, $D$11, 100%, $F$11)</f>
        <v>36.878999999999998</v>
      </c>
      <c r="H1033" s="4">
        <f>CHOOSE( CONTROL!$C$36, 37.8231, 37.8215) * CHOOSE(CONTROL!$C$19, $D$11, 100%, $F$11)</f>
        <v>37.823099999999997</v>
      </c>
      <c r="I1033" s="8">
        <f>CHOOSE( CONTROL!$C$36, 36.3282, 36.3266) * CHOOSE(CONTROL!$C$19, $D$11, 100%, $F$11)</f>
        <v>36.328200000000002</v>
      </c>
      <c r="J1033" s="4">
        <f>CHOOSE( CONTROL!$C$36, 36.1782, 36.1766) * CHOOSE(CONTROL!$C$19, $D$11, 100%, $F$11)</f>
        <v>36.178199999999997</v>
      </c>
      <c r="K1033" s="4"/>
      <c r="L1033" s="9">
        <v>29.7257</v>
      </c>
      <c r="M1033" s="9">
        <v>11.6745</v>
      </c>
      <c r="N1033" s="9">
        <v>4.7850000000000001</v>
      </c>
      <c r="O1033" s="9">
        <v>0.36199999999999999</v>
      </c>
      <c r="P1033" s="9">
        <v>1.2509999999999999</v>
      </c>
      <c r="Q1033" s="9">
        <v>19.053000000000001</v>
      </c>
      <c r="R1033" s="9"/>
      <c r="S1033" s="11"/>
    </row>
    <row r="1034" spans="1:19" ht="15.75">
      <c r="A1034" s="13">
        <v>72624</v>
      </c>
      <c r="B1034" s="8">
        <f>CHOOSE( CONTROL!$C$36, 39.0049, 39.0039) * CHOOSE(CONTROL!$C$19, $D$11, 100%, $F$11)</f>
        <v>39.004899999999999</v>
      </c>
      <c r="C1034" s="8">
        <f>CHOOSE( CONTROL!$C$36, 39.0103, 39.0092) * CHOOSE(CONTROL!$C$19, $D$11, 100%, $F$11)</f>
        <v>39.010300000000001</v>
      </c>
      <c r="D1034" s="8">
        <f>CHOOSE( CONTROL!$C$36, 39.0308, 39.0297) * CHOOSE( CONTROL!$C$19, $D$11, 100%, $F$11)</f>
        <v>39.030799999999999</v>
      </c>
      <c r="E1034" s="12">
        <f>CHOOSE( CONTROL!$C$36, 39.0235, 39.0224) * CHOOSE( CONTROL!$C$19, $D$11, 100%, $F$11)</f>
        <v>39.023499999999999</v>
      </c>
      <c r="F1034" s="4">
        <f>CHOOSE( CONTROL!$C$36, 39.7397, 39.7386) * CHOOSE(CONTROL!$C$19, $D$11, 100%, $F$11)</f>
        <v>39.739699999999999</v>
      </c>
      <c r="G1034" s="8">
        <f>CHOOSE( CONTROL!$C$36, 38.5152, 38.5141) * CHOOSE( CONTROL!$C$19, $D$11, 100%, $F$11)</f>
        <v>38.5152</v>
      </c>
      <c r="H1034" s="4">
        <f>CHOOSE( CONTROL!$C$36, 39.4591, 39.4581) * CHOOSE(CONTROL!$C$19, $D$11, 100%, $F$11)</f>
        <v>39.459099999999999</v>
      </c>
      <c r="I1034" s="8">
        <f>CHOOSE( CONTROL!$C$36, 37.9366, 37.9355) * CHOOSE(CONTROL!$C$19, $D$11, 100%, $F$11)</f>
        <v>37.936599999999999</v>
      </c>
      <c r="J1034" s="4">
        <f>CHOOSE( CONTROL!$C$36, 37.7847, 37.7837) * CHOOSE(CONTROL!$C$19, $D$11, 100%, $F$11)</f>
        <v>37.784700000000001</v>
      </c>
      <c r="K1034" s="4"/>
      <c r="L1034" s="9">
        <v>31.095300000000002</v>
      </c>
      <c r="M1034" s="9">
        <v>12.063700000000001</v>
      </c>
      <c r="N1034" s="9">
        <v>4.9444999999999997</v>
      </c>
      <c r="O1034" s="9">
        <v>0.37409999999999999</v>
      </c>
      <c r="P1034" s="9">
        <v>1.2927</v>
      </c>
      <c r="Q1034" s="9">
        <v>19.688099999999999</v>
      </c>
      <c r="R1034" s="9"/>
      <c r="S1034" s="11"/>
    </row>
    <row r="1035" spans="1:19" ht="15.75">
      <c r="A1035" s="13">
        <v>72654</v>
      </c>
      <c r="B1035" s="8">
        <f>CHOOSE( CONTROL!$C$36, 42.068, 42.0669) * CHOOSE(CONTROL!$C$19, $D$11, 100%, $F$11)</f>
        <v>42.067999999999998</v>
      </c>
      <c r="C1035" s="8">
        <f>CHOOSE( CONTROL!$C$36, 42.0731, 42.072) * CHOOSE(CONTROL!$C$19, $D$11, 100%, $F$11)</f>
        <v>42.073099999999997</v>
      </c>
      <c r="D1035" s="8">
        <f>CHOOSE( CONTROL!$C$36, 42.0523, 42.0512) * CHOOSE( CONTROL!$C$19, $D$11, 100%, $F$11)</f>
        <v>42.052300000000002</v>
      </c>
      <c r="E1035" s="12">
        <f>CHOOSE( CONTROL!$C$36, 42.0594, 42.0583) * CHOOSE( CONTROL!$C$19, $D$11, 100%, $F$11)</f>
        <v>42.059399999999997</v>
      </c>
      <c r="F1035" s="4">
        <f>CHOOSE( CONTROL!$C$36, 42.7273, 42.7262) * CHOOSE(CONTROL!$C$19, $D$11, 100%, $F$11)</f>
        <v>42.7273</v>
      </c>
      <c r="G1035" s="8">
        <f>CHOOSE( CONTROL!$C$36, 41.5159, 41.5148) * CHOOSE( CONTROL!$C$19, $D$11, 100%, $F$11)</f>
        <v>41.515900000000002</v>
      </c>
      <c r="H1035" s="4">
        <f>CHOOSE( CONTROL!$C$36, 42.405, 42.4039) * CHOOSE(CONTROL!$C$19, $D$11, 100%, $F$11)</f>
        <v>42.405000000000001</v>
      </c>
      <c r="I1035" s="8">
        <f>CHOOSE( CONTROL!$C$36, 40.9535, 40.9525) * CHOOSE(CONTROL!$C$19, $D$11, 100%, $F$11)</f>
        <v>40.953499999999998</v>
      </c>
      <c r="J1035" s="4">
        <f>CHOOSE( CONTROL!$C$36, 40.7511, 40.7501) * CHOOSE(CONTROL!$C$19, $D$11, 100%, $F$11)</f>
        <v>40.751100000000001</v>
      </c>
      <c r="K1035" s="4"/>
      <c r="L1035" s="9">
        <v>28.360600000000002</v>
      </c>
      <c r="M1035" s="9">
        <v>11.6745</v>
      </c>
      <c r="N1035" s="9">
        <v>4.7850000000000001</v>
      </c>
      <c r="O1035" s="9">
        <v>0.36199999999999999</v>
      </c>
      <c r="P1035" s="9">
        <v>1.2509999999999999</v>
      </c>
      <c r="Q1035" s="9">
        <v>19.053000000000001</v>
      </c>
      <c r="R1035" s="9"/>
      <c r="S1035" s="11"/>
    </row>
    <row r="1036" spans="1:19" ht="15.75">
      <c r="A1036" s="13">
        <v>72685</v>
      </c>
      <c r="B1036" s="8">
        <f>CHOOSE( CONTROL!$C$36, 41.9915, 41.9904) * CHOOSE(CONTROL!$C$19, $D$11, 100%, $F$11)</f>
        <v>41.991500000000002</v>
      </c>
      <c r="C1036" s="8">
        <f>CHOOSE( CONTROL!$C$36, 41.9966, 41.9955) * CHOOSE(CONTROL!$C$19, $D$11, 100%, $F$11)</f>
        <v>41.996600000000001</v>
      </c>
      <c r="D1036" s="8">
        <f>CHOOSE( CONTROL!$C$36, 41.9772, 41.9761) * CHOOSE( CONTROL!$C$19, $D$11, 100%, $F$11)</f>
        <v>41.977200000000003</v>
      </c>
      <c r="E1036" s="12">
        <f>CHOOSE( CONTROL!$C$36, 41.9838, 41.9827) * CHOOSE( CONTROL!$C$19, $D$11, 100%, $F$11)</f>
        <v>41.983800000000002</v>
      </c>
      <c r="F1036" s="4">
        <f>CHOOSE( CONTROL!$C$36, 42.6507, 42.6496) * CHOOSE(CONTROL!$C$19, $D$11, 100%, $F$11)</f>
        <v>42.650700000000001</v>
      </c>
      <c r="G1036" s="8">
        <f>CHOOSE( CONTROL!$C$36, 41.4414, 41.4403) * CHOOSE( CONTROL!$C$19, $D$11, 100%, $F$11)</f>
        <v>41.441400000000002</v>
      </c>
      <c r="H1036" s="4">
        <f>CHOOSE( CONTROL!$C$36, 42.3295, 42.3285) * CHOOSE(CONTROL!$C$19, $D$11, 100%, $F$11)</f>
        <v>42.329500000000003</v>
      </c>
      <c r="I1036" s="8">
        <f>CHOOSE( CONTROL!$C$36, 40.8837, 40.8826) * CHOOSE(CONTROL!$C$19, $D$11, 100%, $F$11)</f>
        <v>40.883699999999997</v>
      </c>
      <c r="J1036" s="4">
        <f>CHOOSE( CONTROL!$C$36, 40.677, 40.676) * CHOOSE(CONTROL!$C$19, $D$11, 100%, $F$11)</f>
        <v>40.677</v>
      </c>
      <c r="K1036" s="4"/>
      <c r="L1036" s="9">
        <v>29.306000000000001</v>
      </c>
      <c r="M1036" s="9">
        <v>12.063700000000001</v>
      </c>
      <c r="N1036" s="9">
        <v>4.9444999999999997</v>
      </c>
      <c r="O1036" s="9">
        <v>0.37409999999999999</v>
      </c>
      <c r="P1036" s="9">
        <v>1.2927</v>
      </c>
      <c r="Q1036" s="9">
        <v>19.688099999999999</v>
      </c>
      <c r="R1036" s="9"/>
      <c r="S1036" s="11"/>
    </row>
    <row r="1037" spans="1:19" ht="15.75">
      <c r="A1037" s="13">
        <v>72716</v>
      </c>
      <c r="B1037" s="8">
        <f>CHOOSE( CONTROL!$C$36, 43.2306, 43.2295) * CHOOSE(CONTROL!$C$19, $D$11, 100%, $F$11)</f>
        <v>43.230600000000003</v>
      </c>
      <c r="C1037" s="8">
        <f>CHOOSE( CONTROL!$C$36, 43.2357, 43.2346) * CHOOSE(CONTROL!$C$19, $D$11, 100%, $F$11)</f>
        <v>43.235700000000001</v>
      </c>
      <c r="D1037" s="8">
        <f>CHOOSE( CONTROL!$C$36, 43.237, 43.2359) * CHOOSE( CONTROL!$C$19, $D$11, 100%, $F$11)</f>
        <v>43.237000000000002</v>
      </c>
      <c r="E1037" s="12">
        <f>CHOOSE( CONTROL!$C$36, 43.236, 43.2349) * CHOOSE( CONTROL!$C$19, $D$11, 100%, $F$11)</f>
        <v>43.235999999999997</v>
      </c>
      <c r="F1037" s="4">
        <f>CHOOSE( CONTROL!$C$36, 43.8898, 43.8887) * CHOOSE(CONTROL!$C$19, $D$11, 100%, $F$11)</f>
        <v>43.889800000000001</v>
      </c>
      <c r="G1037" s="8">
        <f>CHOOSE( CONTROL!$C$36, 42.6742, 42.6732) * CHOOSE( CONTROL!$C$19, $D$11, 100%, $F$11)</f>
        <v>42.674199999999999</v>
      </c>
      <c r="H1037" s="4">
        <f>CHOOSE( CONTROL!$C$36, 43.5513, 43.5503) * CHOOSE(CONTROL!$C$19, $D$11, 100%, $F$11)</f>
        <v>43.551299999999998</v>
      </c>
      <c r="I1037" s="8">
        <f>CHOOSE( CONTROL!$C$36, 42.0616, 42.0605) * CHOOSE(CONTROL!$C$19, $D$11, 100%, $F$11)</f>
        <v>42.061599999999999</v>
      </c>
      <c r="J1037" s="4">
        <f>CHOOSE( CONTROL!$C$36, 41.8768, 41.8758) * CHOOSE(CONTROL!$C$19, $D$11, 100%, $F$11)</f>
        <v>41.876800000000003</v>
      </c>
      <c r="K1037" s="4"/>
      <c r="L1037" s="9">
        <v>29.306000000000001</v>
      </c>
      <c r="M1037" s="9">
        <v>12.063700000000001</v>
      </c>
      <c r="N1037" s="9">
        <v>4.9444999999999997</v>
      </c>
      <c r="O1037" s="9">
        <v>0.37409999999999999</v>
      </c>
      <c r="P1037" s="9">
        <v>1.2927</v>
      </c>
      <c r="Q1037" s="9">
        <v>19.688099999999999</v>
      </c>
      <c r="R1037" s="9"/>
      <c r="S1037" s="11"/>
    </row>
    <row r="1038" spans="1:19" ht="15.75">
      <c r="A1038" s="13">
        <v>72744</v>
      </c>
      <c r="B1038" s="8">
        <f>CHOOSE( CONTROL!$C$36, 40.4347, 40.4336) * CHOOSE(CONTROL!$C$19, $D$11, 100%, $F$11)</f>
        <v>40.434699999999999</v>
      </c>
      <c r="C1038" s="8">
        <f>CHOOSE( CONTROL!$C$36, 40.4398, 40.4387) * CHOOSE(CONTROL!$C$19, $D$11, 100%, $F$11)</f>
        <v>40.439799999999998</v>
      </c>
      <c r="D1038" s="8">
        <f>CHOOSE( CONTROL!$C$36, 40.441, 40.4399) * CHOOSE( CONTROL!$C$19, $D$11, 100%, $F$11)</f>
        <v>40.441000000000003</v>
      </c>
      <c r="E1038" s="12">
        <f>CHOOSE( CONTROL!$C$36, 40.44, 40.4389) * CHOOSE( CONTROL!$C$19, $D$11, 100%, $F$11)</f>
        <v>40.44</v>
      </c>
      <c r="F1038" s="4">
        <f>CHOOSE( CONTROL!$C$36, 41.094, 41.0929) * CHOOSE(CONTROL!$C$19, $D$11, 100%, $F$11)</f>
        <v>41.094000000000001</v>
      </c>
      <c r="G1038" s="8">
        <f>CHOOSE( CONTROL!$C$36, 39.9173, 39.9162) * CHOOSE( CONTROL!$C$19, $D$11, 100%, $F$11)</f>
        <v>39.917299999999997</v>
      </c>
      <c r="H1038" s="4">
        <f>CHOOSE( CONTROL!$C$36, 40.7945, 40.7935) * CHOOSE(CONTROL!$C$19, $D$11, 100%, $F$11)</f>
        <v>40.794499999999999</v>
      </c>
      <c r="I1038" s="8">
        <f>CHOOSE( CONTROL!$C$36, 39.3526, 39.3516) * CHOOSE(CONTROL!$C$19, $D$11, 100%, $F$11)</f>
        <v>39.352600000000002</v>
      </c>
      <c r="J1038" s="4">
        <f>CHOOSE( CONTROL!$C$36, 39.1696, 39.1686) * CHOOSE(CONTROL!$C$19, $D$11, 100%, $F$11)</f>
        <v>39.169600000000003</v>
      </c>
      <c r="K1038" s="4"/>
      <c r="L1038" s="9">
        <v>26.469899999999999</v>
      </c>
      <c r="M1038" s="9">
        <v>10.8962</v>
      </c>
      <c r="N1038" s="9">
        <v>4.4660000000000002</v>
      </c>
      <c r="O1038" s="9">
        <v>0.33789999999999998</v>
      </c>
      <c r="P1038" s="9">
        <v>1.1676</v>
      </c>
      <c r="Q1038" s="9">
        <v>17.782800000000002</v>
      </c>
      <c r="R1038" s="9"/>
      <c r="S1038" s="11"/>
    </row>
    <row r="1039" spans="1:19" ht="15.75">
      <c r="A1039" s="13">
        <v>72775</v>
      </c>
      <c r="B1039" s="8">
        <f>CHOOSE( CONTROL!$C$36, 39.5736, 39.5725) * CHOOSE(CONTROL!$C$19, $D$11, 100%, $F$11)</f>
        <v>39.573599999999999</v>
      </c>
      <c r="C1039" s="8">
        <f>CHOOSE( CONTROL!$C$36, 39.5787, 39.5776) * CHOOSE(CONTROL!$C$19, $D$11, 100%, $F$11)</f>
        <v>39.578699999999998</v>
      </c>
      <c r="D1039" s="8">
        <f>CHOOSE( CONTROL!$C$36, 39.5793, 39.5782) * CHOOSE( CONTROL!$C$19, $D$11, 100%, $F$11)</f>
        <v>39.579300000000003</v>
      </c>
      <c r="E1039" s="12">
        <f>CHOOSE( CONTROL!$C$36, 39.5785, 39.5774) * CHOOSE( CONTROL!$C$19, $D$11, 100%, $F$11)</f>
        <v>39.578499999999998</v>
      </c>
      <c r="F1039" s="4">
        <f>CHOOSE( CONTROL!$C$36, 40.2329, 40.2318) * CHOOSE(CONTROL!$C$19, $D$11, 100%, $F$11)</f>
        <v>40.232900000000001</v>
      </c>
      <c r="G1039" s="8">
        <f>CHOOSE( CONTROL!$C$36, 39.0678, 39.0667) * CHOOSE( CONTROL!$C$19, $D$11, 100%, $F$11)</f>
        <v>39.067799999999998</v>
      </c>
      <c r="H1039" s="4">
        <f>CHOOSE( CONTROL!$C$36, 39.9454, 39.9444) * CHOOSE(CONTROL!$C$19, $D$11, 100%, $F$11)</f>
        <v>39.945399999999999</v>
      </c>
      <c r="I1039" s="8">
        <f>CHOOSE( CONTROL!$C$36, 38.5164, 38.5154) * CHOOSE(CONTROL!$C$19, $D$11, 100%, $F$11)</f>
        <v>38.516399999999997</v>
      </c>
      <c r="J1039" s="4">
        <f>CHOOSE( CONTROL!$C$36, 38.3358, 38.3348) * CHOOSE(CONTROL!$C$19, $D$11, 100%, $F$11)</f>
        <v>38.335799999999999</v>
      </c>
      <c r="K1039" s="4"/>
      <c r="L1039" s="9">
        <v>29.306000000000001</v>
      </c>
      <c r="M1039" s="9">
        <v>12.063700000000001</v>
      </c>
      <c r="N1039" s="9">
        <v>4.9444999999999997</v>
      </c>
      <c r="O1039" s="9">
        <v>0.37409999999999999</v>
      </c>
      <c r="P1039" s="9">
        <v>1.2927</v>
      </c>
      <c r="Q1039" s="9">
        <v>19.688099999999999</v>
      </c>
      <c r="R1039" s="9"/>
      <c r="S1039" s="11"/>
    </row>
    <row r="1040" spans="1:19" ht="15.75">
      <c r="A1040" s="13">
        <v>72805</v>
      </c>
      <c r="B1040" s="8">
        <f>CHOOSE( CONTROL!$C$36, 40.1761, 40.175) * CHOOSE(CONTROL!$C$19, $D$11, 100%, $F$11)</f>
        <v>40.176099999999998</v>
      </c>
      <c r="C1040" s="8">
        <f>CHOOSE( CONTROL!$C$36, 40.1806, 40.1796) * CHOOSE(CONTROL!$C$19, $D$11, 100%, $F$11)</f>
        <v>40.180599999999998</v>
      </c>
      <c r="D1040" s="8">
        <f>CHOOSE( CONTROL!$C$36, 40.201, 40.2) * CHOOSE( CONTROL!$C$19, $D$11, 100%, $F$11)</f>
        <v>40.201000000000001</v>
      </c>
      <c r="E1040" s="12">
        <f>CHOOSE( CONTROL!$C$36, 40.1937, 40.1927) * CHOOSE( CONTROL!$C$19, $D$11, 100%, $F$11)</f>
        <v>40.1937</v>
      </c>
      <c r="F1040" s="4">
        <f>CHOOSE( CONTROL!$C$36, 40.9105, 40.9094) * CHOOSE(CONTROL!$C$19, $D$11, 100%, $F$11)</f>
        <v>40.910499999999999</v>
      </c>
      <c r="G1040" s="8">
        <f>CHOOSE( CONTROL!$C$36, 39.6692, 39.6681) * CHOOSE( CONTROL!$C$19, $D$11, 100%, $F$11)</f>
        <v>39.669199999999996</v>
      </c>
      <c r="H1040" s="4">
        <f>CHOOSE( CONTROL!$C$36, 40.6136, 40.6125) * CHOOSE(CONTROL!$C$19, $D$11, 100%, $F$11)</f>
        <v>40.613599999999998</v>
      </c>
      <c r="I1040" s="8">
        <f>CHOOSE( CONTROL!$C$36, 39.0688, 39.0678) * CHOOSE(CONTROL!$C$19, $D$11, 100%, $F$11)</f>
        <v>39.068800000000003</v>
      </c>
      <c r="J1040" s="4">
        <f>CHOOSE( CONTROL!$C$36, 38.9185, 38.9174) * CHOOSE(CONTROL!$C$19, $D$11, 100%, $F$11)</f>
        <v>38.918500000000002</v>
      </c>
      <c r="K1040" s="4"/>
      <c r="L1040" s="9">
        <v>30.092199999999998</v>
      </c>
      <c r="M1040" s="9">
        <v>11.6745</v>
      </c>
      <c r="N1040" s="9">
        <v>4.7850000000000001</v>
      </c>
      <c r="O1040" s="9">
        <v>0.36199999999999999</v>
      </c>
      <c r="P1040" s="9">
        <v>1.2509999999999999</v>
      </c>
      <c r="Q1040" s="9">
        <v>19.053000000000001</v>
      </c>
      <c r="R1040" s="9"/>
      <c r="S1040" s="11"/>
    </row>
    <row r="1041" spans="1:19" ht="15.75">
      <c r="A1041" s="13">
        <v>72836</v>
      </c>
      <c r="B1041" s="8">
        <f>CHOOSE( CONTROL!$C$36, 41.249, 41.2473) * CHOOSE(CONTROL!$C$19, $D$11, 100%, $F$11)</f>
        <v>41.249000000000002</v>
      </c>
      <c r="C1041" s="8">
        <f>CHOOSE( CONTROL!$C$36, 41.257, 41.2553) * CHOOSE(CONTROL!$C$19, $D$11, 100%, $F$11)</f>
        <v>41.256999999999998</v>
      </c>
      <c r="D1041" s="8">
        <f>CHOOSE( CONTROL!$C$36, 41.2712, 41.2695) * CHOOSE( CONTROL!$C$19, $D$11, 100%, $F$11)</f>
        <v>41.2712</v>
      </c>
      <c r="E1041" s="12">
        <f>CHOOSE( CONTROL!$C$36, 41.2648, 41.2631) * CHOOSE( CONTROL!$C$19, $D$11, 100%, $F$11)</f>
        <v>41.264800000000001</v>
      </c>
      <c r="F1041" s="4">
        <f>CHOOSE( CONTROL!$C$36, 41.982, 41.9804) * CHOOSE(CONTROL!$C$19, $D$11, 100%, $F$11)</f>
        <v>41.981999999999999</v>
      </c>
      <c r="G1041" s="8">
        <f>CHOOSE( CONTROL!$C$36, 40.7257, 40.7241) * CHOOSE( CONTROL!$C$19, $D$11, 100%, $F$11)</f>
        <v>40.725700000000003</v>
      </c>
      <c r="H1041" s="4">
        <f>CHOOSE( CONTROL!$C$36, 41.6702, 41.6685) * CHOOSE(CONTROL!$C$19, $D$11, 100%, $F$11)</f>
        <v>41.670200000000001</v>
      </c>
      <c r="I1041" s="8">
        <f>CHOOSE( CONTROL!$C$36, 40.1065, 40.1049) * CHOOSE(CONTROL!$C$19, $D$11, 100%, $F$11)</f>
        <v>40.106499999999997</v>
      </c>
      <c r="J1041" s="4">
        <f>CHOOSE( CONTROL!$C$36, 39.956, 39.9544) * CHOOSE(CONTROL!$C$19, $D$11, 100%, $F$11)</f>
        <v>39.956000000000003</v>
      </c>
      <c r="K1041" s="4"/>
      <c r="L1041" s="9">
        <v>30.7165</v>
      </c>
      <c r="M1041" s="9">
        <v>12.063700000000001</v>
      </c>
      <c r="N1041" s="9">
        <v>4.9444999999999997</v>
      </c>
      <c r="O1041" s="9">
        <v>0.37409999999999999</v>
      </c>
      <c r="P1041" s="9">
        <v>1.2927</v>
      </c>
      <c r="Q1041" s="9">
        <v>19.688099999999999</v>
      </c>
      <c r="R1041" s="9"/>
      <c r="S1041" s="11"/>
    </row>
    <row r="1042" spans="1:19" ht="15.75">
      <c r="A1042" s="13">
        <v>72866</v>
      </c>
      <c r="B1042" s="8">
        <f>CHOOSE( CONTROL!$C$36, 40.5856, 40.5839) * CHOOSE(CONTROL!$C$19, $D$11, 100%, $F$11)</f>
        <v>40.585599999999999</v>
      </c>
      <c r="C1042" s="8">
        <f>CHOOSE( CONTROL!$C$36, 40.5936, 40.5919) * CHOOSE(CONTROL!$C$19, $D$11, 100%, $F$11)</f>
        <v>40.593600000000002</v>
      </c>
      <c r="D1042" s="8">
        <f>CHOOSE( CONTROL!$C$36, 40.608, 40.6063) * CHOOSE( CONTROL!$C$19, $D$11, 100%, $F$11)</f>
        <v>40.607999999999997</v>
      </c>
      <c r="E1042" s="12">
        <f>CHOOSE( CONTROL!$C$36, 40.6016, 40.5999) * CHOOSE( CONTROL!$C$19, $D$11, 100%, $F$11)</f>
        <v>40.601599999999998</v>
      </c>
      <c r="F1042" s="4">
        <f>CHOOSE( CONTROL!$C$36, 41.3186, 41.317) * CHOOSE(CONTROL!$C$19, $D$11, 100%, $F$11)</f>
        <v>41.318600000000004</v>
      </c>
      <c r="G1042" s="8">
        <f>CHOOSE( CONTROL!$C$36, 40.0717, 40.0701) * CHOOSE( CONTROL!$C$19, $D$11, 100%, $F$11)</f>
        <v>40.0717</v>
      </c>
      <c r="H1042" s="4">
        <f>CHOOSE( CONTROL!$C$36, 41.016, 41.0144) * CHOOSE(CONTROL!$C$19, $D$11, 100%, $F$11)</f>
        <v>41.015999999999998</v>
      </c>
      <c r="I1042" s="8">
        <f>CHOOSE( CONTROL!$C$36, 39.4645, 39.4629) * CHOOSE(CONTROL!$C$19, $D$11, 100%, $F$11)</f>
        <v>39.464500000000001</v>
      </c>
      <c r="J1042" s="4">
        <f>CHOOSE( CONTROL!$C$36, 39.3136, 39.312) * CHOOSE(CONTROL!$C$19, $D$11, 100%, $F$11)</f>
        <v>39.313600000000001</v>
      </c>
      <c r="K1042" s="4"/>
      <c r="L1042" s="9">
        <v>29.7257</v>
      </c>
      <c r="M1042" s="9">
        <v>11.6745</v>
      </c>
      <c r="N1042" s="9">
        <v>4.7850000000000001</v>
      </c>
      <c r="O1042" s="9">
        <v>0.36199999999999999</v>
      </c>
      <c r="P1042" s="9">
        <v>1.2509999999999999</v>
      </c>
      <c r="Q1042" s="9">
        <v>19.053000000000001</v>
      </c>
      <c r="R1042" s="9"/>
      <c r="S1042" s="11"/>
    </row>
    <row r="1043" spans="1:19" ht="15.75">
      <c r="A1043" s="13">
        <v>72897</v>
      </c>
      <c r="B1043" s="8">
        <f>CHOOSE( CONTROL!$C$36, 42.3326, 42.3309) * CHOOSE(CONTROL!$C$19, $D$11, 100%, $F$11)</f>
        <v>42.332599999999999</v>
      </c>
      <c r="C1043" s="8">
        <f>CHOOSE( CONTROL!$C$36, 42.3406, 42.3389) * CHOOSE(CONTROL!$C$19, $D$11, 100%, $F$11)</f>
        <v>42.340600000000002</v>
      </c>
      <c r="D1043" s="8">
        <f>CHOOSE( CONTROL!$C$36, 42.3552, 42.3535) * CHOOSE( CONTROL!$C$19, $D$11, 100%, $F$11)</f>
        <v>42.355200000000004</v>
      </c>
      <c r="E1043" s="12">
        <f>CHOOSE( CONTROL!$C$36, 42.3487, 42.347) * CHOOSE( CONTROL!$C$19, $D$11, 100%, $F$11)</f>
        <v>42.348700000000001</v>
      </c>
      <c r="F1043" s="4">
        <f>CHOOSE( CONTROL!$C$36, 43.0656, 43.0639) * CHOOSE(CONTROL!$C$19, $D$11, 100%, $F$11)</f>
        <v>43.065600000000003</v>
      </c>
      <c r="G1043" s="8">
        <f>CHOOSE( CONTROL!$C$36, 41.7945, 41.7929) * CHOOSE( CONTROL!$C$19, $D$11, 100%, $F$11)</f>
        <v>41.794499999999999</v>
      </c>
      <c r="H1043" s="4">
        <f>CHOOSE( CONTROL!$C$36, 42.7386, 42.737) * CHOOSE(CONTROL!$C$19, $D$11, 100%, $F$11)</f>
        <v>42.738599999999998</v>
      </c>
      <c r="I1043" s="8">
        <f>CHOOSE( CONTROL!$C$36, 41.1578, 41.1561) * CHOOSE(CONTROL!$C$19, $D$11, 100%, $F$11)</f>
        <v>41.157800000000002</v>
      </c>
      <c r="J1043" s="4">
        <f>CHOOSE( CONTROL!$C$36, 41.0052, 41.0036) * CHOOSE(CONTROL!$C$19, $D$11, 100%, $F$11)</f>
        <v>41.005200000000002</v>
      </c>
      <c r="K1043" s="4"/>
      <c r="L1043" s="9">
        <v>30.7165</v>
      </c>
      <c r="M1043" s="9">
        <v>12.063700000000001</v>
      </c>
      <c r="N1043" s="9">
        <v>4.9444999999999997</v>
      </c>
      <c r="O1043" s="9">
        <v>0.37409999999999999</v>
      </c>
      <c r="P1043" s="9">
        <v>1.2927</v>
      </c>
      <c r="Q1043" s="9">
        <v>19.688099999999999</v>
      </c>
      <c r="R1043" s="9"/>
      <c r="S1043" s="11"/>
    </row>
    <row r="1044" spans="1:19" ht="15.75">
      <c r="A1044" s="13">
        <v>72928</v>
      </c>
      <c r="B1044" s="8">
        <f>CHOOSE( CONTROL!$C$36, 39.0638, 39.0621) * CHOOSE(CONTROL!$C$19, $D$11, 100%, $F$11)</f>
        <v>39.063800000000001</v>
      </c>
      <c r="C1044" s="8">
        <f>CHOOSE( CONTROL!$C$36, 39.0718, 39.0701) * CHOOSE(CONTROL!$C$19, $D$11, 100%, $F$11)</f>
        <v>39.071800000000003</v>
      </c>
      <c r="D1044" s="8">
        <f>CHOOSE( CONTROL!$C$36, 39.0865, 39.0848) * CHOOSE( CONTROL!$C$19, $D$11, 100%, $F$11)</f>
        <v>39.086500000000001</v>
      </c>
      <c r="E1044" s="12">
        <f>CHOOSE( CONTROL!$C$36, 39.08, 39.0783) * CHOOSE( CONTROL!$C$19, $D$11, 100%, $F$11)</f>
        <v>39.08</v>
      </c>
      <c r="F1044" s="4">
        <f>CHOOSE( CONTROL!$C$36, 39.7968, 39.7951) * CHOOSE(CONTROL!$C$19, $D$11, 100%, $F$11)</f>
        <v>39.796799999999998</v>
      </c>
      <c r="G1044" s="8">
        <f>CHOOSE( CONTROL!$C$36, 38.5714, 38.5697) * CHOOSE( CONTROL!$C$19, $D$11, 100%, $F$11)</f>
        <v>38.571399999999997</v>
      </c>
      <c r="H1044" s="4">
        <f>CHOOSE( CONTROL!$C$36, 39.5154, 39.5138) * CHOOSE(CONTROL!$C$19, $D$11, 100%, $F$11)</f>
        <v>39.5154</v>
      </c>
      <c r="I1044" s="8">
        <f>CHOOSE( CONTROL!$C$36, 37.9912, 37.9896) * CHOOSE(CONTROL!$C$19, $D$11, 100%, $F$11)</f>
        <v>37.991199999999999</v>
      </c>
      <c r="J1044" s="4">
        <f>CHOOSE( CONTROL!$C$36, 37.84, 37.8384) * CHOOSE(CONTROL!$C$19, $D$11, 100%, $F$11)</f>
        <v>37.840000000000003</v>
      </c>
      <c r="K1044" s="4"/>
      <c r="L1044" s="9">
        <v>30.7165</v>
      </c>
      <c r="M1044" s="9">
        <v>12.063700000000001</v>
      </c>
      <c r="N1044" s="9">
        <v>4.9444999999999997</v>
      </c>
      <c r="O1044" s="9">
        <v>0.37409999999999999</v>
      </c>
      <c r="P1044" s="9">
        <v>1.2927</v>
      </c>
      <c r="Q1044" s="9">
        <v>19.688099999999999</v>
      </c>
      <c r="R1044" s="9"/>
      <c r="S1044" s="11"/>
    </row>
    <row r="1045" spans="1:19" ht="15.75">
      <c r="A1045" s="13">
        <v>72958</v>
      </c>
      <c r="B1045" s="8">
        <f>CHOOSE( CONTROL!$C$36, 38.2452, 38.2436) * CHOOSE(CONTROL!$C$19, $D$11, 100%, $F$11)</f>
        <v>38.245199999999997</v>
      </c>
      <c r="C1045" s="8">
        <f>CHOOSE( CONTROL!$C$36, 38.2532, 38.2516) * CHOOSE(CONTROL!$C$19, $D$11, 100%, $F$11)</f>
        <v>38.2532</v>
      </c>
      <c r="D1045" s="8">
        <f>CHOOSE( CONTROL!$C$36, 38.2678, 38.2661) * CHOOSE( CONTROL!$C$19, $D$11, 100%, $F$11)</f>
        <v>38.267800000000001</v>
      </c>
      <c r="E1045" s="12">
        <f>CHOOSE( CONTROL!$C$36, 38.2613, 38.2596) * CHOOSE( CONTROL!$C$19, $D$11, 100%, $F$11)</f>
        <v>38.261299999999999</v>
      </c>
      <c r="F1045" s="4">
        <f>CHOOSE( CONTROL!$C$36, 38.9783, 38.9766) * CHOOSE(CONTROL!$C$19, $D$11, 100%, $F$11)</f>
        <v>38.978299999999997</v>
      </c>
      <c r="G1045" s="8">
        <f>CHOOSE( CONTROL!$C$36, 37.7642, 37.7625) * CHOOSE( CONTROL!$C$19, $D$11, 100%, $F$11)</f>
        <v>37.764200000000002</v>
      </c>
      <c r="H1045" s="4">
        <f>CHOOSE( CONTROL!$C$36, 38.7083, 38.7067) * CHOOSE(CONTROL!$C$19, $D$11, 100%, $F$11)</f>
        <v>38.708300000000001</v>
      </c>
      <c r="I1045" s="8">
        <f>CHOOSE( CONTROL!$C$36, 37.1979, 37.1962) * CHOOSE(CONTROL!$C$19, $D$11, 100%, $F$11)</f>
        <v>37.197899999999997</v>
      </c>
      <c r="J1045" s="4">
        <f>CHOOSE( CONTROL!$C$36, 37.0474, 37.0458) * CHOOSE(CONTROL!$C$19, $D$11, 100%, $F$11)</f>
        <v>37.047400000000003</v>
      </c>
      <c r="K1045" s="4"/>
      <c r="L1045" s="9">
        <v>29.7257</v>
      </c>
      <c r="M1045" s="9">
        <v>11.6745</v>
      </c>
      <c r="N1045" s="9">
        <v>4.7850000000000001</v>
      </c>
      <c r="O1045" s="9">
        <v>0.36199999999999999</v>
      </c>
      <c r="P1045" s="9">
        <v>1.2509999999999999</v>
      </c>
      <c r="Q1045" s="9">
        <v>19.053000000000001</v>
      </c>
      <c r="R1045" s="9"/>
      <c r="S1045" s="11"/>
    </row>
    <row r="1046" spans="1:19" ht="15.75">
      <c r="A1046" s="13">
        <v>72989</v>
      </c>
      <c r="B1046" s="8">
        <f>CHOOSE( CONTROL!$C$36, 39.9425, 39.9414) * CHOOSE(CONTROL!$C$19, $D$11, 100%, $F$11)</f>
        <v>39.942500000000003</v>
      </c>
      <c r="C1046" s="8">
        <f>CHOOSE( CONTROL!$C$36, 39.9479, 39.9468) * CHOOSE(CONTROL!$C$19, $D$11, 100%, $F$11)</f>
        <v>39.947899999999997</v>
      </c>
      <c r="D1046" s="8">
        <f>CHOOSE( CONTROL!$C$36, 39.9683, 39.9673) * CHOOSE( CONTROL!$C$19, $D$11, 100%, $F$11)</f>
        <v>39.968299999999999</v>
      </c>
      <c r="E1046" s="12">
        <f>CHOOSE( CONTROL!$C$36, 39.961, 39.96) * CHOOSE( CONTROL!$C$19, $D$11, 100%, $F$11)</f>
        <v>39.960999999999999</v>
      </c>
      <c r="F1046" s="4">
        <f>CHOOSE( CONTROL!$C$36, 40.6773, 40.6762) * CHOOSE(CONTROL!$C$19, $D$11, 100%, $F$11)</f>
        <v>40.677300000000002</v>
      </c>
      <c r="G1046" s="8">
        <f>CHOOSE( CONTROL!$C$36, 39.4397, 39.4386) * CHOOSE( CONTROL!$C$19, $D$11, 100%, $F$11)</f>
        <v>39.439700000000002</v>
      </c>
      <c r="H1046" s="4">
        <f>CHOOSE( CONTROL!$C$36, 40.3836, 40.3825) * CHOOSE(CONTROL!$C$19, $D$11, 100%, $F$11)</f>
        <v>40.383600000000001</v>
      </c>
      <c r="I1046" s="8">
        <f>CHOOSE( CONTROL!$C$36, 38.8449, 38.8438) * CHOOSE(CONTROL!$C$19, $D$11, 100%, $F$11)</f>
        <v>38.844900000000003</v>
      </c>
      <c r="J1046" s="4">
        <f>CHOOSE( CONTROL!$C$36, 38.6926, 38.6915) * CHOOSE(CONTROL!$C$19, $D$11, 100%, $F$11)</f>
        <v>38.692599999999999</v>
      </c>
      <c r="K1046" s="4"/>
      <c r="L1046" s="9">
        <v>31.095300000000002</v>
      </c>
      <c r="M1046" s="9">
        <v>12.063700000000001</v>
      </c>
      <c r="N1046" s="9">
        <v>4.9444999999999997</v>
      </c>
      <c r="O1046" s="9">
        <v>0.37409999999999999</v>
      </c>
      <c r="P1046" s="9">
        <v>1.2927</v>
      </c>
      <c r="Q1046" s="9">
        <v>19.688099999999999</v>
      </c>
      <c r="R1046" s="9"/>
      <c r="S1046" s="11"/>
    </row>
    <row r="1047" spans="1:19" ht="15.75">
      <c r="A1047" s="13">
        <v>73019</v>
      </c>
      <c r="B1047" s="8">
        <f>CHOOSE( CONTROL!$C$36, 43.0792, 43.0781) * CHOOSE(CONTROL!$C$19, $D$11, 100%, $F$11)</f>
        <v>43.0792</v>
      </c>
      <c r="C1047" s="8">
        <f>CHOOSE( CONTROL!$C$36, 43.0843, 43.0832) * CHOOSE(CONTROL!$C$19, $D$11, 100%, $F$11)</f>
        <v>43.084299999999999</v>
      </c>
      <c r="D1047" s="8">
        <f>CHOOSE( CONTROL!$C$36, 43.0635, 43.0624) * CHOOSE( CONTROL!$C$19, $D$11, 100%, $F$11)</f>
        <v>43.063499999999998</v>
      </c>
      <c r="E1047" s="12">
        <f>CHOOSE( CONTROL!$C$36, 43.0706, 43.0695) * CHOOSE( CONTROL!$C$19, $D$11, 100%, $F$11)</f>
        <v>43.070599999999999</v>
      </c>
      <c r="F1047" s="4">
        <f>CHOOSE( CONTROL!$C$36, 43.7384, 43.7374) * CHOOSE(CONTROL!$C$19, $D$11, 100%, $F$11)</f>
        <v>43.738399999999999</v>
      </c>
      <c r="G1047" s="8">
        <f>CHOOSE( CONTROL!$C$36, 42.5129, 42.5119) * CHOOSE( CONTROL!$C$19, $D$11, 100%, $F$11)</f>
        <v>42.512900000000002</v>
      </c>
      <c r="H1047" s="4">
        <f>CHOOSE( CONTROL!$C$36, 43.4021, 43.401) * CHOOSE(CONTROL!$C$19, $D$11, 100%, $F$11)</f>
        <v>43.402099999999997</v>
      </c>
      <c r="I1047" s="8">
        <f>CHOOSE( CONTROL!$C$36, 41.9331, 41.9321) * CHOOSE(CONTROL!$C$19, $D$11, 100%, $F$11)</f>
        <v>41.933100000000003</v>
      </c>
      <c r="J1047" s="4">
        <f>CHOOSE( CONTROL!$C$36, 41.7302, 41.7292) * CHOOSE(CONTROL!$C$19, $D$11, 100%, $F$11)</f>
        <v>41.730200000000004</v>
      </c>
      <c r="K1047" s="4"/>
      <c r="L1047" s="9">
        <v>28.360600000000002</v>
      </c>
      <c r="M1047" s="9">
        <v>11.6745</v>
      </c>
      <c r="N1047" s="9">
        <v>4.7850000000000001</v>
      </c>
      <c r="O1047" s="9">
        <v>0.36199999999999999</v>
      </c>
      <c r="P1047" s="9">
        <v>1.2509999999999999</v>
      </c>
      <c r="Q1047" s="9">
        <v>19.053000000000001</v>
      </c>
      <c r="R1047" s="9"/>
      <c r="S1047" s="11"/>
    </row>
    <row r="1048" spans="1:19" ht="15.75">
      <c r="A1048" s="13">
        <v>73050</v>
      </c>
      <c r="B1048" s="8">
        <f>CHOOSE( CONTROL!$C$36, 43.0008, 42.9997) * CHOOSE(CONTROL!$C$19, $D$11, 100%, $F$11)</f>
        <v>43.000799999999998</v>
      </c>
      <c r="C1048" s="8">
        <f>CHOOSE( CONTROL!$C$36, 43.0059, 43.0048) * CHOOSE(CONTROL!$C$19, $D$11, 100%, $F$11)</f>
        <v>43.005899999999997</v>
      </c>
      <c r="D1048" s="8">
        <f>CHOOSE( CONTROL!$C$36, 42.9865, 42.9854) * CHOOSE( CONTROL!$C$19, $D$11, 100%, $F$11)</f>
        <v>42.986499999999999</v>
      </c>
      <c r="E1048" s="12">
        <f>CHOOSE( CONTROL!$C$36, 42.9931, 42.992) * CHOOSE( CONTROL!$C$19, $D$11, 100%, $F$11)</f>
        <v>42.993099999999998</v>
      </c>
      <c r="F1048" s="4">
        <f>CHOOSE( CONTROL!$C$36, 43.6601, 43.659) * CHOOSE(CONTROL!$C$19, $D$11, 100%, $F$11)</f>
        <v>43.6601</v>
      </c>
      <c r="G1048" s="8">
        <f>CHOOSE( CONTROL!$C$36, 42.4366, 42.4356) * CHOOSE( CONTROL!$C$19, $D$11, 100%, $F$11)</f>
        <v>42.436599999999999</v>
      </c>
      <c r="H1048" s="4">
        <f>CHOOSE( CONTROL!$C$36, 43.3248, 43.3237) * CHOOSE(CONTROL!$C$19, $D$11, 100%, $F$11)</f>
        <v>43.324800000000003</v>
      </c>
      <c r="I1048" s="8">
        <f>CHOOSE( CONTROL!$C$36, 41.8615, 41.8605) * CHOOSE(CONTROL!$C$19, $D$11, 100%, $F$11)</f>
        <v>41.861499999999999</v>
      </c>
      <c r="J1048" s="4">
        <f>CHOOSE( CONTROL!$C$36, 41.6543, 41.6533) * CHOOSE(CONTROL!$C$19, $D$11, 100%, $F$11)</f>
        <v>41.654299999999999</v>
      </c>
      <c r="K1048" s="4"/>
      <c r="L1048" s="9">
        <v>29.306000000000001</v>
      </c>
      <c r="M1048" s="9">
        <v>12.063700000000001</v>
      </c>
      <c r="N1048" s="9">
        <v>4.9444999999999997</v>
      </c>
      <c r="O1048" s="9">
        <v>0.37409999999999999</v>
      </c>
      <c r="P1048" s="9">
        <v>1.2927</v>
      </c>
      <c r="Q1048" s="9">
        <v>19.688099999999999</v>
      </c>
      <c r="R1048" s="9"/>
      <c r="S1048" s="11"/>
    </row>
    <row r="1049" spans="1:19" ht="15.75">
      <c r="A1049" s="13">
        <v>73081</v>
      </c>
      <c r="B1049" s="8">
        <f>CHOOSE( CONTROL!$C$36, 44.2697, 44.2686) * CHOOSE(CONTROL!$C$19, $D$11, 100%, $F$11)</f>
        <v>44.2697</v>
      </c>
      <c r="C1049" s="8">
        <f>CHOOSE( CONTROL!$C$36, 44.2748, 44.2737) * CHOOSE(CONTROL!$C$19, $D$11, 100%, $F$11)</f>
        <v>44.274799999999999</v>
      </c>
      <c r="D1049" s="8">
        <f>CHOOSE( CONTROL!$C$36, 44.2761, 44.275) * CHOOSE( CONTROL!$C$19, $D$11, 100%, $F$11)</f>
        <v>44.2761</v>
      </c>
      <c r="E1049" s="12">
        <f>CHOOSE( CONTROL!$C$36, 44.2751, 44.274) * CHOOSE( CONTROL!$C$19, $D$11, 100%, $F$11)</f>
        <v>44.275100000000002</v>
      </c>
      <c r="F1049" s="4">
        <f>CHOOSE( CONTROL!$C$36, 44.9289, 44.9278) * CHOOSE(CONTROL!$C$19, $D$11, 100%, $F$11)</f>
        <v>44.928899999999999</v>
      </c>
      <c r="G1049" s="8">
        <f>CHOOSE( CONTROL!$C$36, 43.6988, 43.6978) * CHOOSE( CONTROL!$C$19, $D$11, 100%, $F$11)</f>
        <v>43.698799999999999</v>
      </c>
      <c r="H1049" s="4">
        <f>CHOOSE( CONTROL!$C$36, 44.576, 44.5749) * CHOOSE(CONTROL!$C$19, $D$11, 100%, $F$11)</f>
        <v>44.576000000000001</v>
      </c>
      <c r="I1049" s="8">
        <f>CHOOSE( CONTROL!$C$36, 43.0683, 43.0672) * CHOOSE(CONTROL!$C$19, $D$11, 100%, $F$11)</f>
        <v>43.068300000000001</v>
      </c>
      <c r="J1049" s="4">
        <f>CHOOSE( CONTROL!$C$36, 42.883, 42.8819) * CHOOSE(CONTROL!$C$19, $D$11, 100%, $F$11)</f>
        <v>42.883000000000003</v>
      </c>
      <c r="K1049" s="4"/>
      <c r="L1049" s="9">
        <v>29.306000000000001</v>
      </c>
      <c r="M1049" s="9">
        <v>12.063700000000001</v>
      </c>
      <c r="N1049" s="9">
        <v>4.9444999999999997</v>
      </c>
      <c r="O1049" s="9">
        <v>0.37409999999999999</v>
      </c>
      <c r="P1049" s="9">
        <v>1.2927</v>
      </c>
      <c r="Q1049" s="9">
        <v>19.688099999999999</v>
      </c>
      <c r="R1049" s="9"/>
      <c r="S1049" s="11"/>
    </row>
    <row r="1050" spans="1:19" ht="15.75">
      <c r="A1050" s="13">
        <v>73109</v>
      </c>
      <c r="B1050" s="8">
        <f>CHOOSE( CONTROL!$C$36, 41.4067, 41.4056) * CHOOSE(CONTROL!$C$19, $D$11, 100%, $F$11)</f>
        <v>41.406700000000001</v>
      </c>
      <c r="C1050" s="8">
        <f>CHOOSE( CONTROL!$C$36, 41.4118, 41.4107) * CHOOSE(CONTROL!$C$19, $D$11, 100%, $F$11)</f>
        <v>41.411799999999999</v>
      </c>
      <c r="D1050" s="8">
        <f>CHOOSE( CONTROL!$C$36, 41.4129, 41.4118) * CHOOSE( CONTROL!$C$19, $D$11, 100%, $F$11)</f>
        <v>41.4129</v>
      </c>
      <c r="E1050" s="12">
        <f>CHOOSE( CONTROL!$C$36, 41.412, 41.4109) * CHOOSE( CONTROL!$C$19, $D$11, 100%, $F$11)</f>
        <v>41.411999999999999</v>
      </c>
      <c r="F1050" s="4">
        <f>CHOOSE( CONTROL!$C$36, 42.0659, 42.0648) * CHOOSE(CONTROL!$C$19, $D$11, 100%, $F$11)</f>
        <v>42.065899999999999</v>
      </c>
      <c r="G1050" s="8">
        <f>CHOOSE( CONTROL!$C$36, 40.8757, 40.8746) * CHOOSE( CONTROL!$C$19, $D$11, 100%, $F$11)</f>
        <v>40.875700000000002</v>
      </c>
      <c r="H1050" s="4">
        <f>CHOOSE( CONTROL!$C$36, 41.7529, 41.7518) * CHOOSE(CONTROL!$C$19, $D$11, 100%, $F$11)</f>
        <v>41.752899999999997</v>
      </c>
      <c r="I1050" s="8">
        <f>CHOOSE( CONTROL!$C$36, 40.2942, 40.2932) * CHOOSE(CONTROL!$C$19, $D$11, 100%, $F$11)</f>
        <v>40.294199999999996</v>
      </c>
      <c r="J1050" s="4">
        <f>CHOOSE( CONTROL!$C$36, 40.1107, 40.1097) * CHOOSE(CONTROL!$C$19, $D$11, 100%, $F$11)</f>
        <v>40.110700000000001</v>
      </c>
      <c r="K1050" s="4"/>
      <c r="L1050" s="9">
        <v>26.469899999999999</v>
      </c>
      <c r="M1050" s="9">
        <v>10.8962</v>
      </c>
      <c r="N1050" s="9">
        <v>4.4660000000000002</v>
      </c>
      <c r="O1050" s="9">
        <v>0.33789999999999998</v>
      </c>
      <c r="P1050" s="9">
        <v>1.1676</v>
      </c>
      <c r="Q1050" s="9">
        <v>17.782800000000002</v>
      </c>
      <c r="R1050" s="9"/>
      <c r="S1050" s="11"/>
    </row>
    <row r="1051" spans="1:19" ht="15.75">
      <c r="A1051" s="13">
        <v>73140</v>
      </c>
      <c r="B1051" s="8">
        <f>CHOOSE( CONTROL!$C$36, 40.5249, 40.5238) * CHOOSE(CONTROL!$C$19, $D$11, 100%, $F$11)</f>
        <v>40.524900000000002</v>
      </c>
      <c r="C1051" s="8">
        <f>CHOOSE( CONTROL!$C$36, 40.53, 40.5289) * CHOOSE(CONTROL!$C$19, $D$11, 100%, $F$11)</f>
        <v>40.53</v>
      </c>
      <c r="D1051" s="8">
        <f>CHOOSE( CONTROL!$C$36, 40.5305, 40.5294) * CHOOSE( CONTROL!$C$19, $D$11, 100%, $F$11)</f>
        <v>40.530500000000004</v>
      </c>
      <c r="E1051" s="12">
        <f>CHOOSE( CONTROL!$C$36, 40.5298, 40.5287) * CHOOSE( CONTROL!$C$19, $D$11, 100%, $F$11)</f>
        <v>40.529800000000002</v>
      </c>
      <c r="F1051" s="4">
        <f>CHOOSE( CONTROL!$C$36, 41.1841, 41.183) * CHOOSE(CONTROL!$C$19, $D$11, 100%, $F$11)</f>
        <v>41.184100000000001</v>
      </c>
      <c r="G1051" s="8">
        <f>CHOOSE( CONTROL!$C$36, 40.0057, 40.0047) * CHOOSE( CONTROL!$C$19, $D$11, 100%, $F$11)</f>
        <v>40.005699999999997</v>
      </c>
      <c r="H1051" s="4">
        <f>CHOOSE( CONTROL!$C$36, 40.8834, 40.8823) * CHOOSE(CONTROL!$C$19, $D$11, 100%, $F$11)</f>
        <v>40.883400000000002</v>
      </c>
      <c r="I1051" s="8">
        <f>CHOOSE( CONTROL!$C$36, 39.438, 39.4369) * CHOOSE(CONTROL!$C$19, $D$11, 100%, $F$11)</f>
        <v>39.438000000000002</v>
      </c>
      <c r="J1051" s="4">
        <f>CHOOSE( CONTROL!$C$36, 39.2569, 39.2558) * CHOOSE(CONTROL!$C$19, $D$11, 100%, $F$11)</f>
        <v>39.256900000000002</v>
      </c>
      <c r="K1051" s="4"/>
      <c r="L1051" s="9">
        <v>29.306000000000001</v>
      </c>
      <c r="M1051" s="9">
        <v>12.063700000000001</v>
      </c>
      <c r="N1051" s="9">
        <v>4.9444999999999997</v>
      </c>
      <c r="O1051" s="9">
        <v>0.37409999999999999</v>
      </c>
      <c r="P1051" s="9">
        <v>1.2927</v>
      </c>
      <c r="Q1051" s="9">
        <v>19.688099999999999</v>
      </c>
      <c r="R1051" s="9"/>
      <c r="S1051" s="11"/>
    </row>
    <row r="1052" spans="1:19" ht="15.75">
      <c r="A1052" s="13">
        <v>73170</v>
      </c>
      <c r="B1052" s="8">
        <f>CHOOSE( CONTROL!$C$36, 41.1418, 41.1407) * CHOOSE(CONTROL!$C$19, $D$11, 100%, $F$11)</f>
        <v>41.141800000000003</v>
      </c>
      <c r="C1052" s="8">
        <f>CHOOSE( CONTROL!$C$36, 41.1463, 41.1453) * CHOOSE(CONTROL!$C$19, $D$11, 100%, $F$11)</f>
        <v>41.146299999999997</v>
      </c>
      <c r="D1052" s="8">
        <f>CHOOSE( CONTROL!$C$36, 41.1667, 41.1657) * CHOOSE( CONTROL!$C$19, $D$11, 100%, $F$11)</f>
        <v>41.166699999999999</v>
      </c>
      <c r="E1052" s="12">
        <f>CHOOSE( CONTROL!$C$36, 41.1594, 41.1584) * CHOOSE( CONTROL!$C$19, $D$11, 100%, $F$11)</f>
        <v>41.159399999999998</v>
      </c>
      <c r="F1052" s="4">
        <f>CHOOSE( CONTROL!$C$36, 41.8762, 41.8751) * CHOOSE(CONTROL!$C$19, $D$11, 100%, $F$11)</f>
        <v>41.876199999999997</v>
      </c>
      <c r="G1052" s="8">
        <f>CHOOSE( CONTROL!$C$36, 40.6214, 40.6204) * CHOOSE( CONTROL!$C$19, $D$11, 100%, $F$11)</f>
        <v>40.621400000000001</v>
      </c>
      <c r="H1052" s="4">
        <f>CHOOSE( CONTROL!$C$36, 41.5658, 41.5648) * CHOOSE(CONTROL!$C$19, $D$11, 100%, $F$11)</f>
        <v>41.565800000000003</v>
      </c>
      <c r="I1052" s="8">
        <f>CHOOSE( CONTROL!$C$36, 40.0044, 40.0034) * CHOOSE(CONTROL!$C$19, $D$11, 100%, $F$11)</f>
        <v>40.004399999999997</v>
      </c>
      <c r="J1052" s="4">
        <f>CHOOSE( CONTROL!$C$36, 39.8535, 39.8525) * CHOOSE(CONTROL!$C$19, $D$11, 100%, $F$11)</f>
        <v>39.853499999999997</v>
      </c>
      <c r="K1052" s="4"/>
      <c r="L1052" s="9">
        <v>30.092199999999998</v>
      </c>
      <c r="M1052" s="9">
        <v>11.6745</v>
      </c>
      <c r="N1052" s="9">
        <v>4.7850000000000001</v>
      </c>
      <c r="O1052" s="9">
        <v>0.36199999999999999</v>
      </c>
      <c r="P1052" s="9">
        <v>1.2509999999999999</v>
      </c>
      <c r="Q1052" s="9">
        <v>19.053000000000001</v>
      </c>
      <c r="R1052" s="9"/>
      <c r="S1052" s="11"/>
    </row>
    <row r="1053" spans="1:19" ht="15.75">
      <c r="A1053" s="13">
        <v>73201</v>
      </c>
      <c r="B1053" s="8">
        <f>CHOOSE( CONTROL!$C$36, 42.2404, 42.2388) * CHOOSE(CONTROL!$C$19, $D$11, 100%, $F$11)</f>
        <v>42.240400000000001</v>
      </c>
      <c r="C1053" s="8">
        <f>CHOOSE( CONTROL!$C$36, 42.2484, 42.2468) * CHOOSE(CONTROL!$C$19, $D$11, 100%, $F$11)</f>
        <v>42.248399999999997</v>
      </c>
      <c r="D1053" s="8">
        <f>CHOOSE( CONTROL!$C$36, 42.2626, 42.2609) * CHOOSE( CONTROL!$C$19, $D$11, 100%, $F$11)</f>
        <v>42.262599999999999</v>
      </c>
      <c r="E1053" s="12">
        <f>CHOOSE( CONTROL!$C$36, 42.2562, 42.2546) * CHOOSE( CONTROL!$C$19, $D$11, 100%, $F$11)</f>
        <v>42.2562</v>
      </c>
      <c r="F1053" s="4">
        <f>CHOOSE( CONTROL!$C$36, 42.9734, 42.9718) * CHOOSE(CONTROL!$C$19, $D$11, 100%, $F$11)</f>
        <v>42.973399999999998</v>
      </c>
      <c r="G1053" s="8">
        <f>CHOOSE( CONTROL!$C$36, 41.7033, 41.7017) * CHOOSE( CONTROL!$C$19, $D$11, 100%, $F$11)</f>
        <v>41.703299999999999</v>
      </c>
      <c r="H1053" s="4">
        <f>CHOOSE( CONTROL!$C$36, 42.6478, 42.6461) * CHOOSE(CONTROL!$C$19, $D$11, 100%, $F$11)</f>
        <v>42.647799999999997</v>
      </c>
      <c r="I1053" s="8">
        <f>CHOOSE( CONTROL!$C$36, 41.067, 41.0654) * CHOOSE(CONTROL!$C$19, $D$11, 100%, $F$11)</f>
        <v>41.067</v>
      </c>
      <c r="J1053" s="4">
        <f>CHOOSE( CONTROL!$C$36, 40.916, 40.9144) * CHOOSE(CONTROL!$C$19, $D$11, 100%, $F$11)</f>
        <v>40.915999999999997</v>
      </c>
      <c r="K1053" s="4"/>
      <c r="L1053" s="9">
        <v>30.7165</v>
      </c>
      <c r="M1053" s="9">
        <v>12.063700000000001</v>
      </c>
      <c r="N1053" s="9">
        <v>4.9444999999999997</v>
      </c>
      <c r="O1053" s="9">
        <v>0.37409999999999999</v>
      </c>
      <c r="P1053" s="9">
        <v>1.2927</v>
      </c>
      <c r="Q1053" s="9">
        <v>19.688099999999999</v>
      </c>
      <c r="R1053" s="9"/>
      <c r="S1053" s="11"/>
    </row>
    <row r="1054" spans="1:19" ht="15.75">
      <c r="A1054" s="13">
        <v>73231</v>
      </c>
      <c r="B1054" s="8">
        <f>CHOOSE( CONTROL!$C$36, 41.5611, 41.5594) * CHOOSE(CONTROL!$C$19, $D$11, 100%, $F$11)</f>
        <v>41.561100000000003</v>
      </c>
      <c r="C1054" s="8">
        <f>CHOOSE( CONTROL!$C$36, 41.5691, 41.5674) * CHOOSE(CONTROL!$C$19, $D$11, 100%, $F$11)</f>
        <v>41.569099999999999</v>
      </c>
      <c r="D1054" s="8">
        <f>CHOOSE( CONTROL!$C$36, 41.5835, 41.5818) * CHOOSE( CONTROL!$C$19, $D$11, 100%, $F$11)</f>
        <v>41.583500000000001</v>
      </c>
      <c r="E1054" s="12">
        <f>CHOOSE( CONTROL!$C$36, 41.5771, 41.5754) * CHOOSE( CONTROL!$C$19, $D$11, 100%, $F$11)</f>
        <v>41.577100000000002</v>
      </c>
      <c r="F1054" s="4">
        <f>CHOOSE( CONTROL!$C$36, 42.2941, 42.2924) * CHOOSE(CONTROL!$C$19, $D$11, 100%, $F$11)</f>
        <v>42.2941</v>
      </c>
      <c r="G1054" s="8">
        <f>CHOOSE( CONTROL!$C$36, 41.0336, 41.0319) * CHOOSE( CONTROL!$C$19, $D$11, 100%, $F$11)</f>
        <v>41.0336</v>
      </c>
      <c r="H1054" s="4">
        <f>CHOOSE( CONTROL!$C$36, 41.9779, 41.9763) * CHOOSE(CONTROL!$C$19, $D$11, 100%, $F$11)</f>
        <v>41.977899999999998</v>
      </c>
      <c r="I1054" s="8">
        <f>CHOOSE( CONTROL!$C$36, 40.4095, 40.4079) * CHOOSE(CONTROL!$C$19, $D$11, 100%, $F$11)</f>
        <v>40.409500000000001</v>
      </c>
      <c r="J1054" s="4">
        <f>CHOOSE( CONTROL!$C$36, 40.2582, 40.2566) * CHOOSE(CONTROL!$C$19, $D$11, 100%, $F$11)</f>
        <v>40.258200000000002</v>
      </c>
      <c r="K1054" s="4"/>
      <c r="L1054" s="9">
        <v>29.7257</v>
      </c>
      <c r="M1054" s="9">
        <v>11.6745</v>
      </c>
      <c r="N1054" s="9">
        <v>4.7850000000000001</v>
      </c>
      <c r="O1054" s="9">
        <v>0.36199999999999999</v>
      </c>
      <c r="P1054" s="9">
        <v>1.2509999999999999</v>
      </c>
      <c r="Q1054" s="9">
        <v>19.053000000000001</v>
      </c>
      <c r="R1054" s="9"/>
      <c r="S1054" s="11"/>
    </row>
    <row r="1055" spans="1:19" ht="15.75">
      <c r="A1055" s="13">
        <v>73262</v>
      </c>
      <c r="B1055" s="8">
        <f>CHOOSE( CONTROL!$C$36, 43.35, 43.3484) * CHOOSE(CONTROL!$C$19, $D$11, 100%, $F$11)</f>
        <v>43.35</v>
      </c>
      <c r="C1055" s="8">
        <f>CHOOSE( CONTROL!$C$36, 43.358, 43.3564) * CHOOSE(CONTROL!$C$19, $D$11, 100%, $F$11)</f>
        <v>43.357999999999997</v>
      </c>
      <c r="D1055" s="8">
        <f>CHOOSE( CONTROL!$C$36, 43.3727, 43.371) * CHOOSE( CONTROL!$C$19, $D$11, 100%, $F$11)</f>
        <v>43.372700000000002</v>
      </c>
      <c r="E1055" s="12">
        <f>CHOOSE( CONTROL!$C$36, 43.3662, 43.3645) * CHOOSE( CONTROL!$C$19, $D$11, 100%, $F$11)</f>
        <v>43.366199999999999</v>
      </c>
      <c r="F1055" s="4">
        <f>CHOOSE( CONTROL!$C$36, 44.0831, 44.0814) * CHOOSE(CONTROL!$C$19, $D$11, 100%, $F$11)</f>
        <v>44.083100000000002</v>
      </c>
      <c r="G1055" s="8">
        <f>CHOOSE( CONTROL!$C$36, 42.7978, 42.7961) * CHOOSE( CONTROL!$C$19, $D$11, 100%, $F$11)</f>
        <v>42.797800000000002</v>
      </c>
      <c r="H1055" s="4">
        <f>CHOOSE( CONTROL!$C$36, 43.7419, 43.7403) * CHOOSE(CONTROL!$C$19, $D$11, 100%, $F$11)</f>
        <v>43.741900000000001</v>
      </c>
      <c r="I1055" s="8">
        <f>CHOOSE( CONTROL!$C$36, 42.1435, 42.1419) * CHOOSE(CONTROL!$C$19, $D$11, 100%, $F$11)</f>
        <v>42.143500000000003</v>
      </c>
      <c r="J1055" s="4">
        <f>CHOOSE( CONTROL!$C$36, 41.9904, 41.9888) * CHOOSE(CONTROL!$C$19, $D$11, 100%, $F$11)</f>
        <v>41.990400000000001</v>
      </c>
      <c r="K1055" s="4"/>
      <c r="L1055" s="9">
        <v>30.7165</v>
      </c>
      <c r="M1055" s="9">
        <v>12.063700000000001</v>
      </c>
      <c r="N1055" s="9">
        <v>4.9444999999999997</v>
      </c>
      <c r="O1055" s="9">
        <v>0.37409999999999999</v>
      </c>
      <c r="P1055" s="9">
        <v>1.2927</v>
      </c>
      <c r="Q1055" s="9">
        <v>19.688099999999999</v>
      </c>
      <c r="R1055" s="9"/>
      <c r="S1055" s="11"/>
    </row>
    <row r="1056" spans="1:19" ht="15.75">
      <c r="A1056" s="13">
        <v>73293</v>
      </c>
      <c r="B1056" s="8">
        <f>CHOOSE( CONTROL!$C$36, 40.0027, 40.001) * CHOOSE(CONTROL!$C$19, $D$11, 100%, $F$11)</f>
        <v>40.002699999999997</v>
      </c>
      <c r="C1056" s="8">
        <f>CHOOSE( CONTROL!$C$36, 40.0107, 40.009) * CHOOSE(CONTROL!$C$19, $D$11, 100%, $F$11)</f>
        <v>40.0107</v>
      </c>
      <c r="D1056" s="8">
        <f>CHOOSE( CONTROL!$C$36, 40.0254, 40.0237) * CHOOSE( CONTROL!$C$19, $D$11, 100%, $F$11)</f>
        <v>40.025399999999998</v>
      </c>
      <c r="E1056" s="12">
        <f>CHOOSE( CONTROL!$C$36, 40.0189, 40.0172) * CHOOSE( CONTROL!$C$19, $D$11, 100%, $F$11)</f>
        <v>40.018900000000002</v>
      </c>
      <c r="F1056" s="4">
        <f>CHOOSE( CONTROL!$C$36, 40.7357, 40.7341) * CHOOSE(CONTROL!$C$19, $D$11, 100%, $F$11)</f>
        <v>40.735700000000001</v>
      </c>
      <c r="G1056" s="8">
        <f>CHOOSE( CONTROL!$C$36, 39.4972, 39.4955) * CHOOSE( CONTROL!$C$19, $D$11, 100%, $F$11)</f>
        <v>39.497199999999999</v>
      </c>
      <c r="H1056" s="4">
        <f>CHOOSE( CONTROL!$C$36, 40.4413, 40.4396) * CHOOSE(CONTROL!$C$19, $D$11, 100%, $F$11)</f>
        <v>40.441299999999998</v>
      </c>
      <c r="I1056" s="8">
        <f>CHOOSE( CONTROL!$C$36, 38.9008, 38.8992) * CHOOSE(CONTROL!$C$19, $D$11, 100%, $F$11)</f>
        <v>38.900799999999997</v>
      </c>
      <c r="J1056" s="4">
        <f>CHOOSE( CONTROL!$C$36, 38.7492, 38.7476) * CHOOSE(CONTROL!$C$19, $D$11, 100%, $F$11)</f>
        <v>38.749200000000002</v>
      </c>
      <c r="K1056" s="4"/>
      <c r="L1056" s="9">
        <v>30.7165</v>
      </c>
      <c r="M1056" s="9">
        <v>12.063700000000001</v>
      </c>
      <c r="N1056" s="9">
        <v>4.9444999999999997</v>
      </c>
      <c r="O1056" s="9">
        <v>0.37409999999999999</v>
      </c>
      <c r="P1056" s="9">
        <v>1.2927</v>
      </c>
      <c r="Q1056" s="9">
        <v>19.688099999999999</v>
      </c>
      <c r="R1056" s="9"/>
      <c r="S1056" s="11"/>
    </row>
    <row r="1057" spans="1:19" ht="15.75">
      <c r="A1057" s="13">
        <v>73323</v>
      </c>
      <c r="B1057" s="8">
        <f>CHOOSE( CONTROL!$C$36, 39.1645, 39.1628) * CHOOSE(CONTROL!$C$19, $D$11, 100%, $F$11)</f>
        <v>39.164499999999997</v>
      </c>
      <c r="C1057" s="8">
        <f>CHOOSE( CONTROL!$C$36, 39.1725, 39.1708) * CHOOSE(CONTROL!$C$19, $D$11, 100%, $F$11)</f>
        <v>39.172499999999999</v>
      </c>
      <c r="D1057" s="8">
        <f>CHOOSE( CONTROL!$C$36, 39.1871, 39.1854) * CHOOSE( CONTROL!$C$19, $D$11, 100%, $F$11)</f>
        <v>39.187100000000001</v>
      </c>
      <c r="E1057" s="12">
        <f>CHOOSE( CONTROL!$C$36, 39.1806, 39.1789) * CHOOSE( CONTROL!$C$19, $D$11, 100%, $F$11)</f>
        <v>39.180599999999998</v>
      </c>
      <c r="F1057" s="4">
        <f>CHOOSE( CONTROL!$C$36, 39.8975, 39.8958) * CHOOSE(CONTROL!$C$19, $D$11, 100%, $F$11)</f>
        <v>39.897500000000001</v>
      </c>
      <c r="G1057" s="8">
        <f>CHOOSE( CONTROL!$C$36, 38.6706, 38.6689) * CHOOSE( CONTROL!$C$19, $D$11, 100%, $F$11)</f>
        <v>38.6706</v>
      </c>
      <c r="H1057" s="4">
        <f>CHOOSE( CONTROL!$C$36, 39.6147, 39.6131) * CHOOSE(CONTROL!$C$19, $D$11, 100%, $F$11)</f>
        <v>39.614699999999999</v>
      </c>
      <c r="I1057" s="8">
        <f>CHOOSE( CONTROL!$C$36, 38.0884, 38.0868) * CHOOSE(CONTROL!$C$19, $D$11, 100%, $F$11)</f>
        <v>38.0884</v>
      </c>
      <c r="J1057" s="4">
        <f>CHOOSE( CONTROL!$C$36, 37.9376, 37.936) * CHOOSE(CONTROL!$C$19, $D$11, 100%, $F$11)</f>
        <v>37.937600000000003</v>
      </c>
      <c r="K1057" s="4"/>
      <c r="L1057" s="9">
        <v>29.7257</v>
      </c>
      <c r="M1057" s="9">
        <v>11.6745</v>
      </c>
      <c r="N1057" s="9">
        <v>4.7850000000000001</v>
      </c>
      <c r="O1057" s="9">
        <v>0.36199999999999999</v>
      </c>
      <c r="P1057" s="9">
        <v>1.2509999999999999</v>
      </c>
      <c r="Q1057" s="9">
        <v>19.053000000000001</v>
      </c>
      <c r="R1057" s="9"/>
      <c r="S1057" s="11"/>
    </row>
    <row r="1058" spans="1:19" ht="15.75">
      <c r="A1058" s="13">
        <v>73354</v>
      </c>
      <c r="B1058" s="8">
        <f>CHOOSE( CONTROL!$C$36, 40.9026, 40.9015) * CHOOSE(CONTROL!$C$19, $D$11, 100%, $F$11)</f>
        <v>40.9026</v>
      </c>
      <c r="C1058" s="8">
        <f>CHOOSE( CONTROL!$C$36, 40.908, 40.9069) * CHOOSE(CONTROL!$C$19, $D$11, 100%, $F$11)</f>
        <v>40.908000000000001</v>
      </c>
      <c r="D1058" s="8">
        <f>CHOOSE( CONTROL!$C$36, 40.9284, 40.9274) * CHOOSE( CONTROL!$C$19, $D$11, 100%, $F$11)</f>
        <v>40.928400000000003</v>
      </c>
      <c r="E1058" s="12">
        <f>CHOOSE( CONTROL!$C$36, 40.9211, 40.9201) * CHOOSE( CONTROL!$C$19, $D$11, 100%, $F$11)</f>
        <v>40.921100000000003</v>
      </c>
      <c r="F1058" s="4">
        <f>CHOOSE( CONTROL!$C$36, 41.6374, 41.6363) * CHOOSE(CONTROL!$C$19, $D$11, 100%, $F$11)</f>
        <v>41.6374</v>
      </c>
      <c r="G1058" s="8">
        <f>CHOOSE( CONTROL!$C$36, 40.3864, 40.3853) * CHOOSE( CONTROL!$C$19, $D$11, 100%, $F$11)</f>
        <v>40.386400000000002</v>
      </c>
      <c r="H1058" s="4">
        <f>CHOOSE( CONTROL!$C$36, 41.3303, 41.3292) * CHOOSE(CONTROL!$C$19, $D$11, 100%, $F$11)</f>
        <v>41.330300000000001</v>
      </c>
      <c r="I1058" s="8">
        <f>CHOOSE( CONTROL!$C$36, 39.775, 39.7739) * CHOOSE(CONTROL!$C$19, $D$11, 100%, $F$11)</f>
        <v>39.774999999999999</v>
      </c>
      <c r="J1058" s="4">
        <f>CHOOSE( CONTROL!$C$36, 39.6223, 39.6212) * CHOOSE(CONTROL!$C$19, $D$11, 100%, $F$11)</f>
        <v>39.622300000000003</v>
      </c>
      <c r="K1058" s="4"/>
      <c r="L1058" s="9">
        <v>31.095300000000002</v>
      </c>
      <c r="M1058" s="9">
        <v>12.063700000000001</v>
      </c>
      <c r="N1058" s="9">
        <v>4.9444999999999997</v>
      </c>
      <c r="O1058" s="9">
        <v>0.37409999999999999</v>
      </c>
      <c r="P1058" s="9">
        <v>1.2927</v>
      </c>
      <c r="Q1058" s="9">
        <v>19.688099999999999</v>
      </c>
      <c r="R1058" s="9"/>
      <c r="S1058" s="11"/>
    </row>
    <row r="1059" spans="1:19" ht="15.75">
      <c r="A1059" s="13">
        <v>73384</v>
      </c>
      <c r="B1059" s="8">
        <f>CHOOSE( CONTROL!$C$36, 44.1147, 44.1136) * CHOOSE(CONTROL!$C$19, $D$11, 100%, $F$11)</f>
        <v>44.114699999999999</v>
      </c>
      <c r="C1059" s="8">
        <f>CHOOSE( CONTROL!$C$36, 44.1198, 44.1187) * CHOOSE(CONTROL!$C$19, $D$11, 100%, $F$11)</f>
        <v>44.119799999999998</v>
      </c>
      <c r="D1059" s="8">
        <f>CHOOSE( CONTROL!$C$36, 44.099, 44.0979) * CHOOSE( CONTROL!$C$19, $D$11, 100%, $F$11)</f>
        <v>44.098999999999997</v>
      </c>
      <c r="E1059" s="12">
        <f>CHOOSE( CONTROL!$C$36, 44.1061, 44.105) * CHOOSE( CONTROL!$C$19, $D$11, 100%, $F$11)</f>
        <v>44.106099999999998</v>
      </c>
      <c r="F1059" s="4">
        <f>CHOOSE( CONTROL!$C$36, 44.7739, 44.7728) * CHOOSE(CONTROL!$C$19, $D$11, 100%, $F$11)</f>
        <v>44.773899999999998</v>
      </c>
      <c r="G1059" s="8">
        <f>CHOOSE( CONTROL!$C$36, 43.534, 43.5329) * CHOOSE( CONTROL!$C$19, $D$11, 100%, $F$11)</f>
        <v>43.533999999999999</v>
      </c>
      <c r="H1059" s="4">
        <f>CHOOSE( CONTROL!$C$36, 44.4231, 44.422) * CHOOSE(CONTROL!$C$19, $D$11, 100%, $F$11)</f>
        <v>44.423099999999998</v>
      </c>
      <c r="I1059" s="8">
        <f>CHOOSE( CONTROL!$C$36, 42.9363, 42.9352) * CHOOSE(CONTROL!$C$19, $D$11, 100%, $F$11)</f>
        <v>42.936300000000003</v>
      </c>
      <c r="J1059" s="4">
        <f>CHOOSE( CONTROL!$C$36, 42.7329, 42.7318) * CHOOSE(CONTROL!$C$19, $D$11, 100%, $F$11)</f>
        <v>42.732900000000001</v>
      </c>
      <c r="K1059" s="4"/>
      <c r="L1059" s="9">
        <v>28.360600000000002</v>
      </c>
      <c r="M1059" s="9">
        <v>11.6745</v>
      </c>
      <c r="N1059" s="9">
        <v>4.7850000000000001</v>
      </c>
      <c r="O1059" s="9">
        <v>0.36199999999999999</v>
      </c>
      <c r="P1059" s="9">
        <v>1.2509999999999999</v>
      </c>
      <c r="Q1059" s="9">
        <v>19.053000000000001</v>
      </c>
      <c r="R1059" s="9"/>
      <c r="S1059" s="11"/>
    </row>
    <row r="1060" spans="1:19" ht="15.75">
      <c r="A1060" s="13">
        <v>73415</v>
      </c>
      <c r="B1060" s="8">
        <f>CHOOSE( CONTROL!$C$36, 44.0344, 44.0333) * CHOOSE(CONTROL!$C$19, $D$11, 100%, $F$11)</f>
        <v>44.034399999999998</v>
      </c>
      <c r="C1060" s="8">
        <f>CHOOSE( CONTROL!$C$36, 44.0395, 44.0384) * CHOOSE(CONTROL!$C$19, $D$11, 100%, $F$11)</f>
        <v>44.039499999999997</v>
      </c>
      <c r="D1060" s="8">
        <f>CHOOSE( CONTROL!$C$36, 44.0201, 44.019) * CHOOSE( CONTROL!$C$19, $D$11, 100%, $F$11)</f>
        <v>44.020099999999999</v>
      </c>
      <c r="E1060" s="12">
        <f>CHOOSE( CONTROL!$C$36, 44.0267, 44.0256) * CHOOSE( CONTROL!$C$19, $D$11, 100%, $F$11)</f>
        <v>44.026699999999998</v>
      </c>
      <c r="F1060" s="4">
        <f>CHOOSE( CONTROL!$C$36, 44.6936, 44.6926) * CHOOSE(CONTROL!$C$19, $D$11, 100%, $F$11)</f>
        <v>44.693600000000004</v>
      </c>
      <c r="G1060" s="8">
        <f>CHOOSE( CONTROL!$C$36, 43.4558, 43.4547) * CHOOSE( CONTROL!$C$19, $D$11, 100%, $F$11)</f>
        <v>43.455800000000004</v>
      </c>
      <c r="H1060" s="4">
        <f>CHOOSE( CONTROL!$C$36, 44.344, 44.3429) * CHOOSE(CONTROL!$C$19, $D$11, 100%, $F$11)</f>
        <v>44.344000000000001</v>
      </c>
      <c r="I1060" s="8">
        <f>CHOOSE( CONTROL!$C$36, 42.8628, 42.8618) * CHOOSE(CONTROL!$C$19, $D$11, 100%, $F$11)</f>
        <v>42.8628</v>
      </c>
      <c r="J1060" s="4">
        <f>CHOOSE( CONTROL!$C$36, 42.6552, 42.6541) * CHOOSE(CONTROL!$C$19, $D$11, 100%, $F$11)</f>
        <v>42.655200000000001</v>
      </c>
      <c r="K1060" s="4"/>
      <c r="L1060" s="9">
        <v>29.306000000000001</v>
      </c>
      <c r="M1060" s="9">
        <v>12.063700000000001</v>
      </c>
      <c r="N1060" s="9">
        <v>4.9444999999999997</v>
      </c>
      <c r="O1060" s="9">
        <v>0.37409999999999999</v>
      </c>
      <c r="P1060" s="9">
        <v>1.2927</v>
      </c>
      <c r="Q1060" s="9">
        <v>19.688099999999999</v>
      </c>
      <c r="R1060" s="9"/>
      <c r="S1060" s="11"/>
    </row>
    <row r="1061" spans="1:19">
      <c r="A1061" s="10"/>
      <c r="F1061" s="1"/>
      <c r="H1061" s="1"/>
      <c r="Q1061" s="9"/>
    </row>
    <row r="1062" spans="1:19" ht="15" customHeight="1">
      <c r="A1062" s="3">
        <v>2014</v>
      </c>
      <c r="B1062" s="8">
        <f t="shared" ref="B1062:H1062" si="1">AVERAGE(B17:B28)</f>
        <v>4.53301536190805</v>
      </c>
      <c r="C1062" s="8">
        <f t="shared" si="1"/>
        <v>4.5392514770891301</v>
      </c>
      <c r="D1062" s="8">
        <f t="shared" si="1"/>
        <v>4.568887920011762</v>
      </c>
      <c r="E1062" s="8">
        <f t="shared" si="1"/>
        <v>4.558886933126848</v>
      </c>
      <c r="F1062" s="4">
        <f t="shared" si="1"/>
        <v>5.2385583824796376</v>
      </c>
      <c r="G1062" s="8">
        <f t="shared" si="1"/>
        <v>4.5391196713748236</v>
      </c>
      <c r="H1062" s="4">
        <f t="shared" si="1"/>
        <v>5.3666488437301929</v>
      </c>
      <c r="I1062" s="8"/>
      <c r="J1062" s="4">
        <f>AVERAGE(J17:J28)</f>
        <v>4.4034384459720979</v>
      </c>
      <c r="K1062" s="4">
        <f>AVERAGE(K17:K28)</f>
        <v>4.5038504479414163</v>
      </c>
      <c r="L1062" s="5">
        <f>SUM(L17:L28)</f>
        <v>360.57927420000004</v>
      </c>
      <c r="M1062" s="5">
        <f>SUM(M17:M28)</f>
        <v>142.03995</v>
      </c>
      <c r="N1062" s="5">
        <f>SUM(N17:N28)</f>
        <v>56.540100000000002</v>
      </c>
      <c r="O1062" s="5">
        <f>SUM(O17:O28)</f>
        <v>7.7105140000000025</v>
      </c>
      <c r="P1062" s="5">
        <f>SUM(P17:P28)</f>
        <v>7.914449276</v>
      </c>
      <c r="Q1062" s="5"/>
      <c r="R1062" s="5">
        <f>SUM(R17:R28)</f>
        <v>3.899999999999999</v>
      </c>
      <c r="S1062" s="5">
        <f>SUM(S17:S28)</f>
        <v>12.630875000000003</v>
      </c>
    </row>
    <row r="1063" spans="1:19" ht="15" customHeight="1">
      <c r="A1063" s="3">
        <v>2015</v>
      </c>
      <c r="B1063" s="8">
        <f t="shared" ref="B1063:H1063" si="2">AVERAGE(B29:B40)</f>
        <v>4.0256833333333342</v>
      </c>
      <c r="C1063" s="8">
        <f t="shared" si="2"/>
        <v>4.0319750000000001</v>
      </c>
      <c r="D1063" s="8">
        <f t="shared" si="2"/>
        <v>4.0262666666666656</v>
      </c>
      <c r="E1063" s="8">
        <f t="shared" si="2"/>
        <v>4.027425</v>
      </c>
      <c r="F1063" s="4">
        <f t="shared" si="2"/>
        <v>4.7282333333333328</v>
      </c>
      <c r="G1063" s="8">
        <f t="shared" si="2"/>
        <v>4.0138833333333332</v>
      </c>
      <c r="H1063" s="4">
        <f t="shared" si="2"/>
        <v>4.9361250000000005</v>
      </c>
      <c r="I1063" s="8"/>
      <c r="J1063" s="4">
        <f>AVERAGE(J29:J40)</f>
        <v>3.9138083333333333</v>
      </c>
      <c r="K1063" s="4">
        <f>AVERAGE(K29:K40)</f>
        <v>3.9981166666666659</v>
      </c>
      <c r="L1063" s="5">
        <f>SUM(L29:L40)</f>
        <v>361.77389999999997</v>
      </c>
      <c r="M1063" s="5">
        <f>SUM(M29:M40)</f>
        <v>142.0401</v>
      </c>
      <c r="N1063" s="5">
        <f>SUM(N29:N40)</f>
        <v>56.113899999999994</v>
      </c>
      <c r="O1063" s="5">
        <f>SUM(O29:O40)</f>
        <v>7.2496000000000018</v>
      </c>
      <c r="P1063" s="5">
        <f>SUM(P29:P40)</f>
        <v>16.906700000000001</v>
      </c>
      <c r="Q1063" s="5"/>
      <c r="R1063" s="5">
        <f>SUM(R29:R40)</f>
        <v>3.5999999999999992</v>
      </c>
      <c r="S1063" s="5">
        <f>SUM(S29:S40)</f>
        <v>12.811500000000002</v>
      </c>
    </row>
    <row r="1064" spans="1:19" ht="15" customHeight="1">
      <c r="A1064" s="3">
        <v>2016</v>
      </c>
      <c r="B1064" s="8">
        <f t="shared" ref="B1064:H1064" si="3">AVERAGE(B41:B52)</f>
        <v>4.1685499999999998</v>
      </c>
      <c r="C1064" s="8">
        <f t="shared" si="3"/>
        <v>4.174833333333333</v>
      </c>
      <c r="D1064" s="8">
        <f t="shared" si="3"/>
        <v>4.1742083333333335</v>
      </c>
      <c r="E1064" s="8">
        <f t="shared" si="3"/>
        <v>4.1736083333333331</v>
      </c>
      <c r="F1064" s="4">
        <f t="shared" si="3"/>
        <v>4.8711083333333329</v>
      </c>
      <c r="G1064" s="8">
        <f t="shared" si="3"/>
        <v>4.1468666666666669</v>
      </c>
      <c r="H1064" s="4">
        <f t="shared" si="3"/>
        <v>5.0769916666666663</v>
      </c>
      <c r="I1064" s="8"/>
      <c r="J1064" s="4">
        <f>AVERAGE(J41:J52)</f>
        <v>4.0521416666666665</v>
      </c>
      <c r="K1064" s="5"/>
      <c r="L1064" s="5">
        <f>SUM(L41:L52)</f>
        <v>356.48229999999995</v>
      </c>
      <c r="M1064" s="5">
        <f>SUM(M41:M52)</f>
        <v>142.42920000000001</v>
      </c>
      <c r="N1064" s="5">
        <f>SUM(N41:N52)</f>
        <v>58.377000000000002</v>
      </c>
      <c r="O1064" s="5">
        <f>SUM(O41:O52)</f>
        <v>5.3597999999999999</v>
      </c>
      <c r="P1064" s="5">
        <f>SUM(P41:P52)</f>
        <v>20.483299999999996</v>
      </c>
      <c r="Q1064" s="5"/>
      <c r="R1064" s="5">
        <f>SUM(R41:R52)</f>
        <v>3.5999999999999992</v>
      </c>
      <c r="S1064" s="5"/>
    </row>
    <row r="1065" spans="1:19" ht="15" customHeight="1">
      <c r="A1065" s="3">
        <v>2017</v>
      </c>
      <c r="B1065" s="8">
        <f t="shared" ref="B1065:J1065" si="4">AVERAGE(B53:B64)</f>
        <v>4.6317916666666656</v>
      </c>
      <c r="C1065" s="8">
        <f t="shared" si="4"/>
        <v>4.6380583333333334</v>
      </c>
      <c r="D1065" s="8">
        <f t="shared" si="4"/>
        <v>4.6385500000000004</v>
      </c>
      <c r="E1065" s="8">
        <f t="shared" si="4"/>
        <v>4.6375833333333327</v>
      </c>
      <c r="F1065" s="4">
        <f t="shared" si="4"/>
        <v>5.334341666666667</v>
      </c>
      <c r="G1065" s="8">
        <f t="shared" si="4"/>
        <v>4.6031916666666666</v>
      </c>
      <c r="H1065" s="4">
        <f t="shared" si="4"/>
        <v>5.5337416666666668</v>
      </c>
      <c r="I1065" s="8">
        <f t="shared" si="4"/>
        <v>4.6511333333333331</v>
      </c>
      <c r="J1065" s="4">
        <f t="shared" si="4"/>
        <v>4.5006750000000002</v>
      </c>
      <c r="K1065" s="4"/>
      <c r="L1065" s="5">
        <f t="shared" ref="L1065:Q1065" si="5">SUM(L53:L64)</f>
        <v>355.53689999999995</v>
      </c>
      <c r="M1065" s="5">
        <f t="shared" si="5"/>
        <v>142.0401</v>
      </c>
      <c r="N1065" s="5">
        <f t="shared" si="5"/>
        <v>58.217499999999994</v>
      </c>
      <c r="O1065" s="5">
        <f t="shared" si="5"/>
        <v>4.4046000000000003</v>
      </c>
      <c r="P1065" s="5">
        <f t="shared" si="5"/>
        <v>20.590200000000003</v>
      </c>
      <c r="Q1065" s="5">
        <f t="shared" si="5"/>
        <v>198.18529999999998</v>
      </c>
      <c r="R1065" s="5"/>
      <c r="S1065" s="4"/>
    </row>
    <row r="1066" spans="1:19" ht="15" customHeight="1">
      <c r="A1066" s="3">
        <v>2018</v>
      </c>
      <c r="B1066" s="8">
        <f t="shared" ref="B1066:J1066" si="6">AVERAGE(B65:B76)</f>
        <v>4.8397583333333332</v>
      </c>
      <c r="C1066" s="8">
        <f t="shared" si="6"/>
        <v>4.8460416666666672</v>
      </c>
      <c r="D1066" s="8">
        <f t="shared" si="6"/>
        <v>4.852383333333333</v>
      </c>
      <c r="E1066" s="8">
        <f t="shared" si="6"/>
        <v>4.8494000000000002</v>
      </c>
      <c r="F1066" s="4">
        <f t="shared" si="6"/>
        <v>5.5423083333333336</v>
      </c>
      <c r="G1066" s="8">
        <f t="shared" si="6"/>
        <v>4.8205916666666662</v>
      </c>
      <c r="H1066" s="4">
        <f t="shared" si="6"/>
        <v>5.7388249999999994</v>
      </c>
      <c r="I1066" s="8">
        <f t="shared" si="6"/>
        <v>4.8526249999999997</v>
      </c>
      <c r="J1066" s="4">
        <f t="shared" si="6"/>
        <v>4.7020500000000007</v>
      </c>
      <c r="K1066" s="4"/>
      <c r="L1066" s="5">
        <f t="shared" ref="L1066:Q1066" si="7">SUM(L65:L76)</f>
        <v>355.53689999999995</v>
      </c>
      <c r="M1066" s="5">
        <f t="shared" si="7"/>
        <v>142.0401</v>
      </c>
      <c r="N1066" s="5">
        <f t="shared" si="7"/>
        <v>58.217499999999994</v>
      </c>
      <c r="O1066" s="5">
        <f t="shared" si="7"/>
        <v>4.4046000000000003</v>
      </c>
      <c r="P1066" s="5">
        <f t="shared" si="7"/>
        <v>15.220499999999998</v>
      </c>
      <c r="Q1066" s="5">
        <f t="shared" si="7"/>
        <v>293.19730000000004</v>
      </c>
      <c r="R1066" s="5"/>
      <c r="S1066" s="4"/>
    </row>
    <row r="1067" spans="1:19" ht="15" customHeight="1">
      <c r="A1067" s="3">
        <v>2019</v>
      </c>
      <c r="B1067" s="8">
        <f t="shared" ref="B1067:J1067" si="8">AVERAGE(B77:B88)</f>
        <v>5.4586333333333323</v>
      </c>
      <c r="C1067" s="8">
        <f t="shared" si="8"/>
        <v>5.4649083333333337</v>
      </c>
      <c r="D1067" s="8">
        <f t="shared" si="8"/>
        <v>5.471258333333334</v>
      </c>
      <c r="E1067" s="8">
        <f t="shared" si="8"/>
        <v>5.4682750000000011</v>
      </c>
      <c r="F1067" s="4">
        <f t="shared" si="8"/>
        <v>6.1611666666666665</v>
      </c>
      <c r="G1067" s="8">
        <f t="shared" si="8"/>
        <v>5.4308249999999996</v>
      </c>
      <c r="H1067" s="4">
        <f t="shared" si="8"/>
        <v>6.349075</v>
      </c>
      <c r="I1067" s="8">
        <f t="shared" si="8"/>
        <v>5.4521583333333332</v>
      </c>
      <c r="J1067" s="4">
        <f t="shared" si="8"/>
        <v>5.3012833333333331</v>
      </c>
      <c r="K1067" s="4"/>
      <c r="L1067" s="5">
        <f t="shared" ref="L1067:Q1067" si="9">SUM(L77:L88)</f>
        <v>355.53689999999995</v>
      </c>
      <c r="M1067" s="5">
        <f t="shared" si="9"/>
        <v>142.0401</v>
      </c>
      <c r="N1067" s="5">
        <f t="shared" si="9"/>
        <v>58.217499999999994</v>
      </c>
      <c r="O1067" s="5">
        <f t="shared" si="9"/>
        <v>4.4046000000000003</v>
      </c>
      <c r="P1067" s="5">
        <f t="shared" si="9"/>
        <v>15.220499999999998</v>
      </c>
      <c r="Q1067" s="5">
        <f t="shared" si="9"/>
        <v>290.24799999999999</v>
      </c>
      <c r="R1067" s="5"/>
      <c r="S1067" s="4"/>
    </row>
    <row r="1068" spans="1:19" ht="15" customHeight="1">
      <c r="A1068" s="3">
        <v>2020</v>
      </c>
      <c r="B1068" s="8">
        <f t="shared" ref="B1068:J1068" si="10">AVERAGE(B89:B100)</f>
        <v>5.6135416666666655</v>
      </c>
      <c r="C1068" s="8">
        <f t="shared" si="10"/>
        <v>5.6198249999999996</v>
      </c>
      <c r="D1068" s="8">
        <f t="shared" si="10"/>
        <v>5.6261749999999999</v>
      </c>
      <c r="E1068" s="8">
        <f t="shared" si="10"/>
        <v>5.6231916666666661</v>
      </c>
      <c r="F1068" s="4">
        <f t="shared" si="10"/>
        <v>6.3160833333333324</v>
      </c>
      <c r="G1068" s="8">
        <f t="shared" si="10"/>
        <v>5.5835833333333333</v>
      </c>
      <c r="H1068" s="4">
        <f t="shared" si="10"/>
        <v>6.5018083333333339</v>
      </c>
      <c r="I1068" s="8">
        <f t="shared" si="10"/>
        <v>5.602241666666667</v>
      </c>
      <c r="J1068" s="4">
        <f t="shared" si="10"/>
        <v>5.4512833333333335</v>
      </c>
      <c r="K1068" s="4"/>
      <c r="L1068" s="5">
        <f t="shared" ref="L1068:Q1068" si="11">SUM(L89:L100)</f>
        <v>356.48229999999995</v>
      </c>
      <c r="M1068" s="5">
        <f t="shared" si="11"/>
        <v>142.42920000000001</v>
      </c>
      <c r="N1068" s="5">
        <f t="shared" si="11"/>
        <v>58.377000000000002</v>
      </c>
      <c r="O1068" s="5">
        <f t="shared" si="11"/>
        <v>4.4165999999999999</v>
      </c>
      <c r="P1068" s="5">
        <f t="shared" si="11"/>
        <v>15.262199999999998</v>
      </c>
      <c r="Q1068" s="5">
        <f t="shared" si="11"/>
        <v>349.04309999999998</v>
      </c>
      <c r="R1068" s="5"/>
      <c r="S1068" s="4"/>
    </row>
    <row r="1069" spans="1:19" ht="15" customHeight="1">
      <c r="A1069" s="3">
        <v>2021</v>
      </c>
      <c r="B1069" s="8">
        <f t="shared" ref="B1069:J1069" si="12">AVERAGE(B101:B112)</f>
        <v>5.8200916666666664</v>
      </c>
      <c r="C1069" s="8">
        <f t="shared" si="12"/>
        <v>5.8263833333333332</v>
      </c>
      <c r="D1069" s="8">
        <f t="shared" si="12"/>
        <v>5.8327333333333335</v>
      </c>
      <c r="E1069" s="8">
        <f t="shared" si="12"/>
        <v>5.8297416666666662</v>
      </c>
      <c r="F1069" s="4">
        <f t="shared" si="12"/>
        <v>6.5226250000000006</v>
      </c>
      <c r="G1069" s="8">
        <f t="shared" si="12"/>
        <v>5.7872416666666666</v>
      </c>
      <c r="H1069" s="4">
        <f t="shared" si="12"/>
        <v>6.7054833333333344</v>
      </c>
      <c r="I1069" s="8">
        <f t="shared" si="12"/>
        <v>5.8023500000000006</v>
      </c>
      <c r="J1069" s="4">
        <f t="shared" si="12"/>
        <v>5.6513083333333336</v>
      </c>
      <c r="K1069" s="4"/>
      <c r="L1069" s="5">
        <f t="shared" ref="L1069:Q1069" si="13">SUM(L101:L112)</f>
        <v>355.53689999999995</v>
      </c>
      <c r="M1069" s="5">
        <f t="shared" si="13"/>
        <v>142.0401</v>
      </c>
      <c r="N1069" s="5">
        <f t="shared" si="13"/>
        <v>58.217499999999994</v>
      </c>
      <c r="O1069" s="5">
        <f t="shared" si="13"/>
        <v>4.4046000000000003</v>
      </c>
      <c r="P1069" s="5">
        <f t="shared" si="13"/>
        <v>15.220499999999998</v>
      </c>
      <c r="Q1069" s="5">
        <f t="shared" si="13"/>
        <v>388.68129999999996</v>
      </c>
      <c r="R1069" s="5"/>
      <c r="S1069" s="4"/>
    </row>
    <row r="1070" spans="1:19" ht="15" customHeight="1">
      <c r="A1070" s="3">
        <v>2022</v>
      </c>
      <c r="B1070" s="8">
        <f t="shared" ref="B1070:J1070" si="14">AVERAGE(B113:B124)</f>
        <v>6.0266333333333328</v>
      </c>
      <c r="C1070" s="8">
        <f t="shared" si="14"/>
        <v>6.0329083333333342</v>
      </c>
      <c r="D1070" s="8">
        <f t="shared" si="14"/>
        <v>6.0392583333333336</v>
      </c>
      <c r="E1070" s="8">
        <f t="shared" si="14"/>
        <v>6.0362666666666662</v>
      </c>
      <c r="F1070" s="4">
        <f t="shared" si="14"/>
        <v>6.7291750000000006</v>
      </c>
      <c r="G1070" s="8">
        <f t="shared" si="14"/>
        <v>5.9909166666666671</v>
      </c>
      <c r="H1070" s="4">
        <f t="shared" si="14"/>
        <v>6.909158333333334</v>
      </c>
      <c r="I1070" s="8">
        <f t="shared" si="14"/>
        <v>6.0024416666666669</v>
      </c>
      <c r="J1070" s="4">
        <f t="shared" si="14"/>
        <v>5.8512999999999993</v>
      </c>
      <c r="K1070" s="4"/>
      <c r="L1070" s="5">
        <f t="shared" ref="L1070:Q1070" si="15">SUM(L113:L124)</f>
        <v>355.53689999999995</v>
      </c>
      <c r="M1070" s="5">
        <f t="shared" si="15"/>
        <v>142.0401</v>
      </c>
      <c r="N1070" s="5">
        <f t="shared" si="15"/>
        <v>58.217499999999994</v>
      </c>
      <c r="O1070" s="5">
        <f t="shared" si="15"/>
        <v>4.4046000000000003</v>
      </c>
      <c r="P1070" s="5">
        <f t="shared" si="15"/>
        <v>15.220499999999998</v>
      </c>
      <c r="Q1070" s="5">
        <f t="shared" si="15"/>
        <v>386.33820000000003</v>
      </c>
      <c r="R1070" s="5"/>
      <c r="S1070" s="4"/>
    </row>
    <row r="1071" spans="1:19" ht="15" customHeight="1">
      <c r="A1071" s="3">
        <v>2023</v>
      </c>
      <c r="B1071" s="8">
        <f t="shared" ref="B1071:J1071" si="16">AVERAGE(B125:B136)</f>
        <v>6.2331833333333337</v>
      </c>
      <c r="C1071" s="8">
        <f t="shared" si="16"/>
        <v>6.2394666666666678</v>
      </c>
      <c r="D1071" s="8">
        <f t="shared" si="16"/>
        <v>6.2457999999999991</v>
      </c>
      <c r="E1071" s="8">
        <f t="shared" si="16"/>
        <v>6.2428250000000007</v>
      </c>
      <c r="F1071" s="4">
        <f t="shared" si="16"/>
        <v>6.9357249999999988</v>
      </c>
      <c r="G1071" s="8">
        <f t="shared" si="16"/>
        <v>6.1945750000000013</v>
      </c>
      <c r="H1071" s="4">
        <f t="shared" si="16"/>
        <v>7.1127833333333337</v>
      </c>
      <c r="I1071" s="8">
        <f t="shared" si="16"/>
        <v>6.202541666666666</v>
      </c>
      <c r="J1071" s="4">
        <f t="shared" si="16"/>
        <v>6.0512916666666667</v>
      </c>
      <c r="K1071" s="4"/>
      <c r="L1071" s="5">
        <f t="shared" ref="L1071:Q1071" si="17">SUM(L125:L136)</f>
        <v>355.53689999999995</v>
      </c>
      <c r="M1071" s="5">
        <f t="shared" si="17"/>
        <v>142.0401</v>
      </c>
      <c r="N1071" s="5">
        <f t="shared" si="17"/>
        <v>58.217499999999994</v>
      </c>
      <c r="O1071" s="5">
        <f t="shared" si="17"/>
        <v>4.4046000000000003</v>
      </c>
      <c r="P1071" s="5">
        <f t="shared" si="17"/>
        <v>15.220499999999998</v>
      </c>
      <c r="Q1071" s="5">
        <f t="shared" si="17"/>
        <v>384.12599999999998</v>
      </c>
      <c r="R1071" s="5"/>
      <c r="S1071" s="4"/>
    </row>
    <row r="1072" spans="1:19" ht="15" customHeight="1">
      <c r="A1072" s="3">
        <v>2024</v>
      </c>
      <c r="B1072" s="8">
        <f t="shared" ref="B1072:J1072" si="18">AVERAGE(B137:B148)</f>
        <v>6.4397250000000001</v>
      </c>
      <c r="C1072" s="8">
        <f t="shared" si="18"/>
        <v>6.4460083333333325</v>
      </c>
      <c r="D1072" s="8">
        <f t="shared" si="18"/>
        <v>6.4523666666666672</v>
      </c>
      <c r="E1072" s="8">
        <f t="shared" si="18"/>
        <v>6.4493750000000007</v>
      </c>
      <c r="F1072" s="4">
        <f t="shared" si="18"/>
        <v>7.1422916666666678</v>
      </c>
      <c r="G1072" s="8">
        <f t="shared" si="18"/>
        <v>6.3982416666666664</v>
      </c>
      <c r="H1072" s="4">
        <f t="shared" si="18"/>
        <v>7.316466666666666</v>
      </c>
      <c r="I1072" s="8">
        <f t="shared" si="18"/>
        <v>6.4026500000000004</v>
      </c>
      <c r="J1072" s="4">
        <f t="shared" si="18"/>
        <v>6.2512666666666661</v>
      </c>
      <c r="K1072" s="4"/>
      <c r="L1072" s="5">
        <f t="shared" ref="L1072:Q1072" si="19">SUM(L137:L148)</f>
        <v>356.48229999999995</v>
      </c>
      <c r="M1072" s="5">
        <f t="shared" si="19"/>
        <v>142.42920000000001</v>
      </c>
      <c r="N1072" s="5">
        <f t="shared" si="19"/>
        <v>58.377000000000002</v>
      </c>
      <c r="O1072" s="5">
        <f t="shared" si="19"/>
        <v>4.4165999999999999</v>
      </c>
      <c r="P1072" s="5">
        <f t="shared" si="19"/>
        <v>15.262199999999998</v>
      </c>
      <c r="Q1072" s="5">
        <f t="shared" si="19"/>
        <v>383.00459999999998</v>
      </c>
      <c r="R1072" s="5"/>
      <c r="S1072" s="4"/>
    </row>
    <row r="1073" spans="1:19" ht="15" customHeight="1">
      <c r="A1073" s="3">
        <v>2025</v>
      </c>
      <c r="B1073" s="8">
        <f t="shared" ref="B1073:J1073" si="20">AVERAGE(B149:B160)</f>
        <v>6.5946416666666652</v>
      </c>
      <c r="C1073" s="8">
        <f t="shared" si="20"/>
        <v>6.6009166666666665</v>
      </c>
      <c r="D1073" s="8">
        <f t="shared" si="20"/>
        <v>6.6072750000000005</v>
      </c>
      <c r="E1073" s="8">
        <f t="shared" si="20"/>
        <v>6.6042750000000003</v>
      </c>
      <c r="F1073" s="4">
        <f t="shared" si="20"/>
        <v>7.2971666666666666</v>
      </c>
      <c r="G1073" s="8">
        <f t="shared" si="20"/>
        <v>6.5509916666666674</v>
      </c>
      <c r="H1073" s="4">
        <f t="shared" si="20"/>
        <v>7.4692333333333343</v>
      </c>
      <c r="I1073" s="8">
        <f t="shared" si="20"/>
        <v>6.5527166666666661</v>
      </c>
      <c r="J1073" s="4">
        <f t="shared" si="20"/>
        <v>6.4012750000000009</v>
      </c>
      <c r="K1073" s="4"/>
      <c r="L1073" s="5">
        <f t="shared" ref="L1073:Q1073" si="21">SUM(L149:L160)</f>
        <v>355.53689999999995</v>
      </c>
      <c r="M1073" s="5">
        <f t="shared" si="21"/>
        <v>142.0401</v>
      </c>
      <c r="N1073" s="5">
        <f t="shared" si="21"/>
        <v>58.217499999999994</v>
      </c>
      <c r="O1073" s="5">
        <f t="shared" si="21"/>
        <v>4.4046000000000003</v>
      </c>
      <c r="P1073" s="5">
        <f t="shared" si="21"/>
        <v>15.220499999999998</v>
      </c>
      <c r="Q1073" s="5">
        <f t="shared" si="21"/>
        <v>379.76819999999998</v>
      </c>
      <c r="R1073" s="5"/>
      <c r="S1073" s="4"/>
    </row>
    <row r="1074" spans="1:19" ht="15" customHeight="1">
      <c r="A1074" s="3">
        <v>2026</v>
      </c>
      <c r="B1074" s="8">
        <f t="shared" ref="B1074:J1074" si="22">AVERAGE(B161:B172)</f>
        <v>6.8012000000000006</v>
      </c>
      <c r="C1074" s="8">
        <f t="shared" si="22"/>
        <v>6.8074666666666666</v>
      </c>
      <c r="D1074" s="8">
        <f t="shared" si="22"/>
        <v>6.8138333333333323</v>
      </c>
      <c r="E1074" s="8">
        <f t="shared" si="22"/>
        <v>6.810833333333334</v>
      </c>
      <c r="F1074" s="4">
        <f t="shared" si="22"/>
        <v>7.5037333333333338</v>
      </c>
      <c r="G1074" s="8">
        <f t="shared" si="22"/>
        <v>6.7546749999999998</v>
      </c>
      <c r="H1074" s="4">
        <f t="shared" si="22"/>
        <v>7.6728916666666658</v>
      </c>
      <c r="I1074" s="8">
        <f t="shared" si="22"/>
        <v>6.7528166666666651</v>
      </c>
      <c r="J1074" s="4">
        <f t="shared" si="22"/>
        <v>6.6012833333333347</v>
      </c>
      <c r="K1074" s="4"/>
      <c r="L1074" s="5">
        <f t="shared" ref="L1074:Q1074" si="23">SUM(L161:L172)</f>
        <v>355.53689999999995</v>
      </c>
      <c r="M1074" s="5">
        <f t="shared" si="23"/>
        <v>142.0401</v>
      </c>
      <c r="N1074" s="5">
        <f t="shared" si="23"/>
        <v>58.217499999999994</v>
      </c>
      <c r="O1074" s="5">
        <f t="shared" si="23"/>
        <v>4.4046000000000003</v>
      </c>
      <c r="P1074" s="5">
        <f t="shared" si="23"/>
        <v>15.220499999999998</v>
      </c>
      <c r="Q1074" s="5">
        <f t="shared" si="23"/>
        <v>377.59969999999987</v>
      </c>
      <c r="R1074" s="5"/>
      <c r="S1074" s="4"/>
    </row>
    <row r="1075" spans="1:19" ht="15" customHeight="1">
      <c r="A1075" s="3">
        <v>2027</v>
      </c>
      <c r="B1075" s="8">
        <f t="shared" ref="B1075:J1075" si="24">AVERAGE(B173:B184)</f>
        <v>7.0593583333333347</v>
      </c>
      <c r="C1075" s="8">
        <f t="shared" si="24"/>
        <v>7.0656499999999989</v>
      </c>
      <c r="D1075" s="8">
        <f t="shared" si="24"/>
        <v>7.0720000000000001</v>
      </c>
      <c r="E1075" s="8">
        <f t="shared" si="24"/>
        <v>7.0690083333333336</v>
      </c>
      <c r="F1075" s="4">
        <f t="shared" si="24"/>
        <v>7.7619083333333343</v>
      </c>
      <c r="G1075" s="8">
        <f t="shared" si="24"/>
        <v>7.0092499999999989</v>
      </c>
      <c r="H1075" s="4">
        <f t="shared" si="24"/>
        <v>7.9274666666666675</v>
      </c>
      <c r="I1075" s="8">
        <f t="shared" si="24"/>
        <v>7.0029333333333321</v>
      </c>
      <c r="J1075" s="4">
        <f t="shared" si="24"/>
        <v>6.8512916666666657</v>
      </c>
      <c r="K1075" s="4"/>
      <c r="L1075" s="5">
        <f t="shared" ref="L1075:Q1075" si="25">SUM(L173:L184)</f>
        <v>355.53689999999995</v>
      </c>
      <c r="M1075" s="5">
        <f t="shared" si="25"/>
        <v>142.0401</v>
      </c>
      <c r="N1075" s="5">
        <f t="shared" si="25"/>
        <v>58.217499999999994</v>
      </c>
      <c r="O1075" s="5">
        <f t="shared" si="25"/>
        <v>4.4046000000000003</v>
      </c>
      <c r="P1075" s="5">
        <f t="shared" si="25"/>
        <v>15.220499999999998</v>
      </c>
      <c r="Q1075" s="5">
        <f t="shared" si="25"/>
        <v>375.43180000000001</v>
      </c>
      <c r="R1075" s="5"/>
      <c r="S1075" s="4"/>
    </row>
    <row r="1076" spans="1:19" ht="15" customHeight="1">
      <c r="A1076" s="3">
        <v>2028</v>
      </c>
      <c r="B1076" s="8">
        <f t="shared" ref="B1076:J1076" si="26">AVERAGE(B185:B196)</f>
        <v>7.3175499999999998</v>
      </c>
      <c r="C1076" s="8">
        <f t="shared" si="26"/>
        <v>7.3238333333333339</v>
      </c>
      <c r="D1076" s="8">
        <f t="shared" si="26"/>
        <v>7.3301916666666669</v>
      </c>
      <c r="E1076" s="8">
        <f t="shared" si="26"/>
        <v>7.3271999999999986</v>
      </c>
      <c r="F1076" s="4">
        <f t="shared" si="26"/>
        <v>8.0201083333333312</v>
      </c>
      <c r="G1076" s="8">
        <f t="shared" si="26"/>
        <v>7.2638249999999998</v>
      </c>
      <c r="H1076" s="4">
        <f t="shared" si="26"/>
        <v>8.1820499999999985</v>
      </c>
      <c r="I1076" s="8">
        <f t="shared" si="26"/>
        <v>7.2530749999999999</v>
      </c>
      <c r="J1076" s="4">
        <f t="shared" si="26"/>
        <v>7.1013000000000011</v>
      </c>
      <c r="K1076" s="4"/>
      <c r="L1076" s="5">
        <f t="shared" ref="L1076:Q1076" si="27">SUM(L185:L196)</f>
        <v>356.48229999999995</v>
      </c>
      <c r="M1076" s="5">
        <f t="shared" si="27"/>
        <v>142.42920000000001</v>
      </c>
      <c r="N1076" s="5">
        <f t="shared" si="27"/>
        <v>58.377000000000002</v>
      </c>
      <c r="O1076" s="5">
        <f t="shared" si="27"/>
        <v>4.4165999999999999</v>
      </c>
      <c r="P1076" s="5">
        <f t="shared" si="27"/>
        <v>15.262199999999998</v>
      </c>
      <c r="Q1076" s="5">
        <f t="shared" si="27"/>
        <v>374.28599999999994</v>
      </c>
      <c r="R1076" s="5"/>
      <c r="S1076" s="4"/>
    </row>
    <row r="1077" spans="1:19" ht="15" customHeight="1">
      <c r="A1077" s="3">
        <v>2029</v>
      </c>
      <c r="B1077" s="8">
        <f t="shared" ref="B1077:J1077" si="28">AVERAGE(B197:B208)</f>
        <v>7.6273750000000007</v>
      </c>
      <c r="C1077" s="8">
        <f t="shared" si="28"/>
        <v>7.633658333333333</v>
      </c>
      <c r="D1077" s="8">
        <f t="shared" si="28"/>
        <v>7.6400083333333333</v>
      </c>
      <c r="E1077" s="8">
        <f t="shared" si="28"/>
        <v>7.637016666666665</v>
      </c>
      <c r="F1077" s="4">
        <f t="shared" si="28"/>
        <v>8.3299333333333312</v>
      </c>
      <c r="G1077" s="8">
        <f t="shared" si="28"/>
        <v>7.5693333333333337</v>
      </c>
      <c r="H1077" s="4">
        <f t="shared" si="28"/>
        <v>8.4875583333333324</v>
      </c>
      <c r="I1077" s="8">
        <f t="shared" si="28"/>
        <v>7.553208333333334</v>
      </c>
      <c r="J1077" s="4">
        <f t="shared" si="28"/>
        <v>7.4012833333333319</v>
      </c>
      <c r="K1077" s="4"/>
      <c r="L1077" s="5">
        <f t="shared" ref="L1077:Q1077" si="29">SUM(L197:L208)</f>
        <v>355.53689999999995</v>
      </c>
      <c r="M1077" s="5">
        <f t="shared" si="29"/>
        <v>142.0401</v>
      </c>
      <c r="N1077" s="5">
        <f t="shared" si="29"/>
        <v>58.217499999999994</v>
      </c>
      <c r="O1077" s="5">
        <f t="shared" si="29"/>
        <v>4.4046000000000003</v>
      </c>
      <c r="P1077" s="5">
        <f t="shared" si="29"/>
        <v>15.220499999999998</v>
      </c>
      <c r="Q1077" s="5">
        <f t="shared" si="29"/>
        <v>371.09549999999996</v>
      </c>
      <c r="R1077" s="5"/>
      <c r="S1077" s="4"/>
    </row>
    <row r="1078" spans="1:19" ht="15" customHeight="1">
      <c r="A1078" s="3">
        <v>2030</v>
      </c>
      <c r="B1078" s="8">
        <f t="shared" ref="B1078:J1078" si="30">AVERAGE(B209:B220)</f>
        <v>7.9372000000000007</v>
      </c>
      <c r="C1078" s="8">
        <f t="shared" si="30"/>
        <v>7.943483333333333</v>
      </c>
      <c r="D1078" s="8">
        <f t="shared" si="30"/>
        <v>7.9498249999999997</v>
      </c>
      <c r="E1078" s="8">
        <f t="shared" si="30"/>
        <v>7.9468333333333341</v>
      </c>
      <c r="F1078" s="4">
        <f t="shared" si="30"/>
        <v>8.6397416666666675</v>
      </c>
      <c r="G1078" s="8">
        <f t="shared" si="30"/>
        <v>7.8748250000000004</v>
      </c>
      <c r="H1078" s="4">
        <f t="shared" si="30"/>
        <v>8.7930499999999991</v>
      </c>
      <c r="I1078" s="8">
        <f t="shared" si="30"/>
        <v>7.8533750000000024</v>
      </c>
      <c r="J1078" s="4">
        <f t="shared" si="30"/>
        <v>7.7013083333333325</v>
      </c>
      <c r="K1078" s="4"/>
      <c r="L1078" s="5">
        <f t="shared" ref="L1078:Q1078" si="31">SUM(L209:L220)</f>
        <v>355.53689999999995</v>
      </c>
      <c r="M1078" s="5">
        <f t="shared" si="31"/>
        <v>142.0401</v>
      </c>
      <c r="N1078" s="5">
        <f t="shared" si="31"/>
        <v>58.217499999999994</v>
      </c>
      <c r="O1078" s="5">
        <f t="shared" si="31"/>
        <v>4.4046000000000003</v>
      </c>
      <c r="P1078" s="5">
        <f t="shared" si="31"/>
        <v>15.220499999999998</v>
      </c>
      <c r="Q1078" s="5">
        <f t="shared" si="31"/>
        <v>368.9276999999999</v>
      </c>
      <c r="R1078" s="5"/>
      <c r="S1078" s="4"/>
    </row>
    <row r="1079" spans="1:19" ht="15" customHeight="1">
      <c r="A1079" s="3">
        <v>2031</v>
      </c>
      <c r="B1079" s="8">
        <f t="shared" ref="B1079:J1079" si="32">AVERAGE(B221:B232)</f>
        <v>8.1282583333333331</v>
      </c>
      <c r="C1079" s="8">
        <f t="shared" si="32"/>
        <v>8.1345416666666654</v>
      </c>
      <c r="D1079" s="8">
        <f t="shared" si="32"/>
        <v>8.1408916666666666</v>
      </c>
      <c r="E1079" s="8">
        <f t="shared" si="32"/>
        <v>8.1379000000000001</v>
      </c>
      <c r="F1079" s="4">
        <f t="shared" si="32"/>
        <v>8.830824999999999</v>
      </c>
      <c r="G1079" s="8">
        <f t="shared" si="32"/>
        <v>8.063225000000001</v>
      </c>
      <c r="H1079" s="4">
        <f t="shared" si="32"/>
        <v>8.9814500000000006</v>
      </c>
      <c r="I1079" s="8">
        <f t="shared" si="32"/>
        <v>8.038475</v>
      </c>
      <c r="J1079" s="4">
        <f t="shared" si="32"/>
        <v>7.8863000000000012</v>
      </c>
      <c r="K1079" s="4"/>
      <c r="L1079" s="5">
        <f t="shared" ref="L1079:Q1079" si="33">SUM(L221:L232)</f>
        <v>355.53689999999995</v>
      </c>
      <c r="M1079" s="5">
        <f t="shared" si="33"/>
        <v>142.0401</v>
      </c>
      <c r="N1079" s="5">
        <f t="shared" si="33"/>
        <v>58.217499999999994</v>
      </c>
      <c r="O1079" s="5">
        <f t="shared" si="33"/>
        <v>4.4046000000000003</v>
      </c>
      <c r="P1079" s="5">
        <f t="shared" si="33"/>
        <v>15.220499999999998</v>
      </c>
      <c r="Q1079" s="5">
        <f t="shared" si="33"/>
        <v>365.31420000000003</v>
      </c>
      <c r="R1079" s="5"/>
      <c r="S1079" s="4"/>
    </row>
    <row r="1080" spans="1:19" ht="15" customHeight="1">
      <c r="A1080" s="3">
        <v>2032</v>
      </c>
      <c r="B1080" s="8">
        <f t="shared" ref="B1080:J1080" si="34">AVERAGE(B233:B244)</f>
        <v>8.3239250000000009</v>
      </c>
      <c r="C1080" s="8">
        <f t="shared" si="34"/>
        <v>8.3302166666666668</v>
      </c>
      <c r="D1080" s="8">
        <f t="shared" si="34"/>
        <v>8.336566666666668</v>
      </c>
      <c r="E1080" s="8">
        <f t="shared" si="34"/>
        <v>8.3335750000000015</v>
      </c>
      <c r="F1080" s="4">
        <f t="shared" si="34"/>
        <v>9.0264749999999996</v>
      </c>
      <c r="G1080" s="8">
        <f t="shared" si="34"/>
        <v>8.2561666666666671</v>
      </c>
      <c r="H1080" s="4">
        <f t="shared" si="34"/>
        <v>9.1743833333333331</v>
      </c>
      <c r="I1080" s="8">
        <f t="shared" si="34"/>
        <v>8.2280250000000006</v>
      </c>
      <c r="J1080" s="4">
        <f t="shared" si="34"/>
        <v>8.0757583333333347</v>
      </c>
      <c r="K1080" s="4"/>
      <c r="L1080" s="5">
        <f t="shared" ref="L1080:Q1080" si="35">SUM(L233:L244)</f>
        <v>356.48229999999995</v>
      </c>
      <c r="M1080" s="5">
        <f t="shared" si="35"/>
        <v>142.42920000000001</v>
      </c>
      <c r="N1080" s="5">
        <f t="shared" si="35"/>
        <v>58.377000000000002</v>
      </c>
      <c r="O1080" s="5">
        <f t="shared" si="35"/>
        <v>4.4165999999999999</v>
      </c>
      <c r="P1080" s="5">
        <f t="shared" si="35"/>
        <v>15.262199999999998</v>
      </c>
      <c r="Q1080" s="5">
        <f t="shared" si="35"/>
        <v>364.46999999999997</v>
      </c>
      <c r="R1080" s="5"/>
      <c r="S1080" s="4"/>
    </row>
    <row r="1081" spans="1:19" ht="15" customHeight="1">
      <c r="A1081" s="3">
        <v>2033</v>
      </c>
      <c r="B1081" s="8">
        <f t="shared" ref="B1081:J1081" si="36">AVERAGE(B245:B256)</f>
        <v>8.524283333333333</v>
      </c>
      <c r="C1081" s="8">
        <f t="shared" si="36"/>
        <v>8.5305583333333335</v>
      </c>
      <c r="D1081" s="8">
        <f t="shared" si="36"/>
        <v>8.5369083333333347</v>
      </c>
      <c r="E1081" s="8">
        <f t="shared" si="36"/>
        <v>8.5339166666666664</v>
      </c>
      <c r="F1081" s="4">
        <f t="shared" si="36"/>
        <v>9.2268250000000016</v>
      </c>
      <c r="G1081" s="8">
        <f t="shared" si="36"/>
        <v>8.4537250000000004</v>
      </c>
      <c r="H1081" s="4">
        <f t="shared" si="36"/>
        <v>9.37195</v>
      </c>
      <c r="I1081" s="8">
        <f t="shared" si="36"/>
        <v>8.4221416666666666</v>
      </c>
      <c r="J1081" s="4">
        <f t="shared" si="36"/>
        <v>8.2697749999999992</v>
      </c>
      <c r="K1081" s="4"/>
      <c r="L1081" s="5">
        <f t="shared" ref="L1081:Q1081" si="37">SUM(L245:L256)</f>
        <v>355.53689999999995</v>
      </c>
      <c r="M1081" s="5">
        <f t="shared" si="37"/>
        <v>142.0401</v>
      </c>
      <c r="N1081" s="5">
        <f t="shared" si="37"/>
        <v>58.217499999999994</v>
      </c>
      <c r="O1081" s="5">
        <f t="shared" si="37"/>
        <v>4.4046000000000003</v>
      </c>
      <c r="P1081" s="5">
        <f t="shared" si="37"/>
        <v>15.220499999999998</v>
      </c>
      <c r="Q1081" s="5">
        <f t="shared" si="37"/>
        <v>362.33550000000002</v>
      </c>
      <c r="R1081" s="5"/>
      <c r="S1081" s="4"/>
    </row>
    <row r="1082" spans="1:19" ht="15" customHeight="1">
      <c r="A1082" s="3">
        <v>2034</v>
      </c>
      <c r="B1082" s="8">
        <f t="shared" ref="B1082:J1082" si="38">AVERAGE(B257:B268)</f>
        <v>8.7294833333333326</v>
      </c>
      <c r="C1082" s="8">
        <f t="shared" si="38"/>
        <v>8.7357583333333331</v>
      </c>
      <c r="D1082" s="8">
        <f t="shared" si="38"/>
        <v>8.7420749999999998</v>
      </c>
      <c r="E1082" s="8">
        <f t="shared" si="38"/>
        <v>8.7390916666666669</v>
      </c>
      <c r="F1082" s="4">
        <f t="shared" si="38"/>
        <v>9.4320166666666676</v>
      </c>
      <c r="G1082" s="8">
        <f t="shared" si="38"/>
        <v>8.6560250000000014</v>
      </c>
      <c r="H1082" s="4">
        <f t="shared" si="38"/>
        <v>9.5742750000000019</v>
      </c>
      <c r="I1082" s="8">
        <f t="shared" si="38"/>
        <v>8.6209083333333325</v>
      </c>
      <c r="J1082" s="4">
        <f t="shared" si="38"/>
        <v>8.4684499999999989</v>
      </c>
      <c r="K1082" s="4"/>
      <c r="L1082" s="5">
        <f t="shared" ref="L1082:Q1082" si="39">SUM(L257:L268)</f>
        <v>355.53689999999995</v>
      </c>
      <c r="M1082" s="5">
        <f t="shared" si="39"/>
        <v>142.0401</v>
      </c>
      <c r="N1082" s="5">
        <f t="shared" si="39"/>
        <v>58.217499999999994</v>
      </c>
      <c r="O1082" s="5">
        <f t="shared" si="39"/>
        <v>4.4046000000000003</v>
      </c>
      <c r="P1082" s="5">
        <f t="shared" si="39"/>
        <v>15.220499999999998</v>
      </c>
      <c r="Q1082" s="5">
        <f t="shared" si="39"/>
        <v>361.59120000000007</v>
      </c>
      <c r="R1082" s="5"/>
      <c r="S1082" s="4"/>
    </row>
    <row r="1083" spans="1:19" ht="15" customHeight="1">
      <c r="A1083" s="3">
        <v>2035</v>
      </c>
      <c r="B1083" s="8">
        <f t="shared" ref="B1083:J1083" si="40">AVERAGE(B269:B280)</f>
        <v>8.9395749999999996</v>
      </c>
      <c r="C1083" s="8">
        <f t="shared" si="40"/>
        <v>8.9458583333333319</v>
      </c>
      <c r="D1083" s="8">
        <f t="shared" si="40"/>
        <v>8.9521999999999995</v>
      </c>
      <c r="E1083" s="8">
        <f t="shared" si="40"/>
        <v>8.949208333333333</v>
      </c>
      <c r="F1083" s="4">
        <f t="shared" si="40"/>
        <v>9.6421083333333311</v>
      </c>
      <c r="G1083" s="8">
        <f t="shared" si="40"/>
        <v>8.8632166666666663</v>
      </c>
      <c r="H1083" s="4">
        <f t="shared" si="40"/>
        <v>9.7814416666666659</v>
      </c>
      <c r="I1083" s="8">
        <f t="shared" si="40"/>
        <v>8.8244499999999988</v>
      </c>
      <c r="J1083" s="4">
        <f t="shared" si="40"/>
        <v>8.6718916666666654</v>
      </c>
      <c r="K1083" s="4"/>
      <c r="L1083" s="5">
        <f t="shared" ref="L1083:Q1083" si="41">SUM(L269:L280)</f>
        <v>355.53689999999995</v>
      </c>
      <c r="M1083" s="5">
        <f t="shared" si="41"/>
        <v>142.0401</v>
      </c>
      <c r="N1083" s="5">
        <f t="shared" si="41"/>
        <v>58.217499999999994</v>
      </c>
      <c r="O1083" s="5">
        <f t="shared" si="41"/>
        <v>4.4046000000000003</v>
      </c>
      <c r="P1083" s="5">
        <f t="shared" si="41"/>
        <v>15.220499999999998</v>
      </c>
      <c r="Q1083" s="5">
        <f t="shared" si="41"/>
        <v>360.82469999999995</v>
      </c>
      <c r="R1083" s="5"/>
      <c r="S1083" s="4"/>
    </row>
    <row r="1084" spans="1:19" ht="15" customHeight="1">
      <c r="A1084" s="3">
        <v>2036</v>
      </c>
      <c r="B1084" s="8">
        <f t="shared" ref="B1084:J1084" si="42">AVERAGE(B281:B292)</f>
        <v>9.1547083333333337</v>
      </c>
      <c r="C1084" s="8">
        <f t="shared" si="42"/>
        <v>9.1609999999999996</v>
      </c>
      <c r="D1084" s="8">
        <f t="shared" si="42"/>
        <v>9.1673583333333344</v>
      </c>
      <c r="E1084" s="8">
        <f t="shared" si="42"/>
        <v>9.1643666666666679</v>
      </c>
      <c r="F1084" s="4">
        <f t="shared" si="42"/>
        <v>9.8572666666666677</v>
      </c>
      <c r="G1084" s="8">
        <f t="shared" si="42"/>
        <v>9.0753666666666675</v>
      </c>
      <c r="H1084" s="4">
        <f t="shared" si="42"/>
        <v>9.9935916666666671</v>
      </c>
      <c r="I1084" s="8">
        <f t="shared" si="42"/>
        <v>9.0328916666666661</v>
      </c>
      <c r="J1084" s="4">
        <f t="shared" si="42"/>
        <v>8.8802333333333348</v>
      </c>
      <c r="K1084" s="4"/>
      <c r="L1084" s="5">
        <f t="shared" ref="L1084:Q1084" si="43">SUM(L281:L292)</f>
        <v>356.48229999999995</v>
      </c>
      <c r="M1084" s="5">
        <f t="shared" si="43"/>
        <v>142.42920000000001</v>
      </c>
      <c r="N1084" s="5">
        <f t="shared" si="43"/>
        <v>58.377000000000002</v>
      </c>
      <c r="O1084" s="5">
        <f t="shared" si="43"/>
        <v>4.4165999999999999</v>
      </c>
      <c r="P1084" s="5">
        <f t="shared" si="43"/>
        <v>15.262199999999998</v>
      </c>
      <c r="Q1084" s="5">
        <f t="shared" si="43"/>
        <v>361.0446</v>
      </c>
      <c r="R1084" s="5"/>
      <c r="S1084" s="4"/>
    </row>
    <row r="1085" spans="1:19" ht="15" customHeight="1">
      <c r="A1085" s="3">
        <v>2037</v>
      </c>
      <c r="B1085" s="8">
        <f t="shared" ref="B1085:J1085" si="44">AVERAGE(B293:B304)</f>
        <v>9.3750416666666663</v>
      </c>
      <c r="C1085" s="8">
        <f t="shared" si="44"/>
        <v>9.3813333333333322</v>
      </c>
      <c r="D1085" s="8">
        <f t="shared" si="44"/>
        <v>9.3876833333333334</v>
      </c>
      <c r="E1085" s="8">
        <f t="shared" si="44"/>
        <v>9.3846916666666669</v>
      </c>
      <c r="F1085" s="4">
        <f t="shared" si="44"/>
        <v>10.077583333333333</v>
      </c>
      <c r="G1085" s="8">
        <f t="shared" si="44"/>
        <v>9.2926166666666674</v>
      </c>
      <c r="H1085" s="4">
        <f t="shared" si="44"/>
        <v>10.210833333333333</v>
      </c>
      <c r="I1085" s="8">
        <f t="shared" si="44"/>
        <v>9.2463333333333342</v>
      </c>
      <c r="J1085" s="4">
        <f t="shared" si="44"/>
        <v>9.0935583333333323</v>
      </c>
      <c r="K1085" s="4"/>
      <c r="L1085" s="5">
        <f t="shared" ref="L1085:Q1085" si="45">SUM(L293:L304)</f>
        <v>355.53689999999995</v>
      </c>
      <c r="M1085" s="5">
        <f t="shared" si="45"/>
        <v>142.0401</v>
      </c>
      <c r="N1085" s="5">
        <f t="shared" si="45"/>
        <v>58.217499999999994</v>
      </c>
      <c r="O1085" s="5">
        <f t="shared" si="45"/>
        <v>4.4046000000000003</v>
      </c>
      <c r="P1085" s="5">
        <f t="shared" si="45"/>
        <v>15.220499999999998</v>
      </c>
      <c r="Q1085" s="5">
        <f t="shared" si="45"/>
        <v>359.29169999999999</v>
      </c>
      <c r="R1085" s="5"/>
      <c r="S1085" s="4"/>
    </row>
    <row r="1086" spans="1:19" ht="15" customHeight="1">
      <c r="A1086" s="3">
        <f t="shared" ref="A1086:A1117" si="46">A1085+1</f>
        <v>2038</v>
      </c>
      <c r="B1086" s="8">
        <f t="shared" ref="B1086:J1086" si="47">AVERAGE(B305:B316)</f>
        <v>9.6006666666666671</v>
      </c>
      <c r="C1086" s="8">
        <f t="shared" si="47"/>
        <v>9.6069499999999994</v>
      </c>
      <c r="D1086" s="8">
        <f t="shared" si="47"/>
        <v>9.613291666666667</v>
      </c>
      <c r="E1086" s="8">
        <f t="shared" si="47"/>
        <v>9.6103083333333341</v>
      </c>
      <c r="F1086" s="4">
        <f t="shared" si="47"/>
        <v>10.303208333333332</v>
      </c>
      <c r="G1086" s="8">
        <f t="shared" si="47"/>
        <v>9.5150833333333313</v>
      </c>
      <c r="H1086" s="4">
        <f t="shared" si="47"/>
        <v>10.433300000000001</v>
      </c>
      <c r="I1086" s="8">
        <f t="shared" si="47"/>
        <v>9.4649083333333337</v>
      </c>
      <c r="J1086" s="4">
        <f t="shared" si="47"/>
        <v>9.3120416666666657</v>
      </c>
      <c r="K1086" s="4"/>
      <c r="L1086" s="5">
        <f t="shared" ref="L1086:Q1086" si="48">SUM(L305:L316)</f>
        <v>355.53689999999995</v>
      </c>
      <c r="M1086" s="5">
        <f t="shared" si="48"/>
        <v>142.0401</v>
      </c>
      <c r="N1086" s="5">
        <f t="shared" si="48"/>
        <v>58.217499999999994</v>
      </c>
      <c r="O1086" s="5">
        <f t="shared" si="48"/>
        <v>4.4046000000000003</v>
      </c>
      <c r="P1086" s="5">
        <f t="shared" si="48"/>
        <v>15.220499999999998</v>
      </c>
      <c r="Q1086" s="5">
        <f t="shared" si="48"/>
        <v>358.54670000000004</v>
      </c>
      <c r="R1086" s="5"/>
      <c r="S1086" s="4"/>
    </row>
    <row r="1087" spans="1:19" ht="15" customHeight="1">
      <c r="A1087" s="3">
        <f t="shared" si="46"/>
        <v>2039</v>
      </c>
      <c r="B1087" s="8">
        <f t="shared" ref="B1087:J1087" si="49">AVERAGE(B317:B328)</f>
        <v>9.8316916666666661</v>
      </c>
      <c r="C1087" s="8">
        <f t="shared" si="49"/>
        <v>9.8379750000000001</v>
      </c>
      <c r="D1087" s="8">
        <f t="shared" si="49"/>
        <v>9.8443333333333349</v>
      </c>
      <c r="E1087" s="8">
        <f t="shared" si="49"/>
        <v>9.8413416666666667</v>
      </c>
      <c r="F1087" s="4">
        <f t="shared" si="49"/>
        <v>10.53425</v>
      </c>
      <c r="G1087" s="8">
        <f t="shared" si="49"/>
        <v>9.7428833333333333</v>
      </c>
      <c r="H1087" s="4">
        <f t="shared" si="49"/>
        <v>10.661125</v>
      </c>
      <c r="I1087" s="8">
        <f t="shared" si="49"/>
        <v>9.6887249999999998</v>
      </c>
      <c r="J1087" s="4">
        <f t="shared" si="49"/>
        <v>9.5357500000000002</v>
      </c>
      <c r="K1087" s="7"/>
      <c r="L1087" s="5">
        <f t="shared" ref="L1087:Q1087" si="50">SUM(L317:L328)</f>
        <v>355.53689999999995</v>
      </c>
      <c r="M1087" s="5">
        <f t="shared" si="50"/>
        <v>142.0401</v>
      </c>
      <c r="N1087" s="5">
        <f t="shared" si="50"/>
        <v>58.217499999999994</v>
      </c>
      <c r="O1087" s="5">
        <f t="shared" si="50"/>
        <v>4.4046000000000003</v>
      </c>
      <c r="P1087" s="5">
        <f t="shared" si="50"/>
        <v>15.220499999999998</v>
      </c>
      <c r="Q1087" s="5">
        <f t="shared" si="50"/>
        <v>357.78019999999998</v>
      </c>
      <c r="R1087" s="5"/>
      <c r="S1087" s="6"/>
    </row>
    <row r="1088" spans="1:19" ht="15" customHeight="1">
      <c r="A1088" s="3">
        <f t="shared" si="46"/>
        <v>2040</v>
      </c>
      <c r="B1088" s="8">
        <f t="shared" ref="B1088:J1088" si="51">AVERAGE(B329:B340)</f>
        <v>10.068275000000002</v>
      </c>
      <c r="C1088" s="8">
        <f t="shared" si="51"/>
        <v>10.074558333333332</v>
      </c>
      <c r="D1088" s="8">
        <f t="shared" si="51"/>
        <v>10.080924999999999</v>
      </c>
      <c r="E1088" s="8">
        <f t="shared" si="51"/>
        <v>10.077925</v>
      </c>
      <c r="F1088" s="4">
        <f t="shared" si="51"/>
        <v>10.770833333333334</v>
      </c>
      <c r="G1088" s="8">
        <f t="shared" si="51"/>
        <v>9.9761833333333332</v>
      </c>
      <c r="H1088" s="4">
        <f t="shared" si="51"/>
        <v>10.894416666666666</v>
      </c>
      <c r="I1088" s="8">
        <f t="shared" si="51"/>
        <v>9.9179333333333322</v>
      </c>
      <c r="J1088" s="4">
        <f t="shared" si="51"/>
        <v>9.7648166666666665</v>
      </c>
      <c r="K1088" s="7"/>
      <c r="L1088" s="5">
        <f t="shared" ref="L1088:Q1088" si="52">SUM(L329:L340)</f>
        <v>356.48229999999995</v>
      </c>
      <c r="M1088" s="5">
        <f t="shared" si="52"/>
        <v>142.42920000000001</v>
      </c>
      <c r="N1088" s="5">
        <f t="shared" si="52"/>
        <v>58.377000000000002</v>
      </c>
      <c r="O1088" s="5">
        <f t="shared" si="52"/>
        <v>4.4165999999999999</v>
      </c>
      <c r="P1088" s="5">
        <f t="shared" si="52"/>
        <v>15.262199999999998</v>
      </c>
      <c r="Q1088" s="5">
        <f t="shared" si="52"/>
        <v>357.99180000000001</v>
      </c>
      <c r="R1088" s="5"/>
      <c r="S1088" s="6"/>
    </row>
    <row r="1089" spans="1:19" ht="15" customHeight="1">
      <c r="A1089" s="3">
        <f t="shared" si="46"/>
        <v>2041</v>
      </c>
      <c r="B1089" s="8">
        <f t="shared" ref="B1089:J1089" si="53">AVERAGE(B341:B352)</f>
        <v>10.310566666666668</v>
      </c>
      <c r="C1089" s="8">
        <f t="shared" si="53"/>
        <v>10.316841666666667</v>
      </c>
      <c r="D1089" s="8">
        <f t="shared" si="53"/>
        <v>10.323175000000001</v>
      </c>
      <c r="E1089" s="8">
        <f t="shared" si="53"/>
        <v>10.320191666666668</v>
      </c>
      <c r="F1089" s="4">
        <f t="shared" si="53"/>
        <v>11.013116666666669</v>
      </c>
      <c r="G1089" s="8">
        <f t="shared" si="53"/>
        <v>10.215083333333334</v>
      </c>
      <c r="H1089" s="4">
        <f t="shared" si="53"/>
        <v>11.133308333333332</v>
      </c>
      <c r="I1089" s="8">
        <f t="shared" si="53"/>
        <v>10.152658333333333</v>
      </c>
      <c r="J1089" s="4">
        <f t="shared" si="53"/>
        <v>9.9994250000000005</v>
      </c>
      <c r="K1089" s="7"/>
      <c r="L1089" s="5">
        <f t="shared" ref="L1089:Q1089" si="54">SUM(L341:L352)</f>
        <v>355.53689999999995</v>
      </c>
      <c r="M1089" s="5">
        <f t="shared" si="54"/>
        <v>142.0401</v>
      </c>
      <c r="N1089" s="5">
        <f t="shared" si="54"/>
        <v>58.217499999999994</v>
      </c>
      <c r="O1089" s="5">
        <f t="shared" si="54"/>
        <v>4.4046000000000003</v>
      </c>
      <c r="P1089" s="5">
        <f t="shared" si="54"/>
        <v>15.220499999999998</v>
      </c>
      <c r="Q1089" s="5">
        <f t="shared" si="54"/>
        <v>356.26930000000004</v>
      </c>
      <c r="R1089" s="5"/>
      <c r="S1089" s="6"/>
    </row>
    <row r="1090" spans="1:19" ht="15" customHeight="1">
      <c r="A1090" s="3">
        <f t="shared" si="46"/>
        <v>2042</v>
      </c>
      <c r="B1090" s="8">
        <f t="shared" ref="B1090:J1090" si="55">AVERAGE(B353:B364)</f>
        <v>10.55865</v>
      </c>
      <c r="C1090" s="8">
        <f t="shared" si="55"/>
        <v>10.564941666666668</v>
      </c>
      <c r="D1090" s="8">
        <f t="shared" si="55"/>
        <v>10.571300000000001</v>
      </c>
      <c r="E1090" s="8">
        <f t="shared" si="55"/>
        <v>10.568308333333336</v>
      </c>
      <c r="F1090" s="4">
        <f t="shared" si="55"/>
        <v>11.261199999999997</v>
      </c>
      <c r="G1090" s="8">
        <f t="shared" si="55"/>
        <v>10.459716666666665</v>
      </c>
      <c r="H1090" s="4">
        <f t="shared" si="55"/>
        <v>11.377933333333333</v>
      </c>
      <c r="I1090" s="8">
        <f t="shared" si="55"/>
        <v>10.392983333333332</v>
      </c>
      <c r="J1090" s="4">
        <f t="shared" si="55"/>
        <v>10.239641666666666</v>
      </c>
      <c r="K1090" s="7"/>
      <c r="L1090" s="5">
        <f t="shared" ref="L1090:Q1090" si="56">SUM(L353:L364)</f>
        <v>355.53689999999995</v>
      </c>
      <c r="M1090" s="5">
        <f t="shared" si="56"/>
        <v>142.0401</v>
      </c>
      <c r="N1090" s="5">
        <f t="shared" si="56"/>
        <v>58.217499999999994</v>
      </c>
      <c r="O1090" s="5">
        <f t="shared" si="56"/>
        <v>4.4046000000000003</v>
      </c>
      <c r="P1090" s="5">
        <f t="shared" si="56"/>
        <v>15.220499999999998</v>
      </c>
      <c r="Q1090" s="5">
        <f t="shared" si="56"/>
        <v>242.47669999999997</v>
      </c>
      <c r="R1090" s="5"/>
      <c r="S1090" s="6"/>
    </row>
    <row r="1091" spans="1:19" ht="15" customHeight="1">
      <c r="A1091" s="3">
        <f t="shared" si="46"/>
        <v>2043</v>
      </c>
      <c r="B1091" s="8">
        <f t="shared" ref="B1091:J1091" si="57">AVERAGE(B365:B376)</f>
        <v>10.812708333333333</v>
      </c>
      <c r="C1091" s="8">
        <f t="shared" si="57"/>
        <v>10.818991666666669</v>
      </c>
      <c r="D1091" s="8">
        <f t="shared" si="57"/>
        <v>10.825341666666667</v>
      </c>
      <c r="E1091" s="8">
        <f t="shared" si="57"/>
        <v>10.82235</v>
      </c>
      <c r="F1091" s="4">
        <f t="shared" si="57"/>
        <v>11.51525</v>
      </c>
      <c r="G1091" s="8">
        <f t="shared" si="57"/>
        <v>10.710224999999999</v>
      </c>
      <c r="H1091" s="4">
        <f t="shared" si="57"/>
        <v>11.628450000000001</v>
      </c>
      <c r="I1091" s="8">
        <f t="shared" si="57"/>
        <v>10.639100000000001</v>
      </c>
      <c r="J1091" s="4">
        <f t="shared" si="57"/>
        <v>10.48565</v>
      </c>
      <c r="K1091" s="7"/>
      <c r="L1091" s="5">
        <f t="shared" ref="L1091:Q1091" si="58">SUM(L365:L376)</f>
        <v>355.53689999999995</v>
      </c>
      <c r="M1091" s="5">
        <f t="shared" si="58"/>
        <v>142.0401</v>
      </c>
      <c r="N1091" s="5">
        <f t="shared" si="58"/>
        <v>58.217499999999994</v>
      </c>
      <c r="O1091" s="5">
        <f t="shared" si="58"/>
        <v>4.4046000000000003</v>
      </c>
      <c r="P1091" s="5">
        <f t="shared" si="58"/>
        <v>15.220499999999998</v>
      </c>
      <c r="Q1091" s="5">
        <f t="shared" si="58"/>
        <v>241.71019999999996</v>
      </c>
      <c r="R1091" s="5"/>
      <c r="S1091" s="6"/>
    </row>
    <row r="1092" spans="1:19" ht="15" customHeight="1">
      <c r="A1092" s="3">
        <f t="shared" si="46"/>
        <v>2044</v>
      </c>
      <c r="B1092" s="8">
        <f t="shared" ref="B1092:J1092" si="59">AVERAGE(B377:B388)</f>
        <v>11.072866666666668</v>
      </c>
      <c r="C1092" s="8">
        <f t="shared" si="59"/>
        <v>11.07915</v>
      </c>
      <c r="D1092" s="8">
        <f t="shared" si="59"/>
        <v>11.085491666666668</v>
      </c>
      <c r="E1092" s="8">
        <f t="shared" si="59"/>
        <v>11.082508333333335</v>
      </c>
      <c r="F1092" s="4">
        <f t="shared" si="59"/>
        <v>11.775399999999999</v>
      </c>
      <c r="G1092" s="8">
        <f t="shared" si="59"/>
        <v>10.966758333333333</v>
      </c>
      <c r="H1092" s="4">
        <f t="shared" si="59"/>
        <v>11.884975000000003</v>
      </c>
      <c r="I1092" s="8">
        <f t="shared" si="59"/>
        <v>10.891149999999998</v>
      </c>
      <c r="J1092" s="4">
        <f t="shared" si="59"/>
        <v>10.737566666666666</v>
      </c>
      <c r="K1092" s="7"/>
      <c r="L1092" s="5">
        <f t="shared" ref="L1092:Q1092" si="60">SUM(L377:L388)</f>
        <v>356.48229999999995</v>
      </c>
      <c r="M1092" s="5">
        <f t="shared" si="60"/>
        <v>142.42920000000001</v>
      </c>
      <c r="N1092" s="5">
        <f t="shared" si="60"/>
        <v>58.377000000000002</v>
      </c>
      <c r="O1092" s="5">
        <f t="shared" si="60"/>
        <v>4.4165999999999999</v>
      </c>
      <c r="P1092" s="5">
        <f t="shared" si="60"/>
        <v>15.262199999999998</v>
      </c>
      <c r="Q1092" s="5">
        <f t="shared" si="60"/>
        <v>241.58220000000006</v>
      </c>
      <c r="R1092" s="5"/>
      <c r="S1092" s="6"/>
    </row>
    <row r="1093" spans="1:19" ht="15" customHeight="1">
      <c r="A1093" s="3">
        <f t="shared" si="46"/>
        <v>2045</v>
      </c>
      <c r="B1093" s="8">
        <f t="shared" ref="B1093:J1093" si="61">AVERAGE(B389:B400)</f>
        <v>11.339291666666668</v>
      </c>
      <c r="C1093" s="8">
        <f t="shared" si="61"/>
        <v>11.345575000000002</v>
      </c>
      <c r="D1093" s="8">
        <f t="shared" si="61"/>
        <v>11.351908333333334</v>
      </c>
      <c r="E1093" s="8">
        <f t="shared" si="61"/>
        <v>11.348924999999999</v>
      </c>
      <c r="F1093" s="4">
        <f t="shared" si="61"/>
        <v>12.041825000000001</v>
      </c>
      <c r="G1093" s="8">
        <f t="shared" si="61"/>
        <v>11.22945</v>
      </c>
      <c r="H1093" s="4">
        <f t="shared" si="61"/>
        <v>12.147675</v>
      </c>
      <c r="I1093" s="8">
        <f t="shared" si="61"/>
        <v>11.149241666666667</v>
      </c>
      <c r="J1093" s="4">
        <f t="shared" si="61"/>
        <v>10.995533333333334</v>
      </c>
      <c r="K1093" s="7"/>
      <c r="L1093" s="5">
        <f t="shared" ref="L1093:Q1093" si="62">SUM(L389:L400)</f>
        <v>355.53689999999995</v>
      </c>
      <c r="M1093" s="5">
        <f t="shared" si="62"/>
        <v>142.0401</v>
      </c>
      <c r="N1093" s="5">
        <f t="shared" si="62"/>
        <v>58.217499999999994</v>
      </c>
      <c r="O1093" s="5">
        <f t="shared" si="62"/>
        <v>4.4046000000000003</v>
      </c>
      <c r="P1093" s="5">
        <f t="shared" si="62"/>
        <v>15.220499999999998</v>
      </c>
      <c r="Q1093" s="5">
        <f t="shared" si="62"/>
        <v>240.15570000000002</v>
      </c>
      <c r="R1093" s="5"/>
      <c r="S1093" s="6"/>
    </row>
    <row r="1094" spans="1:19" ht="15" customHeight="1">
      <c r="A1094" s="3">
        <f t="shared" si="46"/>
        <v>2046</v>
      </c>
      <c r="B1094" s="8">
        <f t="shared" ref="B1094:J1094" si="63">AVERAGE(B401:B412)</f>
        <v>11.6121</v>
      </c>
      <c r="C1094" s="8">
        <f t="shared" si="63"/>
        <v>11.618366666666665</v>
      </c>
      <c r="D1094" s="8">
        <f t="shared" si="63"/>
        <v>11.624716666666664</v>
      </c>
      <c r="E1094" s="8">
        <f t="shared" si="63"/>
        <v>11.621716666666666</v>
      </c>
      <c r="F1094" s="4">
        <f t="shared" si="63"/>
        <v>12.314624999999999</v>
      </c>
      <c r="G1094" s="8">
        <f t="shared" si="63"/>
        <v>11.498424999999997</v>
      </c>
      <c r="H1094" s="4">
        <f t="shared" si="63"/>
        <v>12.416683333333333</v>
      </c>
      <c r="I1094" s="8">
        <f t="shared" si="63"/>
        <v>11.413566666666666</v>
      </c>
      <c r="J1094" s="4">
        <f t="shared" si="63"/>
        <v>11.259691666666669</v>
      </c>
      <c r="K1094" s="7"/>
      <c r="L1094" s="5">
        <f t="shared" ref="L1094:Q1094" si="64">SUM(L401:L412)</f>
        <v>355.53689999999995</v>
      </c>
      <c r="M1094" s="5">
        <f t="shared" si="64"/>
        <v>142.0401</v>
      </c>
      <c r="N1094" s="5">
        <f t="shared" si="64"/>
        <v>58.217499999999994</v>
      </c>
      <c r="O1094" s="5">
        <f t="shared" si="64"/>
        <v>4.4046000000000003</v>
      </c>
      <c r="P1094" s="5">
        <f t="shared" si="64"/>
        <v>15.220499999999998</v>
      </c>
      <c r="Q1094" s="5">
        <f t="shared" si="64"/>
        <v>239.38920000000005</v>
      </c>
      <c r="R1094" s="5"/>
      <c r="S1094" s="6"/>
    </row>
    <row r="1095" spans="1:19" ht="15" customHeight="1">
      <c r="A1095" s="3">
        <f t="shared" si="46"/>
        <v>2047</v>
      </c>
      <c r="B1095" s="8">
        <f t="shared" ref="B1095:J1095" si="65">AVERAGE(B413:B424)</f>
        <v>11.891458333333334</v>
      </c>
      <c r="C1095" s="8">
        <f t="shared" si="65"/>
        <v>11.897733333333333</v>
      </c>
      <c r="D1095" s="8">
        <f t="shared" si="65"/>
        <v>11.9041</v>
      </c>
      <c r="E1095" s="8">
        <f t="shared" si="65"/>
        <v>11.9011</v>
      </c>
      <c r="F1095" s="4">
        <f t="shared" si="65"/>
        <v>12.594008333333335</v>
      </c>
      <c r="G1095" s="8">
        <f t="shared" si="65"/>
        <v>11.773924999999998</v>
      </c>
      <c r="H1095" s="4">
        <f t="shared" si="65"/>
        <v>12.692141666666666</v>
      </c>
      <c r="I1095" s="8">
        <f t="shared" si="65"/>
        <v>11.684200000000002</v>
      </c>
      <c r="J1095" s="4">
        <f t="shared" si="65"/>
        <v>11.530225</v>
      </c>
      <c r="K1095" s="7"/>
      <c r="L1095" s="5">
        <f t="shared" ref="L1095:Q1095" si="66">SUM(L413:L424)</f>
        <v>355.53689999999995</v>
      </c>
      <c r="M1095" s="5">
        <f t="shared" si="66"/>
        <v>142.0401</v>
      </c>
      <c r="N1095" s="5">
        <f t="shared" si="66"/>
        <v>58.217499999999994</v>
      </c>
      <c r="O1095" s="5">
        <f t="shared" si="66"/>
        <v>4.4046000000000003</v>
      </c>
      <c r="P1095" s="5">
        <f t="shared" si="66"/>
        <v>15.220499999999998</v>
      </c>
      <c r="Q1095" s="5">
        <f t="shared" si="66"/>
        <v>238.62270000000004</v>
      </c>
      <c r="R1095" s="5"/>
      <c r="S1095" s="6"/>
    </row>
    <row r="1096" spans="1:19" ht="15" customHeight="1">
      <c r="A1096" s="3">
        <f t="shared" si="46"/>
        <v>2048</v>
      </c>
      <c r="B1096" s="8">
        <f t="shared" ref="B1096:J1096" si="67">AVERAGE(B425:B436)</f>
        <v>12.177533333333335</v>
      </c>
      <c r="C1096" s="8">
        <f t="shared" si="67"/>
        <v>12.183816666666667</v>
      </c>
      <c r="D1096" s="8">
        <f t="shared" si="67"/>
        <v>12.190166666666665</v>
      </c>
      <c r="E1096" s="8">
        <f t="shared" si="67"/>
        <v>12.187175000000002</v>
      </c>
      <c r="F1096" s="4">
        <f t="shared" si="67"/>
        <v>12.880083333333333</v>
      </c>
      <c r="G1096" s="8">
        <f t="shared" si="67"/>
        <v>12.056008333333333</v>
      </c>
      <c r="H1096" s="4">
        <f t="shared" si="67"/>
        <v>12.974249999999998</v>
      </c>
      <c r="I1096" s="8">
        <f t="shared" si="67"/>
        <v>11.961333333333334</v>
      </c>
      <c r="J1096" s="4">
        <f t="shared" si="67"/>
        <v>11.807224999999997</v>
      </c>
      <c r="K1096" s="7"/>
      <c r="L1096" s="5">
        <f t="shared" ref="L1096:Q1096" si="68">SUM(L425:L436)</f>
        <v>356.48229999999995</v>
      </c>
      <c r="M1096" s="5">
        <f t="shared" si="68"/>
        <v>142.42920000000001</v>
      </c>
      <c r="N1096" s="5">
        <f t="shared" si="68"/>
        <v>58.377000000000002</v>
      </c>
      <c r="O1096" s="5">
        <f t="shared" si="68"/>
        <v>4.4165999999999999</v>
      </c>
      <c r="P1096" s="5">
        <f t="shared" si="68"/>
        <v>15.262199999999998</v>
      </c>
      <c r="Q1096" s="5">
        <f t="shared" si="68"/>
        <v>238.50780000000003</v>
      </c>
      <c r="R1096" s="5"/>
      <c r="S1096" s="6"/>
    </row>
    <row r="1097" spans="1:19" ht="15" customHeight="1">
      <c r="A1097" s="3">
        <f t="shared" si="46"/>
        <v>2049</v>
      </c>
      <c r="B1097" s="8">
        <f t="shared" ref="B1097:J1097" si="69">AVERAGE(B437:B448)</f>
        <v>12.470491666666666</v>
      </c>
      <c r="C1097" s="8">
        <f t="shared" si="69"/>
        <v>12.476783333333332</v>
      </c>
      <c r="D1097" s="8">
        <f t="shared" si="69"/>
        <v>12.483133333333335</v>
      </c>
      <c r="E1097" s="8">
        <f t="shared" si="69"/>
        <v>12.480141666666666</v>
      </c>
      <c r="F1097" s="4">
        <f t="shared" si="69"/>
        <v>13.173024999999997</v>
      </c>
      <c r="G1097" s="8">
        <f t="shared" si="69"/>
        <v>12.344866666666666</v>
      </c>
      <c r="H1097" s="4">
        <f t="shared" si="69"/>
        <v>13.263100000000001</v>
      </c>
      <c r="I1097" s="8">
        <f t="shared" si="69"/>
        <v>12.245158333333334</v>
      </c>
      <c r="J1097" s="4">
        <f t="shared" si="69"/>
        <v>12.090883333333332</v>
      </c>
      <c r="K1097" s="7"/>
      <c r="L1097" s="5">
        <f t="shared" ref="L1097:Q1097" si="70">SUM(L437:L448)</f>
        <v>355.53689999999995</v>
      </c>
      <c r="M1097" s="5">
        <f t="shared" si="70"/>
        <v>142.0401</v>
      </c>
      <c r="N1097" s="5">
        <f t="shared" si="70"/>
        <v>58.217499999999994</v>
      </c>
      <c r="O1097" s="5">
        <f t="shared" si="70"/>
        <v>4.4046000000000003</v>
      </c>
      <c r="P1097" s="5">
        <f t="shared" si="70"/>
        <v>15.220499999999998</v>
      </c>
      <c r="Q1097" s="5">
        <f t="shared" si="70"/>
        <v>237.08969999999999</v>
      </c>
      <c r="R1097" s="5"/>
      <c r="S1097" s="6"/>
    </row>
    <row r="1098" spans="1:19" ht="15" customHeight="1">
      <c r="A1098" s="3">
        <f t="shared" si="46"/>
        <v>2050</v>
      </c>
      <c r="B1098" s="8">
        <f t="shared" ref="B1098:J1098" si="71">AVERAGE(B449:B460)</f>
        <v>12.770483333333333</v>
      </c>
      <c r="C1098" s="8">
        <f t="shared" si="71"/>
        <v>12.776766666666667</v>
      </c>
      <c r="D1098" s="8">
        <f t="shared" si="71"/>
        <v>12.783116666666666</v>
      </c>
      <c r="E1098" s="8">
        <f t="shared" si="71"/>
        <v>12.780125</v>
      </c>
      <c r="F1098" s="4">
        <f t="shared" si="71"/>
        <v>13.473033333333333</v>
      </c>
      <c r="G1098" s="8">
        <f t="shared" si="71"/>
        <v>12.640675</v>
      </c>
      <c r="H1098" s="4">
        <f t="shared" si="71"/>
        <v>13.558908333333335</v>
      </c>
      <c r="I1098" s="8">
        <f t="shared" si="71"/>
        <v>12.535766666666667</v>
      </c>
      <c r="J1098" s="4">
        <f t="shared" si="71"/>
        <v>12.381374999999998</v>
      </c>
      <c r="K1098" s="7"/>
      <c r="L1098" s="5">
        <f t="shared" ref="L1098:Q1098" si="72">SUM(L449:L460)</f>
        <v>355.53689999999995</v>
      </c>
      <c r="M1098" s="5">
        <f t="shared" si="72"/>
        <v>142.0401</v>
      </c>
      <c r="N1098" s="5">
        <f t="shared" si="72"/>
        <v>58.217499999999994</v>
      </c>
      <c r="O1098" s="5">
        <f t="shared" si="72"/>
        <v>4.4046000000000003</v>
      </c>
      <c r="P1098" s="5">
        <f t="shared" si="72"/>
        <v>15.220499999999998</v>
      </c>
      <c r="Q1098" s="5">
        <f t="shared" si="72"/>
        <v>236.32320000000004</v>
      </c>
      <c r="R1098" s="5"/>
      <c r="S1098" s="6"/>
    </row>
    <row r="1099" spans="1:19" ht="15" customHeight="1">
      <c r="A1099" s="3">
        <f t="shared" si="46"/>
        <v>2051</v>
      </c>
      <c r="B1099" s="8">
        <f t="shared" ref="B1099:J1099" si="73">AVERAGE(B461:B472)</f>
        <v>13.077691666666666</v>
      </c>
      <c r="C1099" s="8">
        <f t="shared" si="73"/>
        <v>13.083966666666667</v>
      </c>
      <c r="D1099" s="8">
        <f t="shared" si="73"/>
        <v>13.090308333333335</v>
      </c>
      <c r="E1099" s="8">
        <f t="shared" si="73"/>
        <v>13.087325000000002</v>
      </c>
      <c r="F1099" s="4">
        <f t="shared" si="73"/>
        <v>13.780216666666668</v>
      </c>
      <c r="G1099" s="8">
        <f t="shared" si="73"/>
        <v>12.943591666666665</v>
      </c>
      <c r="H1099" s="4">
        <f t="shared" si="73"/>
        <v>13.861825000000001</v>
      </c>
      <c r="I1099" s="8">
        <f t="shared" si="73"/>
        <v>12.833383333333332</v>
      </c>
      <c r="J1099" s="4">
        <f t="shared" si="73"/>
        <v>12.678833333333332</v>
      </c>
      <c r="K1099" s="7"/>
      <c r="L1099" s="5">
        <f t="shared" ref="L1099:Q1099" si="74">SUM(L461:L472)</f>
        <v>355.53689999999995</v>
      </c>
      <c r="M1099" s="5">
        <f t="shared" si="74"/>
        <v>142.0401</v>
      </c>
      <c r="N1099" s="5">
        <f t="shared" si="74"/>
        <v>58.217499999999994</v>
      </c>
      <c r="O1099" s="5">
        <f t="shared" si="74"/>
        <v>4.4046000000000003</v>
      </c>
      <c r="P1099" s="5">
        <f t="shared" si="74"/>
        <v>15.220499999999998</v>
      </c>
      <c r="Q1099" s="5">
        <f t="shared" si="74"/>
        <v>235.57820000000007</v>
      </c>
      <c r="R1099" s="5"/>
      <c r="S1099" s="6"/>
    </row>
    <row r="1100" spans="1:19" ht="15" customHeight="1">
      <c r="A1100" s="3">
        <f t="shared" si="46"/>
        <v>2052</v>
      </c>
      <c r="B1100" s="8">
        <f t="shared" ref="B1100:J1100" si="75">AVERAGE(B473:B484)</f>
        <v>13.392266666666666</v>
      </c>
      <c r="C1100" s="8">
        <f t="shared" si="75"/>
        <v>13.398541666666668</v>
      </c>
      <c r="D1100" s="8">
        <f t="shared" si="75"/>
        <v>13.404891666666666</v>
      </c>
      <c r="E1100" s="8">
        <f t="shared" si="75"/>
        <v>13.401900000000003</v>
      </c>
      <c r="F1100" s="4">
        <f t="shared" si="75"/>
        <v>14.094816666666668</v>
      </c>
      <c r="G1100" s="8">
        <f t="shared" si="75"/>
        <v>13.253766666666666</v>
      </c>
      <c r="H1100" s="4">
        <f t="shared" si="75"/>
        <v>14.172016666666664</v>
      </c>
      <c r="I1100" s="8">
        <f t="shared" si="75"/>
        <v>13.138158333333335</v>
      </c>
      <c r="J1100" s="4">
        <f t="shared" si="75"/>
        <v>12.983424999999999</v>
      </c>
      <c r="K1100" s="7"/>
      <c r="L1100" s="5">
        <f t="shared" ref="L1100:Q1100" si="76">SUM(L473:L484)</f>
        <v>356.48229999999995</v>
      </c>
      <c r="M1100" s="5">
        <f t="shared" si="76"/>
        <v>142.42920000000001</v>
      </c>
      <c r="N1100" s="5">
        <f t="shared" si="76"/>
        <v>58.377000000000002</v>
      </c>
      <c r="O1100" s="5">
        <f t="shared" si="76"/>
        <v>4.4165999999999999</v>
      </c>
      <c r="P1100" s="5">
        <f t="shared" si="76"/>
        <v>15.262199999999998</v>
      </c>
      <c r="Q1100" s="5">
        <f t="shared" si="76"/>
        <v>235.45500000000004</v>
      </c>
      <c r="R1100" s="5"/>
      <c r="S1100" s="6"/>
    </row>
    <row r="1101" spans="1:19" ht="15" customHeight="1">
      <c r="A1101" s="3">
        <f t="shared" si="46"/>
        <v>2053</v>
      </c>
      <c r="B1101" s="8">
        <f t="shared" ref="B1101:J1101" si="77">AVERAGE(B485:B496)</f>
        <v>13.714408333333333</v>
      </c>
      <c r="C1101" s="8">
        <f t="shared" si="77"/>
        <v>13.720683333333334</v>
      </c>
      <c r="D1101" s="8">
        <f t="shared" si="77"/>
        <v>13.727041666666667</v>
      </c>
      <c r="E1101" s="8">
        <f t="shared" si="77"/>
        <v>13.724041666666665</v>
      </c>
      <c r="F1101" s="4">
        <f t="shared" si="77"/>
        <v>14.416941666666665</v>
      </c>
      <c r="G1101" s="8">
        <f t="shared" si="77"/>
        <v>13.571433333333331</v>
      </c>
      <c r="H1101" s="4">
        <f t="shared" si="77"/>
        <v>14.489658333333333</v>
      </c>
      <c r="I1101" s="8">
        <f t="shared" si="77"/>
        <v>13.450233333333335</v>
      </c>
      <c r="J1101" s="4">
        <f t="shared" si="77"/>
        <v>13.295358333333333</v>
      </c>
      <c r="K1101" s="7"/>
      <c r="L1101" s="5">
        <f t="shared" ref="L1101:Q1101" si="78">SUM(L485:L496)</f>
        <v>355.53689999999995</v>
      </c>
      <c r="M1101" s="5">
        <f t="shared" si="78"/>
        <v>142.0401</v>
      </c>
      <c r="N1101" s="5">
        <f t="shared" si="78"/>
        <v>58.217499999999994</v>
      </c>
      <c r="O1101" s="5">
        <f t="shared" si="78"/>
        <v>4.4046000000000003</v>
      </c>
      <c r="P1101" s="5">
        <f t="shared" si="78"/>
        <v>15.220499999999998</v>
      </c>
      <c r="Q1101" s="5">
        <f t="shared" si="78"/>
        <v>234.04520000000002</v>
      </c>
      <c r="R1101" s="5"/>
      <c r="S1101" s="6"/>
    </row>
    <row r="1102" spans="1:19" ht="15" customHeight="1">
      <c r="A1102" s="3">
        <f t="shared" si="46"/>
        <v>2054</v>
      </c>
      <c r="B1102" s="8">
        <f t="shared" ref="B1102:J1102" si="79">AVERAGE(B497:B508)</f>
        <v>14.044291666666666</v>
      </c>
      <c r="C1102" s="8">
        <f t="shared" si="79"/>
        <v>14.050575000000002</v>
      </c>
      <c r="D1102" s="8">
        <f t="shared" si="79"/>
        <v>14.056925</v>
      </c>
      <c r="E1102" s="8">
        <f t="shared" si="79"/>
        <v>14.053941666666669</v>
      </c>
      <c r="F1102" s="4">
        <f t="shared" si="79"/>
        <v>14.746816666666669</v>
      </c>
      <c r="G1102" s="8">
        <f t="shared" si="79"/>
        <v>13.896708333333335</v>
      </c>
      <c r="H1102" s="4">
        <f t="shared" si="79"/>
        <v>14.814916666666667</v>
      </c>
      <c r="I1102" s="8">
        <f t="shared" si="79"/>
        <v>13.769816666666669</v>
      </c>
      <c r="J1102" s="4">
        <f t="shared" si="79"/>
        <v>13.614791666666669</v>
      </c>
      <c r="K1102" s="7"/>
      <c r="L1102" s="5">
        <f t="shared" ref="L1102:Q1102" si="80">SUM(L497:L508)</f>
        <v>355.53689999999995</v>
      </c>
      <c r="M1102" s="5">
        <f t="shared" si="80"/>
        <v>142.0401</v>
      </c>
      <c r="N1102" s="5">
        <f t="shared" si="80"/>
        <v>58.217499999999994</v>
      </c>
      <c r="O1102" s="5">
        <f t="shared" si="80"/>
        <v>4.4046000000000003</v>
      </c>
      <c r="P1102" s="5">
        <f t="shared" si="80"/>
        <v>15.220499999999998</v>
      </c>
      <c r="Q1102" s="5">
        <f t="shared" si="80"/>
        <v>233.30079999999998</v>
      </c>
      <c r="R1102" s="5"/>
      <c r="S1102" s="6"/>
    </row>
    <row r="1103" spans="1:19" ht="15" customHeight="1">
      <c r="A1103" s="3">
        <f t="shared" si="46"/>
        <v>2055</v>
      </c>
      <c r="B1103" s="8">
        <f t="shared" ref="B1103:J1103" si="81">AVERAGE(B509:B520)</f>
        <v>14.382091666666666</v>
      </c>
      <c r="C1103" s="8">
        <f t="shared" si="81"/>
        <v>14.388366666666663</v>
      </c>
      <c r="D1103" s="8">
        <f t="shared" si="81"/>
        <v>14.394708333333334</v>
      </c>
      <c r="E1103" s="8">
        <f t="shared" si="81"/>
        <v>14.391724999999999</v>
      </c>
      <c r="F1103" s="4">
        <f t="shared" si="81"/>
        <v>15.084625000000001</v>
      </c>
      <c r="G1103" s="8">
        <f t="shared" si="81"/>
        <v>14.229808333333333</v>
      </c>
      <c r="H1103" s="4">
        <f t="shared" si="81"/>
        <v>15.148033333333332</v>
      </c>
      <c r="I1103" s="8">
        <f t="shared" si="81"/>
        <v>14.09708333333333</v>
      </c>
      <c r="J1103" s="4">
        <f t="shared" si="81"/>
        <v>13.941891666666669</v>
      </c>
      <c r="K1103" s="7"/>
      <c r="L1103" s="5">
        <f t="shared" ref="L1103:Q1103" si="82">SUM(L509:L520)</f>
        <v>355.53689999999995</v>
      </c>
      <c r="M1103" s="5">
        <f t="shared" si="82"/>
        <v>142.0401</v>
      </c>
      <c r="N1103" s="5">
        <f t="shared" si="82"/>
        <v>58.217499999999994</v>
      </c>
      <c r="O1103" s="5">
        <f t="shared" si="82"/>
        <v>4.4046000000000003</v>
      </c>
      <c r="P1103" s="5">
        <f t="shared" si="82"/>
        <v>15.220499999999998</v>
      </c>
      <c r="Q1103" s="5">
        <f t="shared" si="82"/>
        <v>232.55579999999998</v>
      </c>
      <c r="R1103" s="5"/>
      <c r="S1103" s="6"/>
    </row>
    <row r="1104" spans="1:19" ht="15" customHeight="1">
      <c r="A1104" s="3">
        <f t="shared" si="46"/>
        <v>2056</v>
      </c>
      <c r="B1104" s="8">
        <f t="shared" ref="B1104:J1104" si="83">AVERAGE(B521:B532)</f>
        <v>14.728016666666669</v>
      </c>
      <c r="C1104" s="8">
        <f t="shared" si="83"/>
        <v>14.734300000000003</v>
      </c>
      <c r="D1104" s="8">
        <f t="shared" si="83"/>
        <v>14.740658333333334</v>
      </c>
      <c r="E1104" s="8">
        <f t="shared" si="83"/>
        <v>14.737666666666669</v>
      </c>
      <c r="F1104" s="4">
        <f t="shared" si="83"/>
        <v>15.430575000000003</v>
      </c>
      <c r="G1104" s="8">
        <f t="shared" si="83"/>
        <v>14.570900000000002</v>
      </c>
      <c r="H1104" s="4">
        <f t="shared" si="83"/>
        <v>15.489125</v>
      </c>
      <c r="I1104" s="8">
        <f t="shared" si="83"/>
        <v>14.432208333333334</v>
      </c>
      <c r="J1104" s="4">
        <f t="shared" si="83"/>
        <v>14.276858333333331</v>
      </c>
      <c r="K1104" s="7"/>
      <c r="L1104" s="5">
        <f t="shared" ref="L1104:Q1104" si="84">SUM(L521:L532)</f>
        <v>356.48229999999995</v>
      </c>
      <c r="M1104" s="5">
        <f t="shared" si="84"/>
        <v>142.42920000000001</v>
      </c>
      <c r="N1104" s="5">
        <f t="shared" si="84"/>
        <v>58.377000000000002</v>
      </c>
      <c r="O1104" s="5">
        <f t="shared" si="84"/>
        <v>4.4165999999999999</v>
      </c>
      <c r="P1104" s="5">
        <f t="shared" si="84"/>
        <v>15.262199999999998</v>
      </c>
      <c r="Q1104" s="5">
        <f t="shared" si="84"/>
        <v>232.44659999999996</v>
      </c>
      <c r="R1104" s="5"/>
      <c r="S1104" s="6"/>
    </row>
    <row r="1105" spans="1:19" ht="15" customHeight="1">
      <c r="A1105" s="3">
        <f t="shared" si="46"/>
        <v>2057</v>
      </c>
      <c r="B1105" s="8">
        <f t="shared" ref="B1105:J1105" si="85">AVERAGE(B533:B544)</f>
        <v>15.082241666666667</v>
      </c>
      <c r="C1105" s="8">
        <f t="shared" si="85"/>
        <v>15.088533333333336</v>
      </c>
      <c r="D1105" s="8">
        <f t="shared" si="85"/>
        <v>15.094874999999996</v>
      </c>
      <c r="E1105" s="8">
        <f t="shared" si="85"/>
        <v>15.091891666666667</v>
      </c>
      <c r="F1105" s="4">
        <f t="shared" si="85"/>
        <v>15.784791666666669</v>
      </c>
      <c r="G1105" s="8">
        <f t="shared" si="85"/>
        <v>14.920191666666666</v>
      </c>
      <c r="H1105" s="4">
        <f t="shared" si="85"/>
        <v>15.838433333333334</v>
      </c>
      <c r="I1105" s="8">
        <f t="shared" si="85"/>
        <v>14.775383333333336</v>
      </c>
      <c r="J1105" s="4">
        <f t="shared" si="85"/>
        <v>14.619841666666664</v>
      </c>
      <c r="K1105" s="7"/>
      <c r="L1105" s="5">
        <f t="shared" ref="L1105:Q1105" si="86">SUM(L533:L544)</f>
        <v>355.53689999999995</v>
      </c>
      <c r="M1105" s="5">
        <f t="shared" si="86"/>
        <v>142.0401</v>
      </c>
      <c r="N1105" s="5">
        <f t="shared" si="86"/>
        <v>58.217499999999994</v>
      </c>
      <c r="O1105" s="5">
        <f t="shared" si="86"/>
        <v>4.4046000000000003</v>
      </c>
      <c r="P1105" s="5">
        <f t="shared" si="86"/>
        <v>15.220499999999998</v>
      </c>
      <c r="Q1105" s="5">
        <f t="shared" si="86"/>
        <v>231.81149999999997</v>
      </c>
      <c r="R1105" s="5"/>
      <c r="S1105" s="6"/>
    </row>
    <row r="1106" spans="1:19" ht="15" customHeight="1">
      <c r="A1106" s="3">
        <f t="shared" si="46"/>
        <v>2058</v>
      </c>
      <c r="B1106" s="8">
        <f t="shared" ref="B1106:J1106" si="87">AVERAGE(B545:B556)</f>
        <v>15.445008333333334</v>
      </c>
      <c r="C1106" s="8">
        <f t="shared" si="87"/>
        <v>15.451283333333331</v>
      </c>
      <c r="D1106" s="8">
        <f t="shared" si="87"/>
        <v>15.457624999999998</v>
      </c>
      <c r="E1106" s="8">
        <f t="shared" si="87"/>
        <v>15.454633333333332</v>
      </c>
      <c r="F1106" s="4">
        <f t="shared" si="87"/>
        <v>16.147524999999998</v>
      </c>
      <c r="G1106" s="8">
        <f t="shared" si="87"/>
        <v>15.277883333333333</v>
      </c>
      <c r="H1106" s="4">
        <f t="shared" si="87"/>
        <v>16.196116666666665</v>
      </c>
      <c r="I1106" s="8">
        <f t="shared" si="87"/>
        <v>15.126808333333335</v>
      </c>
      <c r="J1106" s="4">
        <f t="shared" si="87"/>
        <v>14.9711</v>
      </c>
      <c r="K1106" s="7"/>
      <c r="L1106" s="5">
        <f t="shared" ref="L1106:Q1106" si="88">SUM(L545:L556)</f>
        <v>355.53689999999995</v>
      </c>
      <c r="M1106" s="5">
        <f t="shared" si="88"/>
        <v>142.0401</v>
      </c>
      <c r="N1106" s="5">
        <f t="shared" si="88"/>
        <v>58.217499999999994</v>
      </c>
      <c r="O1106" s="5">
        <f t="shared" si="88"/>
        <v>4.4046000000000003</v>
      </c>
      <c r="P1106" s="5">
        <f t="shared" si="88"/>
        <v>15.220499999999998</v>
      </c>
      <c r="Q1106" s="5">
        <f t="shared" si="88"/>
        <v>231.81149999999997</v>
      </c>
      <c r="R1106" s="5"/>
      <c r="S1106" s="6"/>
    </row>
    <row r="1107" spans="1:19" ht="15" customHeight="1">
      <c r="A1107" s="3">
        <f t="shared" si="46"/>
        <v>2059</v>
      </c>
      <c r="B1107" s="8">
        <f t="shared" ref="B1107:J1107" si="89">AVERAGE(B557:B568)</f>
        <v>15.816458333333332</v>
      </c>
      <c r="C1107" s="8">
        <f t="shared" si="89"/>
        <v>15.822733333333334</v>
      </c>
      <c r="D1107" s="8">
        <f t="shared" si="89"/>
        <v>15.829083333333335</v>
      </c>
      <c r="E1107" s="8">
        <f t="shared" si="89"/>
        <v>15.826083333333331</v>
      </c>
      <c r="F1107" s="4">
        <f t="shared" si="89"/>
        <v>16.519000000000002</v>
      </c>
      <c r="G1107" s="8">
        <f t="shared" si="89"/>
        <v>15.644158333333332</v>
      </c>
      <c r="H1107" s="4">
        <f t="shared" si="89"/>
        <v>16.562391666666663</v>
      </c>
      <c r="I1107" s="8">
        <f t="shared" si="89"/>
        <v>15.486675</v>
      </c>
      <c r="J1107" s="4">
        <f t="shared" si="89"/>
        <v>15.330766666666667</v>
      </c>
      <c r="K1107" s="4"/>
      <c r="L1107" s="5">
        <f>SUM(L557:L568)</f>
        <v>355.53689999999995</v>
      </c>
      <c r="M1107" s="5">
        <f>SUM(M557:M568)</f>
        <v>142.0401</v>
      </c>
      <c r="N1107" s="5">
        <f>SUM(N557:N568)</f>
        <v>58.217499999999994</v>
      </c>
      <c r="O1107" s="5">
        <f>SUM(O546:O557)</f>
        <v>4.4046000000000003</v>
      </c>
      <c r="P1107" s="5">
        <f>SUM(P557:P568)</f>
        <v>15.220499999999998</v>
      </c>
      <c r="Q1107" s="5">
        <f>SUM(Q557:Q568)</f>
        <v>231.81149999999997</v>
      </c>
      <c r="R1107" s="5"/>
      <c r="S1107" s="4"/>
    </row>
    <row r="1108" spans="1:19" ht="15" customHeight="1">
      <c r="A1108" s="3">
        <f t="shared" si="46"/>
        <v>2060</v>
      </c>
      <c r="B1108" s="8">
        <f t="shared" ref="B1108:J1108" si="90">AVERAGE(B569:B580)</f>
        <v>16.196841666666668</v>
      </c>
      <c r="C1108" s="8">
        <f t="shared" si="90"/>
        <v>16.203116666666666</v>
      </c>
      <c r="D1108" s="8">
        <f t="shared" si="90"/>
        <v>16.209466666666668</v>
      </c>
      <c r="E1108" s="8">
        <f t="shared" si="90"/>
        <v>16.206474999999998</v>
      </c>
      <c r="F1108" s="4">
        <f t="shared" si="90"/>
        <v>16.8994</v>
      </c>
      <c r="G1108" s="8">
        <f t="shared" si="90"/>
        <v>16.01925</v>
      </c>
      <c r="H1108" s="4">
        <f t="shared" si="90"/>
        <v>16.937474999999996</v>
      </c>
      <c r="I1108" s="8">
        <f t="shared" si="90"/>
        <v>15.855183333333335</v>
      </c>
      <c r="J1108" s="4">
        <f t="shared" si="90"/>
        <v>15.699100000000001</v>
      </c>
      <c r="K1108" s="7"/>
      <c r="L1108" s="5">
        <f>SUM(L569:L580)</f>
        <v>356.48229999999995</v>
      </c>
      <c r="M1108" s="5">
        <f>SUM(M569:M580)</f>
        <v>142.42920000000001</v>
      </c>
      <c r="N1108" s="5">
        <f>SUM(N569:N580)</f>
        <v>58.377000000000002</v>
      </c>
      <c r="O1108" s="5">
        <f>SUM(O547:O558)</f>
        <v>4.4046000000000003</v>
      </c>
      <c r="P1108" s="5">
        <f>SUM(P569:P580)</f>
        <v>15.262199999999998</v>
      </c>
      <c r="Q1108" s="5">
        <f>SUM(Q569:Q580)</f>
        <v>232.44659999999996</v>
      </c>
      <c r="R1108" s="5"/>
      <c r="S1108" s="6"/>
    </row>
    <row r="1109" spans="1:19" ht="15" customHeight="1">
      <c r="A1109" s="3">
        <f t="shared" si="46"/>
        <v>2061</v>
      </c>
      <c r="B1109" s="8">
        <f t="shared" ref="B1109:J1109" si="91">AVERAGE(B581:B592)</f>
        <v>16.586366666666667</v>
      </c>
      <c r="C1109" s="8">
        <f t="shared" si="91"/>
        <v>16.592649999999999</v>
      </c>
      <c r="D1109" s="8">
        <f t="shared" si="91"/>
        <v>16.599</v>
      </c>
      <c r="E1109" s="8">
        <f t="shared" si="91"/>
        <v>16.596008333333334</v>
      </c>
      <c r="F1109" s="4">
        <f t="shared" si="91"/>
        <v>17.288933333333333</v>
      </c>
      <c r="G1109" s="8">
        <f t="shared" si="91"/>
        <v>16.403324999999999</v>
      </c>
      <c r="H1109" s="4">
        <f t="shared" si="91"/>
        <v>17.321566666666666</v>
      </c>
      <c r="I1109" s="8">
        <f t="shared" si="91"/>
        <v>16.232550000000003</v>
      </c>
      <c r="J1109" s="4">
        <f t="shared" si="91"/>
        <v>16.076291666666666</v>
      </c>
      <c r="K1109" s="7"/>
      <c r="L1109" s="5">
        <f>SUM(L581:L592)</f>
        <v>355.53689999999995</v>
      </c>
      <c r="M1109" s="5">
        <f>SUM(M581:M592)</f>
        <v>142.0401</v>
      </c>
      <c r="N1109" s="5">
        <f>SUM(N581:N592)</f>
        <v>58.217499999999994</v>
      </c>
      <c r="O1109" s="5">
        <f>SUM(O548:O559)</f>
        <v>4.4046000000000003</v>
      </c>
      <c r="P1109" s="5">
        <f>SUM(P581:P592)</f>
        <v>15.220499999999998</v>
      </c>
      <c r="Q1109" s="5">
        <f>SUM(Q581:Q592)</f>
        <v>231.81149999999997</v>
      </c>
      <c r="R1109" s="5"/>
      <c r="S1109" s="6"/>
    </row>
    <row r="1110" spans="1:19" ht="15" customHeight="1">
      <c r="A1110" s="3">
        <f t="shared" si="46"/>
        <v>2062</v>
      </c>
      <c r="B1110" s="4">
        <f t="shared" ref="B1110:J1119" ca="1" si="92">AVERAGE(OFFSET(B$593,($A1110-$A$1110)*12,0,12,1))</f>
        <v>16.985250000000001</v>
      </c>
      <c r="C1110" s="4">
        <f t="shared" ca="1" si="92"/>
        <v>16.991533333333333</v>
      </c>
      <c r="D1110" s="4">
        <f t="shared" ca="1" si="92"/>
        <v>16.997883333333331</v>
      </c>
      <c r="E1110" s="4">
        <f t="shared" ca="1" si="92"/>
        <v>16.994891666666664</v>
      </c>
      <c r="F1110" s="4">
        <f t="shared" ca="1" si="92"/>
        <v>17.687791666666666</v>
      </c>
      <c r="G1110" s="4">
        <f t="shared" ca="1" si="92"/>
        <v>16.79664166666667</v>
      </c>
      <c r="H1110" s="4">
        <f t="shared" ca="1" si="92"/>
        <v>17.714875000000003</v>
      </c>
      <c r="I1110" s="4">
        <f t="shared" ca="1" si="92"/>
        <v>16.618974999999999</v>
      </c>
      <c r="J1110" s="4">
        <f t="shared" ca="1" si="92"/>
        <v>16.462525000000003</v>
      </c>
      <c r="K1110" s="4"/>
      <c r="L1110" s="5">
        <f t="shared" ref="L1110:Q1119" ca="1" si="93">SUM(OFFSET(L$593,($A1110-$A$1110)*12,0,12,1))</f>
        <v>355.53689999999995</v>
      </c>
      <c r="M1110" s="5">
        <f t="shared" ca="1" si="93"/>
        <v>142.0401</v>
      </c>
      <c r="N1110" s="5">
        <f t="shared" ca="1" si="93"/>
        <v>58.217499999999994</v>
      </c>
      <c r="O1110" s="5">
        <f t="shared" ca="1" si="93"/>
        <v>4.4046000000000003</v>
      </c>
      <c r="P1110" s="5">
        <f t="shared" ca="1" si="93"/>
        <v>15.220499999999998</v>
      </c>
      <c r="Q1110" s="5">
        <f t="shared" ca="1" si="93"/>
        <v>231.81149999999997</v>
      </c>
      <c r="R1110" s="4"/>
      <c r="S1110" s="4"/>
    </row>
    <row r="1111" spans="1:19" ht="15" customHeight="1">
      <c r="A1111" s="3">
        <f t="shared" si="46"/>
        <v>2063</v>
      </c>
      <c r="B1111" s="4">
        <f t="shared" ca="1" si="92"/>
        <v>17.393716666666666</v>
      </c>
      <c r="C1111" s="4">
        <f t="shared" ca="1" si="92"/>
        <v>17.400000000000002</v>
      </c>
      <c r="D1111" s="4">
        <f t="shared" ca="1" si="92"/>
        <v>17.40635</v>
      </c>
      <c r="E1111" s="4">
        <f t="shared" ca="1" si="92"/>
        <v>17.403366666666667</v>
      </c>
      <c r="F1111" s="4">
        <f t="shared" ca="1" si="92"/>
        <v>18.096266666666668</v>
      </c>
      <c r="G1111" s="4">
        <f t="shared" ca="1" si="92"/>
        <v>17.199416666666664</v>
      </c>
      <c r="H1111" s="4">
        <f t="shared" ca="1" si="92"/>
        <v>18.117675000000002</v>
      </c>
      <c r="I1111" s="4">
        <f t="shared" ca="1" si="92"/>
        <v>17.014691666666668</v>
      </c>
      <c r="J1111" s="4">
        <f t="shared" ca="1" si="92"/>
        <v>16.858050000000002</v>
      </c>
      <c r="K1111" s="4"/>
      <c r="L1111" s="5">
        <f t="shared" ca="1" si="93"/>
        <v>355.53689999999995</v>
      </c>
      <c r="M1111" s="5">
        <f t="shared" ca="1" si="93"/>
        <v>142.0401</v>
      </c>
      <c r="N1111" s="5">
        <f t="shared" ca="1" si="93"/>
        <v>58.217499999999994</v>
      </c>
      <c r="O1111" s="5">
        <f t="shared" ca="1" si="93"/>
        <v>4.4046000000000003</v>
      </c>
      <c r="P1111" s="5">
        <f t="shared" ca="1" si="93"/>
        <v>15.220499999999998</v>
      </c>
      <c r="Q1111" s="5">
        <f t="shared" ca="1" si="93"/>
        <v>231.81149999999997</v>
      </c>
      <c r="R1111" s="4"/>
      <c r="S1111" s="4"/>
    </row>
    <row r="1112" spans="1:19" ht="15" customHeight="1">
      <c r="A1112" s="3">
        <f t="shared" si="46"/>
        <v>2064</v>
      </c>
      <c r="B1112" s="4">
        <f t="shared" ca="1" si="92"/>
        <v>17.812008333333331</v>
      </c>
      <c r="C1112" s="4">
        <f t="shared" ca="1" si="92"/>
        <v>17.818291666666667</v>
      </c>
      <c r="D1112" s="4">
        <f t="shared" ca="1" si="92"/>
        <v>17.824633333333335</v>
      </c>
      <c r="E1112" s="4">
        <f t="shared" ca="1" si="92"/>
        <v>17.821641666666661</v>
      </c>
      <c r="F1112" s="4">
        <f t="shared" ca="1" si="92"/>
        <v>18.514574999999997</v>
      </c>
      <c r="G1112" s="4">
        <f t="shared" ca="1" si="92"/>
        <v>17.611858333333334</v>
      </c>
      <c r="H1112" s="4">
        <f t="shared" ca="1" si="92"/>
        <v>18.530100000000001</v>
      </c>
      <c r="I1112" s="4">
        <f t="shared" ca="1" si="92"/>
        <v>17.419941666666666</v>
      </c>
      <c r="J1112" s="4">
        <f t="shared" ca="1" si="92"/>
        <v>17.263074999999997</v>
      </c>
      <c r="K1112" s="4"/>
      <c r="L1112" s="5">
        <f t="shared" ca="1" si="93"/>
        <v>356.48229999999995</v>
      </c>
      <c r="M1112" s="5">
        <f t="shared" ca="1" si="93"/>
        <v>142.42920000000001</v>
      </c>
      <c r="N1112" s="5">
        <f t="shared" ca="1" si="93"/>
        <v>58.377000000000002</v>
      </c>
      <c r="O1112" s="5">
        <f t="shared" ca="1" si="93"/>
        <v>4.4165999999999999</v>
      </c>
      <c r="P1112" s="5">
        <f t="shared" ca="1" si="93"/>
        <v>15.262199999999998</v>
      </c>
      <c r="Q1112" s="5">
        <f t="shared" ca="1" si="93"/>
        <v>232.44659999999996</v>
      </c>
      <c r="R1112" s="4"/>
      <c r="S1112" s="4"/>
    </row>
    <row r="1113" spans="1:19" ht="15" customHeight="1">
      <c r="A1113" s="3">
        <f t="shared" si="46"/>
        <v>2065</v>
      </c>
      <c r="B1113" s="4">
        <f t="shared" ca="1" si="92"/>
        <v>18.240349999999999</v>
      </c>
      <c r="C1113" s="4">
        <f t="shared" ca="1" si="92"/>
        <v>18.246624999999998</v>
      </c>
      <c r="D1113" s="4">
        <f t="shared" ca="1" si="92"/>
        <v>18.252974999999996</v>
      </c>
      <c r="E1113" s="4">
        <f t="shared" ca="1" si="92"/>
        <v>18.249983333333336</v>
      </c>
      <c r="F1113" s="4">
        <f t="shared" ca="1" si="92"/>
        <v>18.942891666666668</v>
      </c>
      <c r="G1113" s="4">
        <f t="shared" ca="1" si="92"/>
        <v>18.034233333333329</v>
      </c>
      <c r="H1113" s="4">
        <f t="shared" ca="1" si="92"/>
        <v>18.952475</v>
      </c>
      <c r="I1113" s="4">
        <f t="shared" ca="1" si="92"/>
        <v>17.834891666666667</v>
      </c>
      <c r="J1113" s="4">
        <f t="shared" ca="1" si="92"/>
        <v>17.677825000000002</v>
      </c>
      <c r="K1113" s="4"/>
      <c r="L1113" s="5">
        <f t="shared" ca="1" si="93"/>
        <v>355.53689999999995</v>
      </c>
      <c r="M1113" s="5">
        <f t="shared" ca="1" si="93"/>
        <v>142.0401</v>
      </c>
      <c r="N1113" s="5">
        <f t="shared" ca="1" si="93"/>
        <v>58.217499999999994</v>
      </c>
      <c r="O1113" s="5">
        <f t="shared" ca="1" si="93"/>
        <v>4.4046000000000003</v>
      </c>
      <c r="P1113" s="5">
        <f t="shared" ca="1" si="93"/>
        <v>15.220499999999998</v>
      </c>
      <c r="Q1113" s="5">
        <f t="shared" ca="1" si="93"/>
        <v>231.81149999999997</v>
      </c>
      <c r="R1113" s="4"/>
      <c r="S1113" s="4"/>
    </row>
    <row r="1114" spans="1:19" ht="15" customHeight="1">
      <c r="A1114" s="3">
        <f t="shared" si="46"/>
        <v>2066</v>
      </c>
      <c r="B1114" s="4">
        <f t="shared" ca="1" si="92"/>
        <v>18.678975000000001</v>
      </c>
      <c r="C1114" s="4">
        <f t="shared" ca="1" si="92"/>
        <v>18.685266666666667</v>
      </c>
      <c r="D1114" s="4">
        <f t="shared" ca="1" si="92"/>
        <v>18.691608333333335</v>
      </c>
      <c r="E1114" s="4">
        <f t="shared" ca="1" si="92"/>
        <v>18.688625000000002</v>
      </c>
      <c r="F1114" s="4">
        <f t="shared" ca="1" si="92"/>
        <v>19.381533333333334</v>
      </c>
      <c r="G1114" s="4">
        <f t="shared" ca="1" si="92"/>
        <v>18.466733333333334</v>
      </c>
      <c r="H1114" s="4">
        <f t="shared" ca="1" si="92"/>
        <v>19.384958333333334</v>
      </c>
      <c r="I1114" s="4">
        <f t="shared" ca="1" si="92"/>
        <v>18.259816666666666</v>
      </c>
      <c r="J1114" s="4">
        <f t="shared" ca="1" si="92"/>
        <v>18.102575000000002</v>
      </c>
      <c r="K1114" s="4"/>
      <c r="L1114" s="5">
        <f t="shared" ca="1" si="93"/>
        <v>355.53689999999995</v>
      </c>
      <c r="M1114" s="5">
        <f t="shared" ca="1" si="93"/>
        <v>142.0401</v>
      </c>
      <c r="N1114" s="5">
        <f t="shared" ca="1" si="93"/>
        <v>58.217499999999994</v>
      </c>
      <c r="O1114" s="5">
        <f t="shared" ca="1" si="93"/>
        <v>4.4046000000000003</v>
      </c>
      <c r="P1114" s="5">
        <f t="shared" ca="1" si="93"/>
        <v>15.220499999999998</v>
      </c>
      <c r="Q1114" s="5">
        <f t="shared" ca="1" si="93"/>
        <v>231.81149999999997</v>
      </c>
      <c r="R1114" s="4"/>
      <c r="S1114" s="4"/>
    </row>
    <row r="1115" spans="1:19" ht="15" customHeight="1">
      <c r="A1115" s="3">
        <f t="shared" si="46"/>
        <v>2067</v>
      </c>
      <c r="B1115" s="4">
        <f t="shared" ca="1" si="92"/>
        <v>19.128133333333334</v>
      </c>
      <c r="C1115" s="4">
        <f t="shared" ca="1" si="92"/>
        <v>19.134408333333337</v>
      </c>
      <c r="D1115" s="4">
        <f t="shared" ca="1" si="92"/>
        <v>19.140758333333331</v>
      </c>
      <c r="E1115" s="4">
        <f t="shared" ca="1" si="92"/>
        <v>19.137766666666668</v>
      </c>
      <c r="F1115" s="4">
        <f t="shared" ca="1" si="92"/>
        <v>19.830700000000004</v>
      </c>
      <c r="G1115" s="4">
        <f t="shared" ca="1" si="92"/>
        <v>18.909633333333332</v>
      </c>
      <c r="H1115" s="4">
        <f t="shared" ca="1" si="92"/>
        <v>19.827866666666662</v>
      </c>
      <c r="I1115" s="4">
        <f t="shared" ca="1" si="92"/>
        <v>18.694958333333332</v>
      </c>
      <c r="J1115" s="4">
        <f t="shared" ca="1" si="92"/>
        <v>18.537475000000001</v>
      </c>
      <c r="K1115" s="4"/>
      <c r="L1115" s="5">
        <f t="shared" ca="1" si="93"/>
        <v>355.53689999999995</v>
      </c>
      <c r="M1115" s="5">
        <f t="shared" ca="1" si="93"/>
        <v>142.0401</v>
      </c>
      <c r="N1115" s="5">
        <f t="shared" ca="1" si="93"/>
        <v>58.217499999999994</v>
      </c>
      <c r="O1115" s="5">
        <f t="shared" ca="1" si="93"/>
        <v>4.4046000000000003</v>
      </c>
      <c r="P1115" s="5">
        <f t="shared" ca="1" si="93"/>
        <v>15.220499999999998</v>
      </c>
      <c r="Q1115" s="5">
        <f t="shared" ca="1" si="93"/>
        <v>231.81149999999997</v>
      </c>
      <c r="R1115" s="4"/>
      <c r="S1115" s="4"/>
    </row>
    <row r="1116" spans="1:19" ht="15" customHeight="1">
      <c r="A1116" s="3">
        <f t="shared" si="46"/>
        <v>2068</v>
      </c>
      <c r="B1116" s="4">
        <f t="shared" ca="1" si="92"/>
        <v>19.588108333333334</v>
      </c>
      <c r="C1116" s="4">
        <f t="shared" ca="1" si="92"/>
        <v>19.594383333333329</v>
      </c>
      <c r="D1116" s="4">
        <f t="shared" ca="1" si="92"/>
        <v>19.600733333333334</v>
      </c>
      <c r="E1116" s="4">
        <f t="shared" ca="1" si="92"/>
        <v>19.597750000000001</v>
      </c>
      <c r="F1116" s="4">
        <f t="shared" ca="1" si="92"/>
        <v>20.290641666666669</v>
      </c>
      <c r="G1116" s="4">
        <f t="shared" ca="1" si="92"/>
        <v>19.363183333333335</v>
      </c>
      <c r="H1116" s="4">
        <f t="shared" ca="1" si="92"/>
        <v>20.281408333333331</v>
      </c>
      <c r="I1116" s="4">
        <f t="shared" ca="1" si="92"/>
        <v>19.140574999999998</v>
      </c>
      <c r="J1116" s="4">
        <f t="shared" ca="1" si="92"/>
        <v>18.982875000000003</v>
      </c>
      <c r="K1116" s="4"/>
      <c r="L1116" s="5">
        <f t="shared" ca="1" si="93"/>
        <v>356.48229999999995</v>
      </c>
      <c r="M1116" s="5">
        <f t="shared" ca="1" si="93"/>
        <v>142.42920000000001</v>
      </c>
      <c r="N1116" s="5">
        <f t="shared" ca="1" si="93"/>
        <v>58.377000000000002</v>
      </c>
      <c r="O1116" s="5">
        <f t="shared" ca="1" si="93"/>
        <v>4.4165999999999999</v>
      </c>
      <c r="P1116" s="5">
        <f t="shared" ca="1" si="93"/>
        <v>15.262199999999998</v>
      </c>
      <c r="Q1116" s="5">
        <f t="shared" ca="1" si="93"/>
        <v>232.44659999999996</v>
      </c>
      <c r="R1116" s="4"/>
      <c r="S1116" s="4"/>
    </row>
    <row r="1117" spans="1:19" ht="15" customHeight="1">
      <c r="A1117" s="3">
        <f t="shared" si="46"/>
        <v>2069</v>
      </c>
      <c r="B1117" s="4">
        <f t="shared" ca="1" si="92"/>
        <v>20.059108333333331</v>
      </c>
      <c r="C1117" s="4">
        <f t="shared" ca="1" si="92"/>
        <v>20.065383333333333</v>
      </c>
      <c r="D1117" s="4">
        <f t="shared" ca="1" si="92"/>
        <v>20.071741666666664</v>
      </c>
      <c r="E1117" s="4">
        <f t="shared" ca="1" si="92"/>
        <v>20.068741666666668</v>
      </c>
      <c r="F1117" s="4">
        <f t="shared" ca="1" si="92"/>
        <v>20.761641666666666</v>
      </c>
      <c r="G1117" s="4">
        <f t="shared" ca="1" si="92"/>
        <v>19.827625000000001</v>
      </c>
      <c r="H1117" s="4">
        <f t="shared" ca="1" si="92"/>
        <v>20.745850000000001</v>
      </c>
      <c r="I1117" s="4">
        <f t="shared" ca="1" si="92"/>
        <v>19.596875000000001</v>
      </c>
      <c r="J1117" s="4">
        <f t="shared" ca="1" si="92"/>
        <v>19.438925000000001</v>
      </c>
      <c r="K1117" s="4"/>
      <c r="L1117" s="5">
        <f t="shared" ca="1" si="93"/>
        <v>355.53689999999995</v>
      </c>
      <c r="M1117" s="5">
        <f t="shared" ca="1" si="93"/>
        <v>142.0401</v>
      </c>
      <c r="N1117" s="5">
        <f t="shared" ca="1" si="93"/>
        <v>58.217499999999994</v>
      </c>
      <c r="O1117" s="5">
        <f t="shared" ca="1" si="93"/>
        <v>4.4046000000000003</v>
      </c>
      <c r="P1117" s="5">
        <f t="shared" ca="1" si="93"/>
        <v>15.220499999999998</v>
      </c>
      <c r="Q1117" s="5">
        <f t="shared" ca="1" si="93"/>
        <v>231.81149999999997</v>
      </c>
      <c r="R1117" s="4"/>
      <c r="S1117" s="4"/>
    </row>
    <row r="1118" spans="1:19" ht="15" customHeight="1">
      <c r="A1118" s="3">
        <f t="shared" ref="A1118:A1148" si="94">A1117+1</f>
        <v>2070</v>
      </c>
      <c r="B1118" s="4">
        <f t="shared" ca="1" si="92"/>
        <v>20.541433333333334</v>
      </c>
      <c r="C1118" s="4">
        <f t="shared" ca="1" si="92"/>
        <v>20.547724999999996</v>
      </c>
      <c r="D1118" s="4">
        <f t="shared" ca="1" si="92"/>
        <v>20.554075000000001</v>
      </c>
      <c r="E1118" s="4">
        <f t="shared" ca="1" si="92"/>
        <v>20.551083333333334</v>
      </c>
      <c r="F1118" s="4">
        <f t="shared" ca="1" si="92"/>
        <v>21.243974999999999</v>
      </c>
      <c r="G1118" s="4">
        <f t="shared" ca="1" si="92"/>
        <v>20.303216666666668</v>
      </c>
      <c r="H1118" s="4">
        <f t="shared" ca="1" si="92"/>
        <v>21.221450000000001</v>
      </c>
      <c r="I1118" s="4">
        <f t="shared" ca="1" si="92"/>
        <v>20.064166666666665</v>
      </c>
      <c r="J1118" s="4">
        <f t="shared" ca="1" si="92"/>
        <v>19.905958333333334</v>
      </c>
      <c r="K1118" s="4"/>
      <c r="L1118" s="5">
        <f t="shared" ca="1" si="93"/>
        <v>355.53689999999995</v>
      </c>
      <c r="M1118" s="5">
        <f t="shared" ca="1" si="93"/>
        <v>142.0401</v>
      </c>
      <c r="N1118" s="5">
        <f t="shared" ca="1" si="93"/>
        <v>58.217499999999994</v>
      </c>
      <c r="O1118" s="5">
        <f t="shared" ca="1" si="93"/>
        <v>4.4046000000000003</v>
      </c>
      <c r="P1118" s="5">
        <f t="shared" ca="1" si="93"/>
        <v>15.220499999999998</v>
      </c>
      <c r="Q1118" s="5">
        <f t="shared" ca="1" si="93"/>
        <v>231.81149999999997</v>
      </c>
      <c r="R1118" s="4"/>
      <c r="S1118" s="4"/>
    </row>
    <row r="1119" spans="1:19" ht="15" customHeight="1">
      <c r="A1119" s="3">
        <f t="shared" si="94"/>
        <v>2071</v>
      </c>
      <c r="B1119" s="4">
        <f t="shared" ca="1" si="92"/>
        <v>21.035366666666665</v>
      </c>
      <c r="C1119" s="4">
        <f t="shared" ca="1" si="92"/>
        <v>21.041641666666667</v>
      </c>
      <c r="D1119" s="4">
        <f t="shared" ca="1" si="92"/>
        <v>21.047975000000001</v>
      </c>
      <c r="E1119" s="4">
        <f t="shared" ca="1" si="92"/>
        <v>21.044983333333334</v>
      </c>
      <c r="F1119" s="4">
        <f t="shared" ca="1" si="92"/>
        <v>21.737883333333333</v>
      </c>
      <c r="G1119" s="4">
        <f t="shared" ca="1" si="92"/>
        <v>20.790233333333337</v>
      </c>
      <c r="H1119" s="4">
        <f t="shared" ca="1" si="92"/>
        <v>21.708466666666666</v>
      </c>
      <c r="I1119" s="4">
        <f t="shared" ca="1" si="92"/>
        <v>20.542666666666669</v>
      </c>
      <c r="J1119" s="4">
        <f t="shared" ca="1" si="92"/>
        <v>20.384241666666668</v>
      </c>
      <c r="K1119" s="4"/>
      <c r="L1119" s="5">
        <f t="shared" ca="1" si="93"/>
        <v>355.53689999999995</v>
      </c>
      <c r="M1119" s="5">
        <f t="shared" ca="1" si="93"/>
        <v>142.0401</v>
      </c>
      <c r="N1119" s="5">
        <f t="shared" ca="1" si="93"/>
        <v>58.217499999999994</v>
      </c>
      <c r="O1119" s="5">
        <f t="shared" ca="1" si="93"/>
        <v>4.4046000000000003</v>
      </c>
      <c r="P1119" s="5">
        <f t="shared" ca="1" si="93"/>
        <v>15.220499999999998</v>
      </c>
      <c r="Q1119" s="5">
        <f t="shared" ca="1" si="93"/>
        <v>231.81149999999997</v>
      </c>
      <c r="R1119" s="4"/>
      <c r="S1119" s="4"/>
    </row>
    <row r="1120" spans="1:19" ht="15" customHeight="1">
      <c r="A1120" s="3">
        <f t="shared" si="94"/>
        <v>2072</v>
      </c>
      <c r="B1120" s="4">
        <f t="shared" ref="B1120:J1129" ca="1" si="95">AVERAGE(OFFSET(B$593,($A1120-$A$1110)*12,0,12,1))</f>
        <v>21.541125000000005</v>
      </c>
      <c r="C1120" s="4">
        <f t="shared" ca="1" si="95"/>
        <v>21.547408333333333</v>
      </c>
      <c r="D1120" s="4">
        <f t="shared" ca="1" si="95"/>
        <v>21.553758333333331</v>
      </c>
      <c r="E1120" s="4">
        <f t="shared" ca="1" si="95"/>
        <v>21.550766666666672</v>
      </c>
      <c r="F1120" s="4">
        <f t="shared" ca="1" si="95"/>
        <v>22.2437</v>
      </c>
      <c r="G1120" s="4">
        <f t="shared" ca="1" si="95"/>
        <v>21.288983333333331</v>
      </c>
      <c r="H1120" s="4">
        <f t="shared" ca="1" si="95"/>
        <v>22.2072</v>
      </c>
      <c r="I1120" s="4">
        <f t="shared" ca="1" si="95"/>
        <v>21.032650000000004</v>
      </c>
      <c r="J1120" s="4">
        <f t="shared" ca="1" si="95"/>
        <v>20.873991666666665</v>
      </c>
      <c r="K1120" s="4"/>
      <c r="L1120" s="5">
        <f t="shared" ref="L1120:Q1129" ca="1" si="96">SUM(OFFSET(L$593,($A1120-$A$1110)*12,0,12,1))</f>
        <v>356.48229999999995</v>
      </c>
      <c r="M1120" s="5">
        <f t="shared" ca="1" si="96"/>
        <v>142.42920000000001</v>
      </c>
      <c r="N1120" s="5">
        <f t="shared" ca="1" si="96"/>
        <v>58.377000000000002</v>
      </c>
      <c r="O1120" s="5">
        <f t="shared" ca="1" si="96"/>
        <v>4.4165999999999999</v>
      </c>
      <c r="P1120" s="5">
        <f t="shared" ca="1" si="96"/>
        <v>15.262199999999998</v>
      </c>
      <c r="Q1120" s="5">
        <f t="shared" ca="1" si="96"/>
        <v>232.44659999999996</v>
      </c>
      <c r="R1120" s="4"/>
      <c r="S1120" s="4"/>
    </row>
    <row r="1121" spans="1:19" ht="15" customHeight="1">
      <c r="A1121" s="3">
        <f t="shared" si="94"/>
        <v>2073</v>
      </c>
      <c r="B1121" s="4">
        <f t="shared" ca="1" si="95"/>
        <v>22.059066666666666</v>
      </c>
      <c r="C1121" s="4">
        <f t="shared" ca="1" si="95"/>
        <v>22.065341666666665</v>
      </c>
      <c r="D1121" s="4">
        <f t="shared" ca="1" si="95"/>
        <v>22.071699999999996</v>
      </c>
      <c r="E1121" s="4">
        <f t="shared" ca="1" si="95"/>
        <v>22.068708333333337</v>
      </c>
      <c r="F1121" s="4">
        <f t="shared" ca="1" si="95"/>
        <v>22.761616666666669</v>
      </c>
      <c r="G1121" s="4">
        <f t="shared" ca="1" si="95"/>
        <v>21.799683333333334</v>
      </c>
      <c r="H1121" s="4">
        <f t="shared" ca="1" si="95"/>
        <v>22.717916666666667</v>
      </c>
      <c r="I1121" s="4">
        <f t="shared" ca="1" si="95"/>
        <v>21.534408333333335</v>
      </c>
      <c r="J1121" s="4">
        <f t="shared" ca="1" si="95"/>
        <v>21.375516666666666</v>
      </c>
      <c r="K1121" s="4"/>
      <c r="L1121" s="5">
        <f t="shared" ca="1" si="96"/>
        <v>355.53689999999995</v>
      </c>
      <c r="M1121" s="5">
        <f t="shared" ca="1" si="96"/>
        <v>142.0401</v>
      </c>
      <c r="N1121" s="5">
        <f t="shared" ca="1" si="96"/>
        <v>58.217499999999994</v>
      </c>
      <c r="O1121" s="5">
        <f t="shared" ca="1" si="96"/>
        <v>4.4046000000000003</v>
      </c>
      <c r="P1121" s="5">
        <f t="shared" ca="1" si="96"/>
        <v>15.220499999999998</v>
      </c>
      <c r="Q1121" s="5">
        <f t="shared" ca="1" si="96"/>
        <v>231.81149999999997</v>
      </c>
      <c r="R1121" s="4"/>
      <c r="S1121" s="4"/>
    </row>
    <row r="1122" spans="1:19" ht="15" customHeight="1">
      <c r="A1122" s="3">
        <f t="shared" si="94"/>
        <v>2074</v>
      </c>
      <c r="B1122" s="4">
        <f t="shared" ca="1" si="95"/>
        <v>22.589449999999999</v>
      </c>
      <c r="C1122" s="4">
        <f t="shared" ca="1" si="95"/>
        <v>22.595716666666664</v>
      </c>
      <c r="D1122" s="4">
        <f t="shared" ca="1" si="95"/>
        <v>22.602066666666669</v>
      </c>
      <c r="E1122" s="4">
        <f t="shared" ca="1" si="95"/>
        <v>22.599074999999999</v>
      </c>
      <c r="F1122" s="4">
        <f t="shared" ca="1" si="95"/>
        <v>23.291999999999998</v>
      </c>
      <c r="G1122" s="4">
        <f t="shared" ca="1" si="95"/>
        <v>22.322658333333337</v>
      </c>
      <c r="H1122" s="4">
        <f t="shared" ca="1" si="95"/>
        <v>23.2409</v>
      </c>
      <c r="I1122" s="4">
        <f t="shared" ca="1" si="95"/>
        <v>22.048233333333332</v>
      </c>
      <c r="J1122" s="4">
        <f t="shared" ca="1" si="95"/>
        <v>21.889074999999995</v>
      </c>
      <c r="K1122" s="4"/>
      <c r="L1122" s="5">
        <f t="shared" ca="1" si="96"/>
        <v>355.53689999999995</v>
      </c>
      <c r="M1122" s="5">
        <f t="shared" ca="1" si="96"/>
        <v>142.0401</v>
      </c>
      <c r="N1122" s="5">
        <f t="shared" ca="1" si="96"/>
        <v>58.217499999999994</v>
      </c>
      <c r="O1122" s="5">
        <f t="shared" ca="1" si="96"/>
        <v>4.4046000000000003</v>
      </c>
      <c r="P1122" s="5">
        <f t="shared" ca="1" si="96"/>
        <v>15.220499999999998</v>
      </c>
      <c r="Q1122" s="5">
        <f t="shared" ca="1" si="96"/>
        <v>231.81149999999997</v>
      </c>
      <c r="R1122" s="4"/>
      <c r="S1122" s="4"/>
    </row>
    <row r="1123" spans="1:19" ht="15" customHeight="1">
      <c r="A1123" s="3">
        <f t="shared" si="94"/>
        <v>2075</v>
      </c>
      <c r="B1123" s="4">
        <f t="shared" ca="1" si="95"/>
        <v>23.132583333333333</v>
      </c>
      <c r="C1123" s="4">
        <f t="shared" ca="1" si="95"/>
        <v>23.138858333333332</v>
      </c>
      <c r="D1123" s="4">
        <f t="shared" ca="1" si="95"/>
        <v>23.145199999999999</v>
      </c>
      <c r="E1123" s="4">
        <f t="shared" ca="1" si="95"/>
        <v>23.142216666666666</v>
      </c>
      <c r="F1123" s="4">
        <f t="shared" ca="1" si="95"/>
        <v>23.835124999999994</v>
      </c>
      <c r="G1123" s="4">
        <f t="shared" ca="1" si="95"/>
        <v>22.858208333333334</v>
      </c>
      <c r="H1123" s="4">
        <f t="shared" ca="1" si="95"/>
        <v>23.776433333333333</v>
      </c>
      <c r="I1123" s="4">
        <f t="shared" ca="1" si="95"/>
        <v>22.574425000000002</v>
      </c>
      <c r="J1123" s="4">
        <f t="shared" ca="1" si="95"/>
        <v>22.414966666666668</v>
      </c>
      <c r="K1123" s="4"/>
      <c r="L1123" s="5">
        <f t="shared" ca="1" si="96"/>
        <v>355.53689999999995</v>
      </c>
      <c r="M1123" s="5">
        <f t="shared" ca="1" si="96"/>
        <v>142.0401</v>
      </c>
      <c r="N1123" s="5">
        <f t="shared" ca="1" si="96"/>
        <v>58.217499999999994</v>
      </c>
      <c r="O1123" s="5">
        <f t="shared" ca="1" si="96"/>
        <v>4.4046000000000003</v>
      </c>
      <c r="P1123" s="5">
        <f t="shared" ca="1" si="96"/>
        <v>15.220499999999998</v>
      </c>
      <c r="Q1123" s="5">
        <f t="shared" ca="1" si="96"/>
        <v>231.81149999999997</v>
      </c>
      <c r="R1123" s="4"/>
      <c r="S1123" s="4"/>
    </row>
    <row r="1124" spans="1:19" ht="15" customHeight="1">
      <c r="A1124" s="3">
        <f t="shared" si="94"/>
        <v>2076</v>
      </c>
      <c r="B1124" s="4">
        <f t="shared" ca="1" si="95"/>
        <v>23.688741666666669</v>
      </c>
      <c r="C1124" s="4">
        <f t="shared" ca="1" si="95"/>
        <v>23.695016666666671</v>
      </c>
      <c r="D1124" s="4">
        <f t="shared" ca="1" si="95"/>
        <v>23.701383333333336</v>
      </c>
      <c r="E1124" s="4">
        <f t="shared" ca="1" si="95"/>
        <v>23.698383333333329</v>
      </c>
      <c r="F1124" s="4">
        <f t="shared" ca="1" si="95"/>
        <v>24.391316666666668</v>
      </c>
      <c r="G1124" s="4">
        <f t="shared" ca="1" si="95"/>
        <v>23.406633333333335</v>
      </c>
      <c r="H1124" s="4">
        <f t="shared" ca="1" si="95"/>
        <v>24.324841666666661</v>
      </c>
      <c r="I1124" s="4">
        <f t="shared" ca="1" si="95"/>
        <v>23.113241666666671</v>
      </c>
      <c r="J1124" s="4">
        <f t="shared" ca="1" si="95"/>
        <v>22.953533333333336</v>
      </c>
      <c r="K1124" s="4"/>
      <c r="L1124" s="5">
        <f t="shared" ca="1" si="96"/>
        <v>356.48229999999995</v>
      </c>
      <c r="M1124" s="5">
        <f t="shared" ca="1" si="96"/>
        <v>142.42920000000001</v>
      </c>
      <c r="N1124" s="5">
        <f t="shared" ca="1" si="96"/>
        <v>58.377000000000002</v>
      </c>
      <c r="O1124" s="5">
        <f t="shared" ca="1" si="96"/>
        <v>4.4165999999999999</v>
      </c>
      <c r="P1124" s="5">
        <f t="shared" ca="1" si="96"/>
        <v>15.262199999999998</v>
      </c>
      <c r="Q1124" s="5">
        <f t="shared" ca="1" si="96"/>
        <v>232.44659999999996</v>
      </c>
      <c r="R1124" s="4"/>
      <c r="S1124" s="4"/>
    </row>
    <row r="1125" spans="1:19" ht="15" customHeight="1">
      <c r="A1125" s="3">
        <f t="shared" si="94"/>
        <v>2077</v>
      </c>
      <c r="B1125" s="4">
        <f t="shared" ca="1" si="95"/>
        <v>24.258300000000002</v>
      </c>
      <c r="C1125" s="4">
        <f t="shared" ca="1" si="95"/>
        <v>24.264591666666671</v>
      </c>
      <c r="D1125" s="4">
        <f t="shared" ca="1" si="95"/>
        <v>24.270925000000002</v>
      </c>
      <c r="E1125" s="4">
        <f t="shared" ca="1" si="95"/>
        <v>24.267933333333332</v>
      </c>
      <c r="F1125" s="4">
        <f t="shared" ca="1" si="95"/>
        <v>24.960841666666663</v>
      </c>
      <c r="G1125" s="4">
        <f t="shared" ca="1" si="95"/>
        <v>23.968225</v>
      </c>
      <c r="H1125" s="4">
        <f t="shared" ca="1" si="95"/>
        <v>24.88645</v>
      </c>
      <c r="I1125" s="4">
        <f t="shared" ca="1" si="95"/>
        <v>23.664991666666669</v>
      </c>
      <c r="J1125" s="4">
        <f t="shared" ca="1" si="95"/>
        <v>23.505016666666663</v>
      </c>
      <c r="K1125" s="4"/>
      <c r="L1125" s="5">
        <f t="shared" ca="1" si="96"/>
        <v>355.53689999999995</v>
      </c>
      <c r="M1125" s="5">
        <f t="shared" ca="1" si="96"/>
        <v>142.0401</v>
      </c>
      <c r="N1125" s="5">
        <f t="shared" ca="1" si="96"/>
        <v>58.217499999999994</v>
      </c>
      <c r="O1125" s="5">
        <f t="shared" ca="1" si="96"/>
        <v>4.4046000000000003</v>
      </c>
      <c r="P1125" s="5">
        <f t="shared" ca="1" si="96"/>
        <v>15.220499999999998</v>
      </c>
      <c r="Q1125" s="5">
        <f t="shared" ca="1" si="96"/>
        <v>231.81149999999997</v>
      </c>
      <c r="R1125" s="4"/>
      <c r="S1125" s="4"/>
    </row>
    <row r="1126" spans="1:19" ht="15" customHeight="1">
      <c r="A1126" s="3">
        <f t="shared" si="94"/>
        <v>2078</v>
      </c>
      <c r="B1126" s="4">
        <f t="shared" ca="1" si="95"/>
        <v>24.841525000000001</v>
      </c>
      <c r="C1126" s="4">
        <f t="shared" ca="1" si="95"/>
        <v>24.847800000000003</v>
      </c>
      <c r="D1126" s="4">
        <f t="shared" ca="1" si="95"/>
        <v>24.854141666666663</v>
      </c>
      <c r="E1126" s="4">
        <f t="shared" ca="1" si="95"/>
        <v>24.851158333333331</v>
      </c>
      <c r="F1126" s="4">
        <f t="shared" ca="1" si="95"/>
        <v>25.544049999999999</v>
      </c>
      <c r="G1126" s="4">
        <f t="shared" ca="1" si="95"/>
        <v>24.543300000000002</v>
      </c>
      <c r="H1126" s="4">
        <f t="shared" ca="1" si="95"/>
        <v>25.461550000000003</v>
      </c>
      <c r="I1126" s="4">
        <f t="shared" ca="1" si="95"/>
        <v>24.23</v>
      </c>
      <c r="J1126" s="4">
        <f t="shared" ca="1" si="95"/>
        <v>24.069741666666669</v>
      </c>
      <c r="K1126" s="4"/>
      <c r="L1126" s="5">
        <f t="shared" ca="1" si="96"/>
        <v>355.53689999999995</v>
      </c>
      <c r="M1126" s="5">
        <f t="shared" ca="1" si="96"/>
        <v>142.0401</v>
      </c>
      <c r="N1126" s="5">
        <f t="shared" ca="1" si="96"/>
        <v>58.217499999999994</v>
      </c>
      <c r="O1126" s="5">
        <f t="shared" ca="1" si="96"/>
        <v>4.4046000000000003</v>
      </c>
      <c r="P1126" s="5">
        <f t="shared" ca="1" si="96"/>
        <v>15.220499999999998</v>
      </c>
      <c r="Q1126" s="5">
        <f t="shared" ca="1" si="96"/>
        <v>231.81149999999997</v>
      </c>
      <c r="R1126" s="4"/>
      <c r="S1126" s="4"/>
    </row>
    <row r="1127" spans="1:19" ht="15" customHeight="1">
      <c r="A1127" s="3">
        <f t="shared" si="94"/>
        <v>2079</v>
      </c>
      <c r="B1127" s="4">
        <f t="shared" ca="1" si="95"/>
        <v>25.438741666666662</v>
      </c>
      <c r="C1127" s="4">
        <f t="shared" ca="1" si="95"/>
        <v>25.445024999999998</v>
      </c>
      <c r="D1127" s="4">
        <f t="shared" ca="1" si="95"/>
        <v>25.451383333333336</v>
      </c>
      <c r="E1127" s="4">
        <f t="shared" ca="1" si="95"/>
        <v>25.448383333333336</v>
      </c>
      <c r="F1127" s="4">
        <f t="shared" ca="1" si="95"/>
        <v>26.141308333333338</v>
      </c>
      <c r="G1127" s="4">
        <f t="shared" ca="1" si="95"/>
        <v>25.132200000000001</v>
      </c>
      <c r="H1127" s="4">
        <f t="shared" ca="1" si="95"/>
        <v>26.050441666666668</v>
      </c>
      <c r="I1127" s="4">
        <f t="shared" ca="1" si="95"/>
        <v>24.808591666666668</v>
      </c>
      <c r="J1127" s="4">
        <f t="shared" ca="1" si="95"/>
        <v>24.648033333333334</v>
      </c>
      <c r="K1127" s="4"/>
      <c r="L1127" s="5">
        <f t="shared" ca="1" si="96"/>
        <v>355.53689999999995</v>
      </c>
      <c r="M1127" s="5">
        <f t="shared" ca="1" si="96"/>
        <v>142.0401</v>
      </c>
      <c r="N1127" s="5">
        <f t="shared" ca="1" si="96"/>
        <v>58.217499999999994</v>
      </c>
      <c r="O1127" s="5">
        <f t="shared" ca="1" si="96"/>
        <v>4.4046000000000003</v>
      </c>
      <c r="P1127" s="5">
        <f t="shared" ca="1" si="96"/>
        <v>15.220499999999998</v>
      </c>
      <c r="Q1127" s="5">
        <f t="shared" ca="1" si="96"/>
        <v>231.81149999999997</v>
      </c>
      <c r="R1127" s="4"/>
      <c r="S1127" s="4"/>
    </row>
    <row r="1128" spans="1:19" ht="15" customHeight="1">
      <c r="A1128" s="3">
        <f t="shared" si="94"/>
        <v>2080</v>
      </c>
      <c r="B1128" s="4">
        <f t="shared" ca="1" si="95"/>
        <v>26.050341666666668</v>
      </c>
      <c r="C1128" s="4">
        <f t="shared" ca="1" si="95"/>
        <v>26.056616666666667</v>
      </c>
      <c r="D1128" s="4">
        <f t="shared" ca="1" si="95"/>
        <v>26.062966666666668</v>
      </c>
      <c r="E1128" s="4">
        <f t="shared" ca="1" si="95"/>
        <v>26.059974999999998</v>
      </c>
      <c r="F1128" s="4">
        <f t="shared" ca="1" si="95"/>
        <v>26.75288333333333</v>
      </c>
      <c r="G1128" s="4">
        <f t="shared" ca="1" si="95"/>
        <v>25.735266666666664</v>
      </c>
      <c r="H1128" s="4">
        <f t="shared" ca="1" si="95"/>
        <v>26.653499999999998</v>
      </c>
      <c r="I1128" s="4">
        <f t="shared" ca="1" si="95"/>
        <v>25.401083333333332</v>
      </c>
      <c r="J1128" s="4">
        <f t="shared" ca="1" si="95"/>
        <v>25.240241666666666</v>
      </c>
      <c r="K1128" s="4"/>
      <c r="L1128" s="5">
        <f t="shared" ca="1" si="96"/>
        <v>356.48229999999995</v>
      </c>
      <c r="M1128" s="5">
        <f t="shared" ca="1" si="96"/>
        <v>142.42920000000001</v>
      </c>
      <c r="N1128" s="5">
        <f t="shared" ca="1" si="96"/>
        <v>58.377000000000002</v>
      </c>
      <c r="O1128" s="5">
        <f t="shared" ca="1" si="96"/>
        <v>4.4165999999999999</v>
      </c>
      <c r="P1128" s="5">
        <f t="shared" ca="1" si="96"/>
        <v>15.262199999999998</v>
      </c>
      <c r="Q1128" s="5">
        <f t="shared" ca="1" si="96"/>
        <v>232.44659999999996</v>
      </c>
      <c r="R1128" s="4"/>
      <c r="S1128" s="4"/>
    </row>
    <row r="1129" spans="1:19" ht="15" customHeight="1">
      <c r="A1129" s="3">
        <f t="shared" si="94"/>
        <v>2081</v>
      </c>
      <c r="B1129" s="4">
        <f t="shared" ca="1" si="95"/>
        <v>26.676625000000001</v>
      </c>
      <c r="C1129" s="4">
        <f t="shared" ca="1" si="95"/>
        <v>26.6829</v>
      </c>
      <c r="D1129" s="4">
        <f t="shared" ca="1" si="95"/>
        <v>26.689250000000001</v>
      </c>
      <c r="E1129" s="4">
        <f t="shared" ca="1" si="95"/>
        <v>26.686258333333331</v>
      </c>
      <c r="F1129" s="4">
        <f t="shared" ca="1" si="95"/>
        <v>27.379158333333336</v>
      </c>
      <c r="G1129" s="4">
        <f t="shared" ca="1" si="95"/>
        <v>26.352800000000002</v>
      </c>
      <c r="H1129" s="4">
        <f t="shared" ca="1" si="95"/>
        <v>27.271033333333332</v>
      </c>
      <c r="I1129" s="4">
        <f t="shared" ca="1" si="95"/>
        <v>26.00781666666667</v>
      </c>
      <c r="J1129" s="4">
        <f t="shared" ca="1" si="95"/>
        <v>25.846683333333335</v>
      </c>
      <c r="K1129" s="4"/>
      <c r="L1129" s="5">
        <f t="shared" ca="1" si="96"/>
        <v>355.53689999999995</v>
      </c>
      <c r="M1129" s="5">
        <f t="shared" ca="1" si="96"/>
        <v>142.0401</v>
      </c>
      <c r="N1129" s="5">
        <f t="shared" ca="1" si="96"/>
        <v>58.217499999999994</v>
      </c>
      <c r="O1129" s="5">
        <f t="shared" ca="1" si="96"/>
        <v>4.4046000000000003</v>
      </c>
      <c r="P1129" s="5">
        <f t="shared" ca="1" si="96"/>
        <v>15.220499999999998</v>
      </c>
      <c r="Q1129" s="5">
        <f t="shared" ca="1" si="96"/>
        <v>231.81149999999997</v>
      </c>
      <c r="R1129" s="4"/>
      <c r="S1129" s="4"/>
    </row>
    <row r="1130" spans="1:19" ht="15" customHeight="1">
      <c r="A1130" s="3">
        <f t="shared" si="94"/>
        <v>2082</v>
      </c>
      <c r="B1130" s="4">
        <f t="shared" ref="B1130:J1139" ca="1" si="97">AVERAGE(OFFSET(B$593,($A1130-$A$1110)*12,0,12,1))</f>
        <v>27.31795</v>
      </c>
      <c r="C1130" s="4">
        <f t="shared" ca="1" si="97"/>
        <v>27.324224999999998</v>
      </c>
      <c r="D1130" s="4">
        <f t="shared" ca="1" si="97"/>
        <v>27.330575</v>
      </c>
      <c r="E1130" s="4">
        <f t="shared" ca="1" si="97"/>
        <v>27.327583333333333</v>
      </c>
      <c r="F1130" s="4">
        <f t="shared" ca="1" si="97"/>
        <v>28.020483333333335</v>
      </c>
      <c r="G1130" s="4">
        <f t="shared" ca="1" si="97"/>
        <v>26.985183333333328</v>
      </c>
      <c r="H1130" s="4">
        <f t="shared" ca="1" si="97"/>
        <v>27.903424999999999</v>
      </c>
      <c r="I1130" s="4">
        <f t="shared" ca="1" si="97"/>
        <v>26.629149999999999</v>
      </c>
      <c r="J1130" s="4">
        <f t="shared" ca="1" si="97"/>
        <v>26.467666666666663</v>
      </c>
      <c r="K1130" s="4"/>
      <c r="L1130" s="5">
        <f t="shared" ref="L1130:Q1139" ca="1" si="98">SUM(OFFSET(L$593,($A1130-$A$1110)*12,0,12,1))</f>
        <v>355.53689999999995</v>
      </c>
      <c r="M1130" s="5">
        <f t="shared" ca="1" si="98"/>
        <v>142.0401</v>
      </c>
      <c r="N1130" s="5">
        <f t="shared" ca="1" si="98"/>
        <v>58.217499999999994</v>
      </c>
      <c r="O1130" s="5">
        <f t="shared" ca="1" si="98"/>
        <v>4.4046000000000003</v>
      </c>
      <c r="P1130" s="5">
        <f t="shared" ca="1" si="98"/>
        <v>15.220499999999998</v>
      </c>
      <c r="Q1130" s="5">
        <f t="shared" ca="1" si="98"/>
        <v>231.81149999999997</v>
      </c>
      <c r="R1130" s="4"/>
      <c r="S1130" s="4"/>
    </row>
    <row r="1131" spans="1:19" ht="15" customHeight="1">
      <c r="A1131" s="3">
        <f t="shared" si="94"/>
        <v>2083</v>
      </c>
      <c r="B1131" s="4">
        <f t="shared" ca="1" si="97"/>
        <v>27.974691666666661</v>
      </c>
      <c r="C1131" s="4">
        <f t="shared" ca="1" si="97"/>
        <v>27.980966666666664</v>
      </c>
      <c r="D1131" s="4">
        <f t="shared" ca="1" si="97"/>
        <v>27.987316666666676</v>
      </c>
      <c r="E1131" s="4">
        <f t="shared" ca="1" si="97"/>
        <v>27.984324999999998</v>
      </c>
      <c r="F1131" s="4">
        <f t="shared" ca="1" si="97"/>
        <v>28.677233333333334</v>
      </c>
      <c r="G1131" s="4">
        <f t="shared" ca="1" si="97"/>
        <v>27.632758333333332</v>
      </c>
      <c r="H1131" s="4">
        <f t="shared" ca="1" si="97"/>
        <v>28.551000000000002</v>
      </c>
      <c r="I1131" s="4">
        <f t="shared" ca="1" si="97"/>
        <v>27.265375000000002</v>
      </c>
      <c r="J1131" s="4">
        <f t="shared" ca="1" si="97"/>
        <v>27.10359166666667</v>
      </c>
      <c r="K1131" s="4"/>
      <c r="L1131" s="5">
        <f t="shared" ca="1" si="98"/>
        <v>355.53689999999995</v>
      </c>
      <c r="M1131" s="5">
        <f t="shared" ca="1" si="98"/>
        <v>142.0401</v>
      </c>
      <c r="N1131" s="5">
        <f t="shared" ca="1" si="98"/>
        <v>58.217499999999994</v>
      </c>
      <c r="O1131" s="5">
        <f t="shared" ca="1" si="98"/>
        <v>4.4046000000000003</v>
      </c>
      <c r="P1131" s="5">
        <f t="shared" ca="1" si="98"/>
        <v>15.220499999999998</v>
      </c>
      <c r="Q1131" s="5">
        <f t="shared" ca="1" si="98"/>
        <v>231.81149999999997</v>
      </c>
      <c r="R1131" s="4"/>
      <c r="S1131" s="4"/>
    </row>
    <row r="1132" spans="1:19" ht="15" customHeight="1">
      <c r="A1132" s="3">
        <f t="shared" si="94"/>
        <v>2084</v>
      </c>
      <c r="B1132" s="4">
        <f t="shared" ca="1" si="97"/>
        <v>28.647191666666668</v>
      </c>
      <c r="C1132" s="4">
        <f t="shared" ca="1" si="97"/>
        <v>28.653475</v>
      </c>
      <c r="D1132" s="4">
        <f t="shared" ca="1" si="97"/>
        <v>28.659841666666665</v>
      </c>
      <c r="E1132" s="4">
        <f t="shared" ca="1" si="97"/>
        <v>28.656841666666665</v>
      </c>
      <c r="F1132" s="4">
        <f t="shared" ca="1" si="97"/>
        <v>29.349749999999997</v>
      </c>
      <c r="G1132" s="4">
        <f t="shared" ca="1" si="97"/>
        <v>28.295883333333332</v>
      </c>
      <c r="H1132" s="4">
        <f t="shared" ca="1" si="97"/>
        <v>29.214124999999999</v>
      </c>
      <c r="I1132" s="4">
        <f t="shared" ca="1" si="97"/>
        <v>27.916908333333328</v>
      </c>
      <c r="J1132" s="4">
        <f t="shared" ca="1" si="97"/>
        <v>27.754800000000003</v>
      </c>
      <c r="K1132" s="4"/>
      <c r="L1132" s="5">
        <f t="shared" ca="1" si="98"/>
        <v>356.48229999999995</v>
      </c>
      <c r="M1132" s="5">
        <f t="shared" ca="1" si="98"/>
        <v>142.42920000000001</v>
      </c>
      <c r="N1132" s="5">
        <f t="shared" ca="1" si="98"/>
        <v>58.377000000000002</v>
      </c>
      <c r="O1132" s="5">
        <f t="shared" ca="1" si="98"/>
        <v>4.4165999999999999</v>
      </c>
      <c r="P1132" s="5">
        <f t="shared" ca="1" si="98"/>
        <v>15.262199999999998</v>
      </c>
      <c r="Q1132" s="5">
        <f t="shared" ca="1" si="98"/>
        <v>232.44659999999996</v>
      </c>
      <c r="R1132" s="4"/>
      <c r="S1132" s="4"/>
    </row>
    <row r="1133" spans="1:19" ht="15" customHeight="1">
      <c r="A1133" s="3">
        <f t="shared" si="94"/>
        <v>2085</v>
      </c>
      <c r="B1133" s="4">
        <f t="shared" ca="1" si="97"/>
        <v>29.335874999999998</v>
      </c>
      <c r="C1133" s="4">
        <f t="shared" ca="1" si="97"/>
        <v>29.342158333333334</v>
      </c>
      <c r="D1133" s="4">
        <f t="shared" ca="1" si="97"/>
        <v>29.348516666666665</v>
      </c>
      <c r="E1133" s="4">
        <f t="shared" ca="1" si="97"/>
        <v>29.345524999999999</v>
      </c>
      <c r="F1133" s="4">
        <f t="shared" ca="1" si="97"/>
        <v>30.038425</v>
      </c>
      <c r="G1133" s="4">
        <f t="shared" ca="1" si="97"/>
        <v>28.974958333333333</v>
      </c>
      <c r="H1133" s="4">
        <f t="shared" ca="1" si="97"/>
        <v>29.893199999999997</v>
      </c>
      <c r="I1133" s="4">
        <f t="shared" ca="1" si="97"/>
        <v>28.584074999999999</v>
      </c>
      <c r="J1133" s="4">
        <f t="shared" ca="1" si="97"/>
        <v>28.421641666666659</v>
      </c>
      <c r="K1133" s="4"/>
      <c r="L1133" s="5">
        <f t="shared" ca="1" si="98"/>
        <v>355.53689999999995</v>
      </c>
      <c r="M1133" s="5">
        <f t="shared" ca="1" si="98"/>
        <v>142.0401</v>
      </c>
      <c r="N1133" s="5">
        <f t="shared" ca="1" si="98"/>
        <v>58.217499999999994</v>
      </c>
      <c r="O1133" s="5">
        <f t="shared" ca="1" si="98"/>
        <v>4.4046000000000003</v>
      </c>
      <c r="P1133" s="5">
        <f t="shared" ca="1" si="98"/>
        <v>15.220499999999998</v>
      </c>
      <c r="Q1133" s="5">
        <f t="shared" ca="1" si="98"/>
        <v>231.81149999999997</v>
      </c>
      <c r="R1133" s="4"/>
      <c r="S1133" s="4"/>
    </row>
    <row r="1134" spans="1:19" ht="15" customHeight="1">
      <c r="A1134" s="3">
        <f t="shared" si="94"/>
        <v>2086</v>
      </c>
      <c r="B1134" s="4">
        <f t="shared" ca="1" si="97"/>
        <v>30.04110833333333</v>
      </c>
      <c r="C1134" s="4">
        <f t="shared" ca="1" si="97"/>
        <v>30.047391666666666</v>
      </c>
      <c r="D1134" s="4">
        <f t="shared" ca="1" si="97"/>
        <v>30.053725</v>
      </c>
      <c r="E1134" s="4">
        <f t="shared" ca="1" si="97"/>
        <v>30.05073333333333</v>
      </c>
      <c r="F1134" s="4">
        <f t="shared" ca="1" si="97"/>
        <v>30.743666666666666</v>
      </c>
      <c r="G1134" s="4">
        <f t="shared" ca="1" si="97"/>
        <v>29.67035833333334</v>
      </c>
      <c r="H1134" s="4">
        <f t="shared" ca="1" si="97"/>
        <v>30.588591666666662</v>
      </c>
      <c r="I1134" s="4">
        <f t="shared" ca="1" si="97"/>
        <v>29.267283333333335</v>
      </c>
      <c r="J1134" s="4">
        <f t="shared" ca="1" si="97"/>
        <v>29.104499999999998</v>
      </c>
      <c r="K1134" s="4"/>
      <c r="L1134" s="5">
        <f t="shared" ca="1" si="98"/>
        <v>355.53689999999995</v>
      </c>
      <c r="M1134" s="5">
        <f t="shared" ca="1" si="98"/>
        <v>142.0401</v>
      </c>
      <c r="N1134" s="5">
        <f t="shared" ca="1" si="98"/>
        <v>58.217499999999994</v>
      </c>
      <c r="O1134" s="5">
        <f t="shared" ca="1" si="98"/>
        <v>4.4046000000000003</v>
      </c>
      <c r="P1134" s="5">
        <f t="shared" ca="1" si="98"/>
        <v>15.220499999999998</v>
      </c>
      <c r="Q1134" s="5">
        <f t="shared" ca="1" si="98"/>
        <v>231.81149999999997</v>
      </c>
      <c r="R1134" s="4"/>
      <c r="S1134" s="4"/>
    </row>
    <row r="1135" spans="1:19" ht="15" customHeight="1">
      <c r="A1135" s="3">
        <f t="shared" si="94"/>
        <v>2087</v>
      </c>
      <c r="B1135" s="4">
        <f t="shared" ca="1" si="97"/>
        <v>30.763266666666663</v>
      </c>
      <c r="C1135" s="4">
        <f t="shared" ca="1" si="97"/>
        <v>30.769549999999999</v>
      </c>
      <c r="D1135" s="4">
        <f t="shared" ca="1" si="97"/>
        <v>30.775891666666666</v>
      </c>
      <c r="E1135" s="4">
        <f t="shared" ca="1" si="97"/>
        <v>30.77290833333333</v>
      </c>
      <c r="F1135" s="4">
        <f t="shared" ca="1" si="97"/>
        <v>31.465833333333336</v>
      </c>
      <c r="G1135" s="4">
        <f t="shared" ca="1" si="97"/>
        <v>30.382449999999995</v>
      </c>
      <c r="H1135" s="4">
        <f t="shared" ca="1" si="97"/>
        <v>31.300683333333339</v>
      </c>
      <c r="I1135" s="4">
        <f t="shared" ca="1" si="97"/>
        <v>29.966899999999995</v>
      </c>
      <c r="J1135" s="4">
        <f t="shared" ca="1" si="97"/>
        <v>29.803775000000005</v>
      </c>
      <c r="K1135" s="4"/>
      <c r="L1135" s="5">
        <f t="shared" ca="1" si="98"/>
        <v>355.53689999999995</v>
      </c>
      <c r="M1135" s="5">
        <f t="shared" ca="1" si="98"/>
        <v>142.0401</v>
      </c>
      <c r="N1135" s="5">
        <f t="shared" ca="1" si="98"/>
        <v>58.217499999999994</v>
      </c>
      <c r="O1135" s="5">
        <f t="shared" ca="1" si="98"/>
        <v>4.4046000000000003</v>
      </c>
      <c r="P1135" s="5">
        <f t="shared" ca="1" si="98"/>
        <v>15.220499999999998</v>
      </c>
      <c r="Q1135" s="5">
        <f t="shared" ca="1" si="98"/>
        <v>231.81149999999997</v>
      </c>
      <c r="R1135" s="4"/>
      <c r="S1135" s="4"/>
    </row>
    <row r="1136" spans="1:19" ht="15" customHeight="1">
      <c r="A1136" s="3">
        <f t="shared" si="94"/>
        <v>2088</v>
      </c>
      <c r="B1136" s="4">
        <f t="shared" ca="1" si="97"/>
        <v>31.502791666666667</v>
      </c>
      <c r="C1136" s="4">
        <f t="shared" ca="1" si="97"/>
        <v>31.509074999999999</v>
      </c>
      <c r="D1136" s="4">
        <f t="shared" ca="1" si="97"/>
        <v>31.515425000000004</v>
      </c>
      <c r="E1136" s="4">
        <f t="shared" ca="1" si="97"/>
        <v>31.512433333333338</v>
      </c>
      <c r="F1136" s="4">
        <f t="shared" ca="1" si="97"/>
        <v>32.205350000000003</v>
      </c>
      <c r="G1136" s="4">
        <f t="shared" ca="1" si="97"/>
        <v>31.111649999999997</v>
      </c>
      <c r="H1136" s="4">
        <f t="shared" ca="1" si="97"/>
        <v>32.029883333333338</v>
      </c>
      <c r="I1136" s="4">
        <f t="shared" ca="1" si="97"/>
        <v>30.683358333333342</v>
      </c>
      <c r="J1136" s="4">
        <f t="shared" ca="1" si="97"/>
        <v>30.519866666666669</v>
      </c>
      <c r="K1136" s="4"/>
      <c r="L1136" s="5">
        <f t="shared" ca="1" si="98"/>
        <v>356.48229999999995</v>
      </c>
      <c r="M1136" s="5">
        <f t="shared" ca="1" si="98"/>
        <v>142.42920000000001</v>
      </c>
      <c r="N1136" s="5">
        <f t="shared" ca="1" si="98"/>
        <v>58.377000000000002</v>
      </c>
      <c r="O1136" s="5">
        <f t="shared" ca="1" si="98"/>
        <v>4.4165999999999999</v>
      </c>
      <c r="P1136" s="5">
        <f t="shared" ca="1" si="98"/>
        <v>15.262199999999998</v>
      </c>
      <c r="Q1136" s="5">
        <f t="shared" ca="1" si="98"/>
        <v>232.44659999999996</v>
      </c>
      <c r="R1136" s="4"/>
      <c r="S1136" s="4"/>
    </row>
    <row r="1137" spans="1:19" ht="15" customHeight="1">
      <c r="A1137" s="3">
        <f t="shared" si="94"/>
        <v>2089</v>
      </c>
      <c r="B1137" s="4">
        <f t="shared" ca="1" si="97"/>
        <v>32.260091666666661</v>
      </c>
      <c r="C1137" s="4">
        <f t="shared" ca="1" si="97"/>
        <v>32.266375000000004</v>
      </c>
      <c r="D1137" s="4">
        <f t="shared" ca="1" si="97"/>
        <v>32.2727</v>
      </c>
      <c r="E1137" s="4">
        <f t="shared" ca="1" si="97"/>
        <v>32.269725000000001</v>
      </c>
      <c r="F1137" s="4">
        <f t="shared" ca="1" si="97"/>
        <v>32.962641666666663</v>
      </c>
      <c r="G1137" s="4">
        <f t="shared" ca="1" si="97"/>
        <v>31.858375000000006</v>
      </c>
      <c r="H1137" s="4">
        <f t="shared" ca="1" si="97"/>
        <v>32.776608333333336</v>
      </c>
      <c r="I1137" s="4">
        <f t="shared" ca="1" si="97"/>
        <v>31.417008333333332</v>
      </c>
      <c r="J1137" s="4">
        <f t="shared" ca="1" si="97"/>
        <v>31.253133333333338</v>
      </c>
      <c r="K1137" s="4"/>
      <c r="L1137" s="5">
        <f t="shared" ca="1" si="98"/>
        <v>355.53689999999995</v>
      </c>
      <c r="M1137" s="5">
        <f t="shared" ca="1" si="98"/>
        <v>142.0401</v>
      </c>
      <c r="N1137" s="5">
        <f t="shared" ca="1" si="98"/>
        <v>58.217499999999994</v>
      </c>
      <c r="O1137" s="5">
        <f t="shared" ca="1" si="98"/>
        <v>4.4046000000000003</v>
      </c>
      <c r="P1137" s="5">
        <f t="shared" ca="1" si="98"/>
        <v>15.220499999999998</v>
      </c>
      <c r="Q1137" s="5">
        <f t="shared" ca="1" si="98"/>
        <v>231.81149999999997</v>
      </c>
      <c r="R1137" s="4"/>
      <c r="S1137" s="4"/>
    </row>
    <row r="1138" spans="1:19" ht="15" customHeight="1">
      <c r="A1138" s="3">
        <f t="shared" si="94"/>
        <v>2090</v>
      </c>
      <c r="B1138" s="4">
        <f t="shared" ca="1" si="97"/>
        <v>33.035558333333341</v>
      </c>
      <c r="C1138" s="4">
        <f t="shared" ca="1" si="97"/>
        <v>33.041841666666663</v>
      </c>
      <c r="D1138" s="4">
        <f t="shared" ca="1" si="97"/>
        <v>33.048191666666661</v>
      </c>
      <c r="E1138" s="4">
        <f t="shared" ca="1" si="97"/>
        <v>33.045208333333335</v>
      </c>
      <c r="F1138" s="4">
        <f t="shared" ca="1" si="97"/>
        <v>33.738108333333336</v>
      </c>
      <c r="G1138" s="4">
        <f t="shared" ca="1" si="97"/>
        <v>32.623033333333332</v>
      </c>
      <c r="H1138" s="4">
        <f t="shared" ca="1" si="97"/>
        <v>33.541291666666659</v>
      </c>
      <c r="I1138" s="4">
        <f t="shared" ca="1" si="97"/>
        <v>32.168283333333328</v>
      </c>
      <c r="J1138" s="4">
        <f t="shared" ca="1" si="97"/>
        <v>32.004049999999999</v>
      </c>
      <c r="K1138" s="4"/>
      <c r="L1138" s="5">
        <f t="shared" ca="1" si="98"/>
        <v>355.53689999999995</v>
      </c>
      <c r="M1138" s="5">
        <f t="shared" ca="1" si="98"/>
        <v>142.0401</v>
      </c>
      <c r="N1138" s="5">
        <f t="shared" ca="1" si="98"/>
        <v>58.217499999999994</v>
      </c>
      <c r="O1138" s="5">
        <f t="shared" ca="1" si="98"/>
        <v>4.4046000000000003</v>
      </c>
      <c r="P1138" s="5">
        <f t="shared" ca="1" si="98"/>
        <v>15.220499999999998</v>
      </c>
      <c r="Q1138" s="5">
        <f t="shared" ca="1" si="98"/>
        <v>231.81149999999997</v>
      </c>
      <c r="R1138" s="4"/>
      <c r="S1138" s="4"/>
    </row>
    <row r="1139" spans="1:19" ht="15" customHeight="1">
      <c r="A1139" s="3">
        <f t="shared" si="94"/>
        <v>2091</v>
      </c>
      <c r="B1139" s="4">
        <f t="shared" ca="1" si="97"/>
        <v>33.829675000000002</v>
      </c>
      <c r="C1139" s="4">
        <f t="shared" ca="1" si="97"/>
        <v>33.83595833333333</v>
      </c>
      <c r="D1139" s="4">
        <f t="shared" ca="1" si="97"/>
        <v>33.842316666666669</v>
      </c>
      <c r="E1139" s="4">
        <f t="shared" ca="1" si="97"/>
        <v>33.839325000000002</v>
      </c>
      <c r="F1139" s="4">
        <f t="shared" ca="1" si="97"/>
        <v>34.532241666666664</v>
      </c>
      <c r="G1139" s="4">
        <f t="shared" ca="1" si="97"/>
        <v>33.406091666666669</v>
      </c>
      <c r="H1139" s="4">
        <f t="shared" ca="1" si="97"/>
        <v>34.324308333333335</v>
      </c>
      <c r="I1139" s="4">
        <f t="shared" ca="1" si="97"/>
        <v>32.937608333333337</v>
      </c>
      <c r="J1139" s="4">
        <f t="shared" ca="1" si="97"/>
        <v>32.77299166666667</v>
      </c>
      <c r="K1139" s="4"/>
      <c r="L1139" s="5">
        <f t="shared" ca="1" si="98"/>
        <v>355.53689999999995</v>
      </c>
      <c r="M1139" s="5">
        <f t="shared" ca="1" si="98"/>
        <v>142.0401</v>
      </c>
      <c r="N1139" s="5">
        <f t="shared" ca="1" si="98"/>
        <v>58.217499999999994</v>
      </c>
      <c r="O1139" s="5">
        <f t="shared" ca="1" si="98"/>
        <v>4.4046000000000003</v>
      </c>
      <c r="P1139" s="5">
        <f t="shared" ca="1" si="98"/>
        <v>15.220499999999998</v>
      </c>
      <c r="Q1139" s="5">
        <f t="shared" ca="1" si="98"/>
        <v>231.81149999999997</v>
      </c>
      <c r="R1139" s="4"/>
      <c r="S1139" s="4"/>
    </row>
    <row r="1140" spans="1:19" ht="15" customHeight="1">
      <c r="A1140" s="3">
        <f t="shared" si="94"/>
        <v>2092</v>
      </c>
      <c r="B1140" s="4">
        <f t="shared" ref="B1140:J1148" ca="1" si="99">AVERAGE(OFFSET(B$593,($A1140-$A$1110)*12,0,12,1))</f>
        <v>34.642891666666664</v>
      </c>
      <c r="C1140" s="4">
        <f t="shared" ca="1" si="99"/>
        <v>34.649166666666666</v>
      </c>
      <c r="D1140" s="4">
        <f t="shared" ca="1" si="99"/>
        <v>34.655508333333337</v>
      </c>
      <c r="E1140" s="4">
        <f t="shared" ca="1" si="99"/>
        <v>34.652524999999997</v>
      </c>
      <c r="F1140" s="4">
        <f t="shared" ca="1" si="99"/>
        <v>35.345441666666666</v>
      </c>
      <c r="G1140" s="4">
        <f t="shared" ca="1" si="99"/>
        <v>34.20794166666667</v>
      </c>
      <c r="H1140" s="4">
        <f t="shared" ca="1" si="99"/>
        <v>35.12616666666667</v>
      </c>
      <c r="I1140" s="4">
        <f t="shared" ca="1" si="99"/>
        <v>33.725416666666668</v>
      </c>
      <c r="J1140" s="4">
        <f t="shared" ca="1" si="99"/>
        <v>33.560408333333335</v>
      </c>
      <c r="K1140" s="4"/>
      <c r="L1140" s="5">
        <f t="shared" ref="L1140:Q1148" ca="1" si="100">SUM(OFFSET(L$593,($A1140-$A$1110)*12,0,12,1))</f>
        <v>356.48229999999995</v>
      </c>
      <c r="M1140" s="5">
        <f t="shared" ca="1" si="100"/>
        <v>142.42920000000001</v>
      </c>
      <c r="N1140" s="5">
        <f t="shared" ca="1" si="100"/>
        <v>58.377000000000002</v>
      </c>
      <c r="O1140" s="5">
        <f t="shared" ca="1" si="100"/>
        <v>4.4165999999999999</v>
      </c>
      <c r="P1140" s="5">
        <f t="shared" ca="1" si="100"/>
        <v>15.262199999999998</v>
      </c>
      <c r="Q1140" s="5">
        <f t="shared" ca="1" si="100"/>
        <v>232.44659999999996</v>
      </c>
      <c r="R1140" s="4"/>
      <c r="S1140" s="4"/>
    </row>
    <row r="1141" spans="1:19" ht="15" customHeight="1">
      <c r="A1141" s="3">
        <f t="shared" si="94"/>
        <v>2093</v>
      </c>
      <c r="B1141" s="4">
        <f t="shared" ca="1" si="99"/>
        <v>35.475633333333327</v>
      </c>
      <c r="C1141" s="4">
        <f t="shared" ca="1" si="99"/>
        <v>35.481916666666663</v>
      </c>
      <c r="D1141" s="4">
        <f t="shared" ca="1" si="99"/>
        <v>35.488250000000001</v>
      </c>
      <c r="E1141" s="4">
        <f t="shared" ca="1" si="99"/>
        <v>35.485275000000001</v>
      </c>
      <c r="F1141" s="4">
        <f t="shared" ca="1" si="99"/>
        <v>36.178174999999996</v>
      </c>
      <c r="G1141" s="4">
        <f t="shared" ca="1" si="99"/>
        <v>35.029058333333339</v>
      </c>
      <c r="H1141" s="4">
        <f t="shared" ca="1" si="99"/>
        <v>35.947299999999998</v>
      </c>
      <c r="I1141" s="4">
        <f t="shared" ca="1" si="99"/>
        <v>34.532175000000002</v>
      </c>
      <c r="J1141" s="4">
        <f t="shared" ca="1" si="99"/>
        <v>34.366750000000003</v>
      </c>
      <c r="K1141" s="4"/>
      <c r="L1141" s="5">
        <f t="shared" ca="1" si="100"/>
        <v>355.53689999999995</v>
      </c>
      <c r="M1141" s="5">
        <f t="shared" ca="1" si="100"/>
        <v>142.0401</v>
      </c>
      <c r="N1141" s="5">
        <f t="shared" ca="1" si="100"/>
        <v>58.217499999999994</v>
      </c>
      <c r="O1141" s="5">
        <f t="shared" ca="1" si="100"/>
        <v>4.4046000000000003</v>
      </c>
      <c r="P1141" s="5">
        <f t="shared" ca="1" si="100"/>
        <v>15.220499999999998</v>
      </c>
      <c r="Q1141" s="5">
        <f t="shared" ca="1" si="100"/>
        <v>231.81149999999997</v>
      </c>
      <c r="R1141" s="4"/>
      <c r="S1141" s="4"/>
    </row>
    <row r="1142" spans="1:19" ht="15" customHeight="1">
      <c r="A1142" s="3">
        <f t="shared" si="94"/>
        <v>2094</v>
      </c>
      <c r="B1142" s="4">
        <f t="shared" ca="1" si="99"/>
        <v>36.32836666666666</v>
      </c>
      <c r="C1142" s="4">
        <f t="shared" ca="1" si="99"/>
        <v>36.33464166666667</v>
      </c>
      <c r="D1142" s="4">
        <f t="shared" ca="1" si="99"/>
        <v>36.341000000000001</v>
      </c>
      <c r="E1142" s="4">
        <f t="shared" ca="1" si="99"/>
        <v>36.338008333333327</v>
      </c>
      <c r="F1142" s="4">
        <f t="shared" ca="1" si="99"/>
        <v>37.030933333333337</v>
      </c>
      <c r="G1142" s="4">
        <f t="shared" ca="1" si="99"/>
        <v>35.869908333333328</v>
      </c>
      <c r="H1142" s="4">
        <f t="shared" ca="1" si="99"/>
        <v>36.788141666666668</v>
      </c>
      <c r="I1142" s="4">
        <f t="shared" ca="1" si="99"/>
        <v>35.35828333333334</v>
      </c>
      <c r="J1142" s="4">
        <f t="shared" ca="1" si="99"/>
        <v>35.192466666666668</v>
      </c>
      <c r="K1142" s="4"/>
      <c r="L1142" s="5">
        <f t="shared" ca="1" si="100"/>
        <v>355.53689999999995</v>
      </c>
      <c r="M1142" s="5">
        <f t="shared" ca="1" si="100"/>
        <v>142.0401</v>
      </c>
      <c r="N1142" s="5">
        <f t="shared" ca="1" si="100"/>
        <v>58.217499999999994</v>
      </c>
      <c r="O1142" s="5">
        <f t="shared" ca="1" si="100"/>
        <v>4.4046000000000003</v>
      </c>
      <c r="P1142" s="5">
        <f t="shared" ca="1" si="100"/>
        <v>15.220499999999998</v>
      </c>
      <c r="Q1142" s="5">
        <f t="shared" ca="1" si="100"/>
        <v>231.81149999999997</v>
      </c>
      <c r="R1142" s="4"/>
      <c r="S1142" s="4"/>
    </row>
    <row r="1143" spans="1:19" ht="15" customHeight="1">
      <c r="A1143" s="3">
        <f t="shared" si="94"/>
        <v>2095</v>
      </c>
      <c r="B1143" s="4">
        <f t="shared" ca="1" si="99"/>
        <v>37.201625000000007</v>
      </c>
      <c r="C1143" s="4">
        <f t="shared" ca="1" si="99"/>
        <v>37.207900000000002</v>
      </c>
      <c r="D1143" s="4">
        <f t="shared" ca="1" si="99"/>
        <v>37.21425</v>
      </c>
      <c r="E1143" s="4">
        <f t="shared" ca="1" si="99"/>
        <v>37.21125833333334</v>
      </c>
      <c r="F1143" s="4">
        <f t="shared" ca="1" si="99"/>
        <v>37.904141666666668</v>
      </c>
      <c r="G1143" s="4">
        <f t="shared" ca="1" si="99"/>
        <v>36.730958333333334</v>
      </c>
      <c r="H1143" s="4">
        <f t="shared" ca="1" si="99"/>
        <v>37.649183333333333</v>
      </c>
      <c r="I1143" s="4">
        <f t="shared" ca="1" si="99"/>
        <v>36.204275000000003</v>
      </c>
      <c r="J1143" s="4">
        <f t="shared" ca="1" si="99"/>
        <v>36.038016666666671</v>
      </c>
      <c r="K1143" s="4"/>
      <c r="L1143" s="5">
        <f t="shared" ca="1" si="100"/>
        <v>355.53689999999995</v>
      </c>
      <c r="M1143" s="5">
        <f t="shared" ca="1" si="100"/>
        <v>142.0401</v>
      </c>
      <c r="N1143" s="5">
        <f t="shared" ca="1" si="100"/>
        <v>58.217499999999994</v>
      </c>
      <c r="O1143" s="5">
        <f t="shared" ca="1" si="100"/>
        <v>4.4046000000000003</v>
      </c>
      <c r="P1143" s="5">
        <f t="shared" ca="1" si="100"/>
        <v>15.220499999999998</v>
      </c>
      <c r="Q1143" s="5">
        <f t="shared" ca="1" si="100"/>
        <v>231.81149999999997</v>
      </c>
      <c r="R1143" s="4"/>
      <c r="S1143" s="4"/>
    </row>
    <row r="1144" spans="1:19" ht="15" customHeight="1">
      <c r="A1144" s="3">
        <f t="shared" si="94"/>
        <v>2096</v>
      </c>
      <c r="B1144" s="4">
        <f t="shared" ca="1" si="99"/>
        <v>38.095833333333324</v>
      </c>
      <c r="C1144" s="4">
        <f t="shared" ca="1" si="99"/>
        <v>38.102108333333334</v>
      </c>
      <c r="D1144" s="4">
        <f t="shared" ca="1" si="99"/>
        <v>38.108449999999998</v>
      </c>
      <c r="E1144" s="4">
        <f t="shared" ca="1" si="99"/>
        <v>38.105449999999998</v>
      </c>
      <c r="F1144" s="4">
        <f t="shared" ca="1" si="99"/>
        <v>38.798366666666666</v>
      </c>
      <c r="G1144" s="4">
        <f t="shared" ca="1" si="99"/>
        <v>37.612716666666664</v>
      </c>
      <c r="H1144" s="4">
        <f t="shared" ca="1" si="99"/>
        <v>38.530933333333337</v>
      </c>
      <c r="I1144" s="4">
        <f t="shared" ca="1" si="99"/>
        <v>37.070575000000005</v>
      </c>
      <c r="J1144" s="4">
        <f t="shared" ca="1" si="99"/>
        <v>36.903908333333341</v>
      </c>
      <c r="K1144" s="4"/>
      <c r="L1144" s="5">
        <f t="shared" ca="1" si="100"/>
        <v>356.48229999999995</v>
      </c>
      <c r="M1144" s="5">
        <f t="shared" ca="1" si="100"/>
        <v>142.42920000000001</v>
      </c>
      <c r="N1144" s="5">
        <f t="shared" ca="1" si="100"/>
        <v>58.377000000000002</v>
      </c>
      <c r="O1144" s="5">
        <f t="shared" ca="1" si="100"/>
        <v>4.4165999999999999</v>
      </c>
      <c r="P1144" s="5">
        <f t="shared" ca="1" si="100"/>
        <v>15.262199999999998</v>
      </c>
      <c r="Q1144" s="5">
        <f t="shared" ca="1" si="100"/>
        <v>232.44659999999996</v>
      </c>
      <c r="R1144" s="4"/>
      <c r="S1144" s="4"/>
    </row>
    <row r="1145" spans="1:19" ht="15" customHeight="1">
      <c r="A1145" s="3">
        <f t="shared" si="94"/>
        <v>2097</v>
      </c>
      <c r="B1145" s="4">
        <f t="shared" ca="1" si="99"/>
        <v>39.011541666666673</v>
      </c>
      <c r="C1145" s="4">
        <f t="shared" ca="1" si="99"/>
        <v>39.017816666666668</v>
      </c>
      <c r="D1145" s="4">
        <f t="shared" ca="1" si="99"/>
        <v>39.024158333333332</v>
      </c>
      <c r="E1145" s="4">
        <f t="shared" ca="1" si="99"/>
        <v>39.021174999999999</v>
      </c>
      <c r="F1145" s="4">
        <f t="shared" ca="1" si="99"/>
        <v>39.714074999999994</v>
      </c>
      <c r="G1145" s="4">
        <f t="shared" ca="1" si="99"/>
        <v>38.51564166666666</v>
      </c>
      <c r="H1145" s="4">
        <f t="shared" ca="1" si="99"/>
        <v>39.433850000000007</v>
      </c>
      <c r="I1145" s="4">
        <f t="shared" ca="1" si="99"/>
        <v>37.957700000000003</v>
      </c>
      <c r="J1145" s="4">
        <f t="shared" ca="1" si="99"/>
        <v>37.79056666666667</v>
      </c>
      <c r="K1145" s="4"/>
      <c r="L1145" s="5">
        <f t="shared" ca="1" si="100"/>
        <v>355.53689999999995</v>
      </c>
      <c r="M1145" s="5">
        <f t="shared" ca="1" si="100"/>
        <v>142.0401</v>
      </c>
      <c r="N1145" s="5">
        <f t="shared" ca="1" si="100"/>
        <v>58.217499999999994</v>
      </c>
      <c r="O1145" s="5">
        <f t="shared" ca="1" si="100"/>
        <v>4.4046000000000003</v>
      </c>
      <c r="P1145" s="5">
        <f t="shared" ca="1" si="100"/>
        <v>15.220499999999998</v>
      </c>
      <c r="Q1145" s="5">
        <f t="shared" ca="1" si="100"/>
        <v>231.81149999999997</v>
      </c>
      <c r="R1145" s="4"/>
      <c r="S1145" s="4"/>
    </row>
    <row r="1146" spans="1:19" ht="15" customHeight="1">
      <c r="A1146" s="3">
        <f t="shared" si="94"/>
        <v>2098</v>
      </c>
      <c r="B1146" s="4">
        <f t="shared" ca="1" si="99"/>
        <v>39.949233333333332</v>
      </c>
      <c r="C1146" s="4">
        <f t="shared" ca="1" si="99"/>
        <v>39.955516666666661</v>
      </c>
      <c r="D1146" s="4">
        <f t="shared" ca="1" si="99"/>
        <v>39.961866666666666</v>
      </c>
      <c r="E1146" s="4">
        <f t="shared" ca="1" si="99"/>
        <v>39.958874999999999</v>
      </c>
      <c r="F1146" s="4">
        <f t="shared" ca="1" si="99"/>
        <v>40.651791666666675</v>
      </c>
      <c r="G1146" s="4">
        <f t="shared" ca="1" si="99"/>
        <v>39.440266666666666</v>
      </c>
      <c r="H1146" s="4">
        <f t="shared" ca="1" si="99"/>
        <v>40.358474999999991</v>
      </c>
      <c r="I1146" s="4">
        <f t="shared" ca="1" si="99"/>
        <v>38.86613333333333</v>
      </c>
      <c r="J1146" s="4">
        <f t="shared" ca="1" si="99"/>
        <v>38.698541666666671</v>
      </c>
      <c r="K1146" s="4"/>
      <c r="L1146" s="5">
        <f t="shared" ca="1" si="100"/>
        <v>355.53689999999995</v>
      </c>
      <c r="M1146" s="5">
        <f t="shared" ca="1" si="100"/>
        <v>142.0401</v>
      </c>
      <c r="N1146" s="5">
        <f t="shared" ca="1" si="100"/>
        <v>58.217499999999994</v>
      </c>
      <c r="O1146" s="5">
        <f t="shared" ca="1" si="100"/>
        <v>4.4046000000000003</v>
      </c>
      <c r="P1146" s="5">
        <f t="shared" ca="1" si="100"/>
        <v>15.220499999999998</v>
      </c>
      <c r="Q1146" s="5">
        <f t="shared" ca="1" si="100"/>
        <v>231.81149999999997</v>
      </c>
      <c r="R1146" s="4"/>
      <c r="S1146" s="4"/>
    </row>
    <row r="1147" spans="1:19" ht="15" customHeight="1">
      <c r="A1147" s="3">
        <f t="shared" si="94"/>
        <v>2099</v>
      </c>
      <c r="B1147" s="4">
        <f t="shared" ca="1" si="99"/>
        <v>40.909475000000008</v>
      </c>
      <c r="C1147" s="4">
        <f t="shared" ca="1" si="99"/>
        <v>40.915758333333336</v>
      </c>
      <c r="D1147" s="4">
        <f t="shared" ca="1" si="99"/>
        <v>40.922108333333334</v>
      </c>
      <c r="E1147" s="4">
        <f t="shared" ca="1" si="99"/>
        <v>40.919108333333334</v>
      </c>
      <c r="F1147" s="4">
        <f t="shared" ca="1" si="99"/>
        <v>41.612025000000003</v>
      </c>
      <c r="G1147" s="4">
        <f t="shared" ca="1" si="99"/>
        <v>40.387099999999997</v>
      </c>
      <c r="H1147" s="4">
        <f t="shared" ca="1" si="99"/>
        <v>41.305316666666663</v>
      </c>
      <c r="I1147" s="4">
        <f t="shared" ca="1" si="99"/>
        <v>39.796399999999998</v>
      </c>
      <c r="J1147" s="4">
        <f t="shared" ca="1" si="99"/>
        <v>39.628333333333337</v>
      </c>
      <c r="K1147" s="4"/>
      <c r="L1147" s="5">
        <f t="shared" ca="1" si="100"/>
        <v>355.53689999999995</v>
      </c>
      <c r="M1147" s="5">
        <f t="shared" ca="1" si="100"/>
        <v>142.0401</v>
      </c>
      <c r="N1147" s="5">
        <f t="shared" ca="1" si="100"/>
        <v>58.217499999999994</v>
      </c>
      <c r="O1147" s="5">
        <f t="shared" ca="1" si="100"/>
        <v>4.4046000000000003</v>
      </c>
      <c r="P1147" s="5">
        <f t="shared" ca="1" si="100"/>
        <v>15.220499999999998</v>
      </c>
      <c r="Q1147" s="5">
        <f t="shared" ca="1" si="100"/>
        <v>231.81149999999997</v>
      </c>
      <c r="R1147" s="4"/>
      <c r="S1147" s="4"/>
    </row>
    <row r="1148" spans="1:19" ht="15" customHeight="1">
      <c r="A1148" s="3">
        <f t="shared" si="94"/>
        <v>2100</v>
      </c>
      <c r="B1148" s="4">
        <f t="shared" ca="1" si="99"/>
        <v>41.89279166666666</v>
      </c>
      <c r="C1148" s="4">
        <f t="shared" ca="1" si="99"/>
        <v>41.899074999999996</v>
      </c>
      <c r="D1148" s="4">
        <f t="shared" ca="1" si="99"/>
        <v>41.905416666666667</v>
      </c>
      <c r="E1148" s="4">
        <f t="shared" ca="1" si="99"/>
        <v>41.902433333333335</v>
      </c>
      <c r="F1148" s="4">
        <f t="shared" ca="1" si="99"/>
        <v>42.595316666666669</v>
      </c>
      <c r="G1148" s="4">
        <f t="shared" ca="1" si="99"/>
        <v>41.35669166666667</v>
      </c>
      <c r="H1148" s="4">
        <f t="shared" ca="1" si="99"/>
        <v>42.274924999999996</v>
      </c>
      <c r="I1148" s="4">
        <f t="shared" ca="1" si="99"/>
        <v>40.74901666666667</v>
      </c>
      <c r="J1148" s="4">
        <f t="shared" ca="1" si="99"/>
        <v>40.580491666666667</v>
      </c>
      <c r="K1148" s="4"/>
      <c r="L1148" s="5">
        <f t="shared" ca="1" si="100"/>
        <v>355.53689999999995</v>
      </c>
      <c r="M1148" s="5">
        <f t="shared" ca="1" si="100"/>
        <v>142.0401</v>
      </c>
      <c r="N1148" s="5">
        <f t="shared" ca="1" si="100"/>
        <v>58.217499999999994</v>
      </c>
      <c r="O1148" s="5">
        <f t="shared" ca="1" si="100"/>
        <v>4.4046000000000003</v>
      </c>
      <c r="P1148" s="5">
        <f t="shared" ca="1" si="100"/>
        <v>15.220499999999998</v>
      </c>
      <c r="Q1148" s="5">
        <f t="shared" ca="1" si="100"/>
        <v>231.81149999999997</v>
      </c>
      <c r="R1148" s="4"/>
      <c r="S1148" s="4"/>
    </row>
    <row r="1149" spans="1:19">
      <c r="A1149" s="3"/>
    </row>
    <row r="1150" spans="1:19">
      <c r="A1150" s="3"/>
    </row>
    <row r="1151" spans="1:19">
      <c r="A1151" s="3"/>
    </row>
    <row r="1152" spans="1:19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</sheetData>
  <mergeCells count="2">
    <mergeCell ref="L13:S13"/>
    <mergeCell ref="L14:S14"/>
  </mergeCells>
  <pageMargins left="0.25" right="0.25" top="0.5" bottom="0.5" header="0.25" footer="0.25"/>
  <pageSetup paperSize="5" scale="70" orientation="landscape" r:id="rId1"/>
  <headerFooter alignWithMargins="0">
    <oddFooter>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locked="0" defaultSize="0" autoLine="0" autoPict="0">
                <anchor moveWithCells="1">
                  <from>
                    <xdr:col>3</xdr:col>
                    <xdr:colOff>0</xdr:colOff>
                    <xdr:row>11</xdr:row>
                    <xdr:rowOff>142875</xdr:rowOff>
                  </from>
                  <to>
                    <xdr:col>4</xdr:col>
                    <xdr:colOff>533400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locked="0" defaultSize="0" autoLine="0" autoPict="0">
                <anchor moveWithCells="1">
                  <from>
                    <xdr:col>4</xdr:col>
                    <xdr:colOff>533400</xdr:colOff>
                    <xdr:row>11</xdr:row>
                    <xdr:rowOff>142875</xdr:rowOff>
                  </from>
                  <to>
                    <xdr:col>6</xdr:col>
                    <xdr:colOff>257175</xdr:colOff>
                    <xdr:row>13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T1168"/>
  <sheetViews>
    <sheetView zoomScale="70" zoomScaleNormal="70" workbookViewId="0">
      <pane xSplit="1" ySplit="16" topLeftCell="B17" activePane="bottomRight" state="frozen"/>
      <selection activeCell="A6" sqref="A6"/>
      <selection pane="topRight" activeCell="A6" sqref="A6"/>
      <selection pane="bottomLeft" activeCell="A6" sqref="A6"/>
      <selection pane="bottomRight" activeCell="A6" sqref="A6"/>
    </sheetView>
  </sheetViews>
  <sheetFormatPr defaultColWidth="7.109375" defaultRowHeight="12.75"/>
  <cols>
    <col min="1" max="1" width="7.5546875" style="36" bestFit="1" customWidth="1"/>
    <col min="2" max="2" width="7.88671875" style="36" customWidth="1"/>
    <col min="3" max="7" width="11.33203125" style="35" customWidth="1"/>
    <col min="8" max="8" width="12.77734375" style="35" bestFit="1" customWidth="1"/>
    <col min="9" max="9" width="13.21875" style="35" customWidth="1"/>
    <col min="10" max="10" width="12.77734375" style="35" customWidth="1"/>
    <col min="11" max="11" width="7.77734375" style="35" customWidth="1"/>
    <col min="12" max="16384" width="7.109375" style="35"/>
  </cols>
  <sheetData>
    <row r="1" spans="1:10" ht="15.75">
      <c r="A1" s="87" t="s">
        <v>64</v>
      </c>
    </row>
    <row r="2" spans="1:10" ht="15.75">
      <c r="A2" s="87" t="s">
        <v>65</v>
      </c>
    </row>
    <row r="3" spans="1:10" ht="15.75">
      <c r="A3" s="87" t="s">
        <v>66</v>
      </c>
    </row>
    <row r="4" spans="1:10" ht="15.75">
      <c r="A4" s="87" t="s">
        <v>67</v>
      </c>
    </row>
    <row r="5" spans="1:10" ht="15.75">
      <c r="A5" s="87" t="s">
        <v>69</v>
      </c>
    </row>
    <row r="6" spans="1:10" ht="15.75">
      <c r="A6" s="87" t="s">
        <v>70</v>
      </c>
    </row>
    <row r="8" spans="1:10" ht="20.25">
      <c r="A8" s="34" t="s">
        <v>35</v>
      </c>
    </row>
    <row r="9" spans="1:10" ht="15.75">
      <c r="A9" s="33" t="s">
        <v>25</v>
      </c>
    </row>
    <row r="11" spans="1:10">
      <c r="A11" s="35"/>
    </row>
    <row r="12" spans="1:10" ht="15.75">
      <c r="A12" s="35"/>
      <c r="B12" s="33"/>
      <c r="C12" s="56"/>
      <c r="I12" s="27"/>
    </row>
    <row r="13" spans="1:10" ht="15.75">
      <c r="A13" s="33"/>
      <c r="B13" s="33"/>
      <c r="C13" s="56"/>
      <c r="I13" s="27"/>
    </row>
    <row r="14" spans="1:10" ht="15.75">
      <c r="A14" s="33"/>
      <c r="C14" s="89" t="s">
        <v>34</v>
      </c>
      <c r="D14" s="89"/>
      <c r="E14" s="89"/>
      <c r="F14" s="55"/>
      <c r="G14" s="54"/>
      <c r="H14" s="53"/>
      <c r="I14" s="52"/>
    </row>
    <row r="15" spans="1:10" ht="97.9" customHeight="1">
      <c r="A15" s="21"/>
      <c r="B15" s="21"/>
      <c r="C15" s="24" t="s">
        <v>20</v>
      </c>
      <c r="D15" s="51" t="s">
        <v>19</v>
      </c>
      <c r="E15" s="24" t="s">
        <v>33</v>
      </c>
      <c r="F15" s="24" t="s">
        <v>32</v>
      </c>
      <c r="G15" s="24" t="s">
        <v>16</v>
      </c>
      <c r="H15" s="50" t="s">
        <v>31</v>
      </c>
      <c r="I15" s="24" t="s">
        <v>30</v>
      </c>
      <c r="J15" s="24" t="s">
        <v>29</v>
      </c>
    </row>
    <row r="16" spans="1:10" ht="15.75">
      <c r="A16" s="23" t="s">
        <v>2</v>
      </c>
      <c r="B16" s="23" t="s">
        <v>28</v>
      </c>
      <c r="C16" s="23" t="s">
        <v>27</v>
      </c>
      <c r="D16" s="23" t="s">
        <v>27</v>
      </c>
      <c r="E16" s="23" t="s">
        <v>27</v>
      </c>
      <c r="F16" s="23" t="s">
        <v>27</v>
      </c>
      <c r="G16" s="23" t="s">
        <v>27</v>
      </c>
      <c r="H16" s="49" t="s">
        <v>27</v>
      </c>
      <c r="I16" s="23" t="s">
        <v>27</v>
      </c>
      <c r="J16" s="23" t="s">
        <v>27</v>
      </c>
    </row>
    <row r="17" spans="1:20" ht="15.75">
      <c r="A17" s="13">
        <v>41640</v>
      </c>
      <c r="B17" s="47">
        <v>31</v>
      </c>
      <c r="C17" s="38">
        <v>122.58</v>
      </c>
      <c r="D17" s="38">
        <v>297.94099999999997</v>
      </c>
      <c r="E17" s="44">
        <v>729.47900000000004</v>
      </c>
      <c r="F17" s="38">
        <v>1150</v>
      </c>
      <c r="G17" s="38">
        <v>100</v>
      </c>
      <c r="H17" s="46"/>
      <c r="I17" s="38">
        <v>695</v>
      </c>
      <c r="J17" s="38">
        <v>50</v>
      </c>
      <c r="K17" s="39"/>
      <c r="L17" s="48"/>
      <c r="M17" s="39"/>
      <c r="N17" s="39"/>
      <c r="O17" s="39"/>
      <c r="P17" s="39"/>
      <c r="Q17" s="39"/>
      <c r="R17" s="39"/>
      <c r="S17" s="39"/>
      <c r="T17" s="39"/>
    </row>
    <row r="18" spans="1:20" ht="15.75">
      <c r="A18" s="13">
        <v>41671</v>
      </c>
      <c r="B18" s="47">
        <v>30</v>
      </c>
      <c r="C18" s="38">
        <v>122.58</v>
      </c>
      <c r="D18" s="38">
        <v>297.94099999999997</v>
      </c>
      <c r="E18" s="44">
        <v>729.47900000000004</v>
      </c>
      <c r="F18" s="38">
        <v>1150</v>
      </c>
      <c r="G18" s="38">
        <v>100</v>
      </c>
      <c r="H18" s="46"/>
      <c r="I18" s="38">
        <v>695</v>
      </c>
      <c r="J18" s="38">
        <v>50</v>
      </c>
      <c r="K18" s="39"/>
      <c r="L18" s="48"/>
      <c r="M18" s="39"/>
      <c r="N18" s="39"/>
      <c r="O18" s="39"/>
      <c r="P18" s="39"/>
      <c r="Q18" s="39"/>
      <c r="R18" s="39"/>
      <c r="S18" s="39"/>
      <c r="T18" s="39"/>
    </row>
    <row r="19" spans="1:20" ht="15.75">
      <c r="A19" s="13">
        <v>41699</v>
      </c>
      <c r="B19" s="47">
        <v>31</v>
      </c>
      <c r="C19" s="38">
        <v>122.58</v>
      </c>
      <c r="D19" s="38">
        <v>297.94099999999997</v>
      </c>
      <c r="E19" s="44">
        <v>729.47900000000004</v>
      </c>
      <c r="F19" s="38">
        <v>1150</v>
      </c>
      <c r="G19" s="38">
        <v>100</v>
      </c>
      <c r="H19" s="46"/>
      <c r="I19" s="38">
        <v>695</v>
      </c>
      <c r="J19" s="38">
        <v>50</v>
      </c>
      <c r="K19" s="39"/>
      <c r="L19" s="48"/>
      <c r="M19" s="39"/>
      <c r="N19" s="39"/>
      <c r="O19" s="39"/>
      <c r="P19" s="39"/>
      <c r="Q19" s="39"/>
      <c r="R19" s="39"/>
      <c r="S19" s="39"/>
      <c r="T19" s="39"/>
    </row>
    <row r="20" spans="1:20" ht="15.75">
      <c r="A20" s="13">
        <v>41730</v>
      </c>
      <c r="B20" s="47">
        <v>30</v>
      </c>
      <c r="C20" s="38">
        <v>141.29300000000001</v>
      </c>
      <c r="D20" s="38">
        <v>267.99299999999999</v>
      </c>
      <c r="E20" s="44">
        <v>829.71400000000006</v>
      </c>
      <c r="F20" s="38">
        <v>1239</v>
      </c>
      <c r="G20" s="38">
        <v>100</v>
      </c>
      <c r="H20" s="46"/>
      <c r="I20" s="38">
        <v>695</v>
      </c>
      <c r="J20" s="38">
        <v>50</v>
      </c>
      <c r="K20" s="39"/>
      <c r="L20" s="48"/>
      <c r="M20" s="39"/>
      <c r="N20" s="39"/>
      <c r="O20" s="39"/>
      <c r="P20" s="39"/>
      <c r="Q20" s="39"/>
      <c r="R20" s="39"/>
      <c r="S20" s="39"/>
      <c r="T20" s="39"/>
    </row>
    <row r="21" spans="1:20" ht="15.75">
      <c r="A21" s="13">
        <v>41760</v>
      </c>
      <c r="B21" s="47">
        <v>31</v>
      </c>
      <c r="C21" s="38">
        <v>194.20500000000001</v>
      </c>
      <c r="D21" s="38">
        <v>267.46600000000001</v>
      </c>
      <c r="E21" s="44">
        <v>862.32899999999995</v>
      </c>
      <c r="F21" s="38">
        <v>1324</v>
      </c>
      <c r="G21" s="38">
        <v>75</v>
      </c>
      <c r="H21" s="46"/>
      <c r="I21" s="38">
        <v>695</v>
      </c>
      <c r="J21" s="38">
        <v>50</v>
      </c>
      <c r="K21" s="39"/>
      <c r="L21" s="48"/>
      <c r="M21" s="39"/>
      <c r="N21" s="39"/>
      <c r="O21" s="39"/>
      <c r="P21" s="39"/>
      <c r="Q21" s="39"/>
      <c r="R21" s="39"/>
      <c r="S21" s="39"/>
      <c r="T21" s="39"/>
    </row>
    <row r="22" spans="1:20" ht="15.75">
      <c r="A22" s="13">
        <v>41791</v>
      </c>
      <c r="B22" s="47">
        <v>30</v>
      </c>
      <c r="C22" s="38">
        <v>194.20500000000001</v>
      </c>
      <c r="D22" s="38">
        <v>267.46600000000001</v>
      </c>
      <c r="E22" s="44">
        <v>862.32899999999995</v>
      </c>
      <c r="F22" s="38">
        <v>1324</v>
      </c>
      <c r="G22" s="38">
        <v>50</v>
      </c>
      <c r="H22" s="46"/>
      <c r="I22" s="38">
        <v>695</v>
      </c>
      <c r="J22" s="38">
        <v>50</v>
      </c>
      <c r="K22" s="39"/>
      <c r="L22" s="48"/>
      <c r="M22" s="39"/>
      <c r="N22" s="39"/>
      <c r="O22" s="39"/>
      <c r="P22" s="39"/>
      <c r="Q22" s="39"/>
      <c r="R22" s="39"/>
      <c r="S22" s="39"/>
      <c r="T22" s="39"/>
    </row>
    <row r="23" spans="1:20" ht="15.75">
      <c r="A23" s="13">
        <v>41821</v>
      </c>
      <c r="B23" s="47">
        <v>31</v>
      </c>
      <c r="C23" s="38">
        <v>194.20500000000001</v>
      </c>
      <c r="D23" s="38">
        <v>267.46600000000001</v>
      </c>
      <c r="E23" s="44">
        <v>862.32899999999995</v>
      </c>
      <c r="F23" s="38">
        <v>1324</v>
      </c>
      <c r="G23" s="38">
        <v>50</v>
      </c>
      <c r="H23" s="46"/>
      <c r="I23" s="38">
        <v>695</v>
      </c>
      <c r="J23" s="38">
        <v>0</v>
      </c>
      <c r="K23" s="39"/>
      <c r="L23" s="48"/>
      <c r="M23" s="39"/>
      <c r="N23" s="39"/>
      <c r="O23" s="39"/>
      <c r="P23" s="39"/>
      <c r="Q23" s="39"/>
      <c r="R23" s="39"/>
      <c r="S23" s="39"/>
      <c r="T23" s="39"/>
    </row>
    <row r="24" spans="1:20" ht="15.75">
      <c r="A24" s="13">
        <v>41852</v>
      </c>
      <c r="B24" s="47">
        <v>31</v>
      </c>
      <c r="C24" s="38">
        <v>194.20500000000001</v>
      </c>
      <c r="D24" s="38">
        <v>267.46600000000001</v>
      </c>
      <c r="E24" s="44">
        <v>862.32899999999995</v>
      </c>
      <c r="F24" s="38">
        <v>1324</v>
      </c>
      <c r="G24" s="38">
        <v>50</v>
      </c>
      <c r="H24" s="46"/>
      <c r="I24" s="38">
        <v>695</v>
      </c>
      <c r="J24" s="38">
        <v>0</v>
      </c>
      <c r="K24" s="39"/>
      <c r="L24" s="48"/>
      <c r="M24" s="39"/>
      <c r="N24" s="39"/>
      <c r="O24" s="39"/>
      <c r="P24" s="39"/>
      <c r="Q24" s="39"/>
      <c r="R24" s="39"/>
      <c r="S24" s="39"/>
      <c r="T24" s="39"/>
    </row>
    <row r="25" spans="1:20" ht="15.75">
      <c r="A25" s="13">
        <v>41883</v>
      </c>
      <c r="B25" s="47">
        <v>30</v>
      </c>
      <c r="C25" s="38">
        <v>194.20500000000001</v>
      </c>
      <c r="D25" s="38">
        <v>267.46600000000001</v>
      </c>
      <c r="E25" s="44">
        <v>862.32899999999995</v>
      </c>
      <c r="F25" s="38">
        <v>1324</v>
      </c>
      <c r="G25" s="38">
        <v>50</v>
      </c>
      <c r="H25" s="46"/>
      <c r="I25" s="38">
        <v>695</v>
      </c>
      <c r="J25" s="38">
        <v>0</v>
      </c>
      <c r="K25" s="39"/>
      <c r="L25" s="48"/>
      <c r="M25" s="39"/>
      <c r="N25" s="39"/>
      <c r="O25" s="39"/>
      <c r="P25" s="39"/>
      <c r="Q25" s="39"/>
      <c r="R25" s="39"/>
      <c r="S25" s="39"/>
      <c r="T25" s="39"/>
    </row>
    <row r="26" spans="1:20" ht="15.75">
      <c r="A26" s="13">
        <v>41913</v>
      </c>
      <c r="B26" s="47">
        <v>31</v>
      </c>
      <c r="C26" s="38">
        <v>131.881</v>
      </c>
      <c r="D26" s="38">
        <v>277.16699999999997</v>
      </c>
      <c r="E26" s="44">
        <v>829.952</v>
      </c>
      <c r="F26" s="38">
        <v>1239</v>
      </c>
      <c r="G26" s="38">
        <v>75</v>
      </c>
      <c r="H26" s="46"/>
      <c r="I26" s="38">
        <v>695</v>
      </c>
      <c r="J26" s="38">
        <v>0</v>
      </c>
      <c r="K26" s="39"/>
      <c r="L26" s="48"/>
      <c r="M26" s="39"/>
      <c r="N26" s="39"/>
      <c r="O26" s="39"/>
      <c r="P26" s="39"/>
      <c r="Q26" s="39"/>
      <c r="R26" s="39"/>
      <c r="S26" s="39"/>
      <c r="T26" s="39"/>
    </row>
    <row r="27" spans="1:20" ht="15.75">
      <c r="A27" s="13">
        <v>41944</v>
      </c>
      <c r="B27" s="47">
        <v>30</v>
      </c>
      <c r="C27" s="38">
        <v>122.58</v>
      </c>
      <c r="D27" s="38">
        <v>297.94099999999997</v>
      </c>
      <c r="E27" s="44">
        <v>729.47900000000004</v>
      </c>
      <c r="F27" s="38">
        <v>1150</v>
      </c>
      <c r="G27" s="38">
        <v>100</v>
      </c>
      <c r="H27" s="46"/>
      <c r="I27" s="38">
        <v>695</v>
      </c>
      <c r="J27" s="38">
        <v>50</v>
      </c>
      <c r="K27" s="39"/>
      <c r="L27" s="48"/>
      <c r="M27" s="39"/>
      <c r="N27" s="39"/>
      <c r="O27" s="39"/>
      <c r="P27" s="39"/>
      <c r="Q27" s="39"/>
      <c r="R27" s="39"/>
      <c r="S27" s="39"/>
      <c r="T27" s="39"/>
    </row>
    <row r="28" spans="1:20" ht="15.75">
      <c r="A28" s="13">
        <v>41974</v>
      </c>
      <c r="B28" s="47">
        <v>31</v>
      </c>
      <c r="C28" s="38">
        <v>122.58</v>
      </c>
      <c r="D28" s="38">
        <v>297.94099999999997</v>
      </c>
      <c r="E28" s="44">
        <v>729.47900000000004</v>
      </c>
      <c r="F28" s="38">
        <v>1150</v>
      </c>
      <c r="G28" s="38">
        <v>100</v>
      </c>
      <c r="H28" s="46"/>
      <c r="I28" s="38">
        <v>695</v>
      </c>
      <c r="J28" s="38">
        <v>50</v>
      </c>
      <c r="K28" s="39"/>
      <c r="L28" s="48"/>
      <c r="M28" s="39"/>
      <c r="N28" s="39"/>
      <c r="O28" s="39"/>
      <c r="P28" s="39"/>
      <c r="Q28" s="39"/>
      <c r="R28" s="39"/>
      <c r="S28" s="39"/>
      <c r="T28" s="39"/>
    </row>
    <row r="29" spans="1:20" ht="15.75">
      <c r="A29" s="13">
        <v>42005</v>
      </c>
      <c r="B29" s="47">
        <v>31</v>
      </c>
      <c r="C29" s="38">
        <v>122.58</v>
      </c>
      <c r="D29" s="38">
        <v>297.94099999999997</v>
      </c>
      <c r="E29" s="44">
        <v>729.47900000000004</v>
      </c>
      <c r="F29" s="38">
        <v>1150</v>
      </c>
      <c r="G29" s="38">
        <v>100</v>
      </c>
      <c r="H29" s="46"/>
      <c r="I29" s="38">
        <v>695</v>
      </c>
      <c r="J29" s="38">
        <v>50</v>
      </c>
      <c r="K29" s="39"/>
      <c r="L29" s="48"/>
      <c r="M29" s="39"/>
      <c r="N29" s="39"/>
      <c r="O29" s="39"/>
      <c r="P29" s="39"/>
      <c r="Q29" s="39"/>
      <c r="R29" s="39"/>
      <c r="S29" s="39"/>
      <c r="T29" s="39"/>
    </row>
    <row r="30" spans="1:20" ht="15.75">
      <c r="A30" s="13">
        <v>42036</v>
      </c>
      <c r="B30" s="47">
        <v>28</v>
      </c>
      <c r="C30" s="38">
        <v>122.58</v>
      </c>
      <c r="D30" s="38">
        <v>297.94099999999997</v>
      </c>
      <c r="E30" s="44">
        <v>729.47900000000004</v>
      </c>
      <c r="F30" s="38">
        <v>1150</v>
      </c>
      <c r="G30" s="38">
        <v>100</v>
      </c>
      <c r="H30" s="46"/>
      <c r="I30" s="38">
        <v>695</v>
      </c>
      <c r="J30" s="38">
        <v>50</v>
      </c>
      <c r="K30" s="39"/>
      <c r="L30" s="48"/>
      <c r="M30" s="39"/>
      <c r="N30" s="39"/>
      <c r="O30" s="39"/>
      <c r="P30" s="39"/>
      <c r="Q30" s="39"/>
      <c r="R30" s="39"/>
      <c r="S30" s="39"/>
      <c r="T30" s="39"/>
    </row>
    <row r="31" spans="1:20" ht="15.75">
      <c r="A31" s="13">
        <v>42064</v>
      </c>
      <c r="B31" s="47">
        <v>31</v>
      </c>
      <c r="C31" s="38">
        <v>122.58</v>
      </c>
      <c r="D31" s="38">
        <v>297.94099999999997</v>
      </c>
      <c r="E31" s="44">
        <v>729.47900000000004</v>
      </c>
      <c r="F31" s="38">
        <v>1150</v>
      </c>
      <c r="G31" s="38">
        <v>100</v>
      </c>
      <c r="H31" s="46"/>
      <c r="I31" s="38">
        <v>695</v>
      </c>
      <c r="J31" s="38">
        <v>50</v>
      </c>
      <c r="K31" s="39"/>
      <c r="L31" s="48"/>
      <c r="M31" s="39"/>
      <c r="N31" s="39"/>
      <c r="O31" s="39"/>
      <c r="P31" s="39"/>
      <c r="Q31" s="39"/>
      <c r="R31" s="39"/>
      <c r="S31" s="39"/>
      <c r="T31" s="39"/>
    </row>
    <row r="32" spans="1:20" ht="15.75">
      <c r="A32" s="13">
        <v>42095</v>
      </c>
      <c r="B32" s="47">
        <v>30</v>
      </c>
      <c r="C32" s="38">
        <v>141.29300000000001</v>
      </c>
      <c r="D32" s="38">
        <v>267.99299999999999</v>
      </c>
      <c r="E32" s="44">
        <v>829.71400000000006</v>
      </c>
      <c r="F32" s="38">
        <v>1239</v>
      </c>
      <c r="G32" s="38">
        <v>100</v>
      </c>
      <c r="H32" s="46"/>
      <c r="I32" s="38">
        <v>695</v>
      </c>
      <c r="J32" s="38">
        <v>50</v>
      </c>
      <c r="K32" s="39"/>
      <c r="L32" s="48"/>
      <c r="M32" s="39"/>
      <c r="N32" s="39"/>
      <c r="O32" s="39"/>
      <c r="P32" s="39"/>
      <c r="Q32" s="39"/>
      <c r="R32" s="39"/>
      <c r="S32" s="39"/>
      <c r="T32" s="39"/>
    </row>
    <row r="33" spans="1:20" ht="15.75">
      <c r="A33" s="13">
        <v>42125</v>
      </c>
      <c r="B33" s="47">
        <v>31</v>
      </c>
      <c r="C33" s="38">
        <v>194.20500000000001</v>
      </c>
      <c r="D33" s="38">
        <v>267.46600000000001</v>
      </c>
      <c r="E33" s="44">
        <v>862.32899999999995</v>
      </c>
      <c r="F33" s="38">
        <v>1324</v>
      </c>
      <c r="G33" s="38">
        <v>75</v>
      </c>
      <c r="H33" s="46"/>
      <c r="I33" s="38">
        <v>695</v>
      </c>
      <c r="J33" s="38">
        <v>50</v>
      </c>
      <c r="K33" s="39"/>
      <c r="L33" s="48"/>
      <c r="M33" s="39"/>
      <c r="N33" s="39"/>
      <c r="O33" s="39"/>
      <c r="P33" s="39"/>
      <c r="Q33" s="39"/>
      <c r="R33" s="39"/>
      <c r="S33" s="39"/>
      <c r="T33" s="39"/>
    </row>
    <row r="34" spans="1:20" ht="15.75">
      <c r="A34" s="13">
        <v>42156</v>
      </c>
      <c r="B34" s="47">
        <v>30</v>
      </c>
      <c r="C34" s="38">
        <v>194.20500000000001</v>
      </c>
      <c r="D34" s="38">
        <v>267.46600000000001</v>
      </c>
      <c r="E34" s="44">
        <v>862.32899999999995</v>
      </c>
      <c r="F34" s="38">
        <v>1324</v>
      </c>
      <c r="G34" s="38">
        <v>50</v>
      </c>
      <c r="H34" s="46"/>
      <c r="I34" s="38">
        <v>695</v>
      </c>
      <c r="J34" s="38">
        <v>50</v>
      </c>
      <c r="K34" s="39"/>
      <c r="L34" s="48"/>
      <c r="M34" s="39"/>
      <c r="N34" s="39"/>
      <c r="O34" s="39"/>
      <c r="P34" s="39"/>
      <c r="Q34" s="39"/>
      <c r="R34" s="39"/>
      <c r="S34" s="39"/>
      <c r="T34" s="39"/>
    </row>
    <row r="35" spans="1:20" ht="15.75">
      <c r="A35" s="13">
        <v>42186</v>
      </c>
      <c r="B35" s="47">
        <v>31</v>
      </c>
      <c r="C35" s="38">
        <v>194.20500000000001</v>
      </c>
      <c r="D35" s="38">
        <v>267.46600000000001</v>
      </c>
      <c r="E35" s="44">
        <v>862.32899999999995</v>
      </c>
      <c r="F35" s="38">
        <v>1324</v>
      </c>
      <c r="G35" s="38">
        <v>50</v>
      </c>
      <c r="H35" s="46"/>
      <c r="I35" s="38">
        <v>695</v>
      </c>
      <c r="J35" s="38">
        <v>0</v>
      </c>
      <c r="K35" s="39"/>
      <c r="L35" s="48"/>
      <c r="M35" s="39"/>
      <c r="N35" s="39"/>
      <c r="O35" s="39"/>
      <c r="P35" s="39"/>
      <c r="Q35" s="39"/>
      <c r="R35" s="39"/>
      <c r="S35" s="39"/>
      <c r="T35" s="39"/>
    </row>
    <row r="36" spans="1:20" ht="15.75">
      <c r="A36" s="13">
        <v>42217</v>
      </c>
      <c r="B36" s="47">
        <v>31</v>
      </c>
      <c r="C36" s="38">
        <v>194.20500000000001</v>
      </c>
      <c r="D36" s="38">
        <v>267.46600000000001</v>
      </c>
      <c r="E36" s="44">
        <v>862.32899999999995</v>
      </c>
      <c r="F36" s="38">
        <v>1324</v>
      </c>
      <c r="G36" s="38">
        <v>50</v>
      </c>
      <c r="H36" s="46"/>
      <c r="I36" s="38">
        <v>695</v>
      </c>
      <c r="J36" s="38">
        <v>0</v>
      </c>
      <c r="K36" s="39"/>
      <c r="L36" s="48"/>
      <c r="M36" s="39"/>
      <c r="N36" s="39"/>
      <c r="O36" s="39"/>
      <c r="P36" s="39"/>
      <c r="Q36" s="39"/>
      <c r="R36" s="39"/>
      <c r="S36" s="39"/>
      <c r="T36" s="39"/>
    </row>
    <row r="37" spans="1:20" ht="15.75">
      <c r="A37" s="13">
        <v>42248</v>
      </c>
      <c r="B37" s="47">
        <v>30</v>
      </c>
      <c r="C37" s="38">
        <v>194.20500000000001</v>
      </c>
      <c r="D37" s="38">
        <v>267.46600000000001</v>
      </c>
      <c r="E37" s="44">
        <v>862.32899999999995</v>
      </c>
      <c r="F37" s="38">
        <v>1324</v>
      </c>
      <c r="G37" s="38">
        <v>50</v>
      </c>
      <c r="H37" s="46"/>
      <c r="I37" s="38">
        <v>695</v>
      </c>
      <c r="J37" s="38">
        <v>0</v>
      </c>
      <c r="K37" s="39"/>
      <c r="L37" s="48"/>
      <c r="M37" s="39"/>
      <c r="N37" s="39"/>
      <c r="O37" s="39"/>
      <c r="P37" s="39"/>
      <c r="Q37" s="39"/>
      <c r="R37" s="39"/>
      <c r="S37" s="39"/>
      <c r="T37" s="39"/>
    </row>
    <row r="38" spans="1:20" ht="15.75">
      <c r="A38" s="13">
        <v>42278</v>
      </c>
      <c r="B38" s="47">
        <v>31</v>
      </c>
      <c r="C38" s="38">
        <v>131.881</v>
      </c>
      <c r="D38" s="38">
        <v>277.16699999999997</v>
      </c>
      <c r="E38" s="44">
        <v>829.952</v>
      </c>
      <c r="F38" s="38">
        <v>1239</v>
      </c>
      <c r="G38" s="38">
        <v>75</v>
      </c>
      <c r="H38" s="46"/>
      <c r="I38" s="38">
        <v>695</v>
      </c>
      <c r="J38" s="38">
        <v>0</v>
      </c>
      <c r="K38" s="39"/>
      <c r="L38" s="48"/>
      <c r="M38" s="39"/>
      <c r="N38" s="39"/>
      <c r="O38" s="39"/>
      <c r="P38" s="39"/>
      <c r="Q38" s="39"/>
      <c r="R38" s="39"/>
      <c r="S38" s="39"/>
      <c r="T38" s="39"/>
    </row>
    <row r="39" spans="1:20" ht="15.75">
      <c r="A39" s="13">
        <v>42309</v>
      </c>
      <c r="B39" s="47">
        <v>30</v>
      </c>
      <c r="C39" s="38">
        <v>122.58</v>
      </c>
      <c r="D39" s="38">
        <v>297.94099999999997</v>
      </c>
      <c r="E39" s="44">
        <v>729.47900000000004</v>
      </c>
      <c r="F39" s="38">
        <v>1150</v>
      </c>
      <c r="G39" s="38">
        <v>100</v>
      </c>
      <c r="H39" s="46"/>
      <c r="I39" s="38">
        <v>695</v>
      </c>
      <c r="J39" s="38">
        <v>50</v>
      </c>
      <c r="K39" s="39"/>
      <c r="L39" s="48"/>
      <c r="M39" s="39"/>
      <c r="N39" s="39"/>
      <c r="O39" s="39"/>
      <c r="P39" s="39"/>
      <c r="Q39" s="39"/>
      <c r="R39" s="39"/>
      <c r="S39" s="39"/>
      <c r="T39" s="39"/>
    </row>
    <row r="40" spans="1:20" ht="15.75">
      <c r="A40" s="13">
        <v>42339</v>
      </c>
      <c r="B40" s="47">
        <v>31</v>
      </c>
      <c r="C40" s="38">
        <v>122.58</v>
      </c>
      <c r="D40" s="38">
        <v>297.94099999999997</v>
      </c>
      <c r="E40" s="44">
        <v>729.47900000000004</v>
      </c>
      <c r="F40" s="38">
        <v>1150</v>
      </c>
      <c r="G40" s="38">
        <v>100</v>
      </c>
      <c r="H40" s="46"/>
      <c r="I40" s="38">
        <v>695</v>
      </c>
      <c r="J40" s="38">
        <v>50</v>
      </c>
      <c r="K40" s="39"/>
      <c r="L40" s="48"/>
      <c r="M40" s="39"/>
      <c r="N40" s="39"/>
      <c r="O40" s="39"/>
      <c r="P40" s="39"/>
      <c r="Q40" s="39"/>
      <c r="R40" s="39"/>
      <c r="S40" s="39"/>
      <c r="T40" s="39"/>
    </row>
    <row r="41" spans="1:20" ht="15.75">
      <c r="A41" s="13">
        <v>42370</v>
      </c>
      <c r="B41" s="47">
        <v>31</v>
      </c>
      <c r="C41" s="38">
        <v>122.58</v>
      </c>
      <c r="D41" s="38">
        <v>297.94099999999997</v>
      </c>
      <c r="E41" s="44">
        <v>729.47900000000004</v>
      </c>
      <c r="F41" s="38">
        <v>1150</v>
      </c>
      <c r="G41" s="38">
        <v>100</v>
      </c>
      <c r="H41" s="46"/>
      <c r="I41" s="38">
        <v>695</v>
      </c>
      <c r="J41" s="38">
        <v>50</v>
      </c>
      <c r="K41" s="39"/>
      <c r="L41" s="48"/>
      <c r="M41" s="39"/>
      <c r="N41" s="39"/>
      <c r="O41" s="39"/>
      <c r="P41" s="39"/>
      <c r="Q41" s="39"/>
      <c r="R41" s="39"/>
      <c r="S41" s="39"/>
      <c r="T41" s="39"/>
    </row>
    <row r="42" spans="1:20" ht="15.75">
      <c r="A42" s="13">
        <v>42401</v>
      </c>
      <c r="B42" s="47">
        <v>29</v>
      </c>
      <c r="C42" s="38">
        <v>122.58</v>
      </c>
      <c r="D42" s="38">
        <v>297.94099999999997</v>
      </c>
      <c r="E42" s="44">
        <v>729.47900000000004</v>
      </c>
      <c r="F42" s="38">
        <v>1150</v>
      </c>
      <c r="G42" s="38">
        <v>100</v>
      </c>
      <c r="H42" s="46"/>
      <c r="I42" s="38">
        <v>695</v>
      </c>
      <c r="J42" s="38">
        <v>50</v>
      </c>
      <c r="K42" s="39"/>
      <c r="L42" s="48"/>
      <c r="M42" s="39"/>
      <c r="N42" s="39"/>
      <c r="O42" s="39"/>
      <c r="P42" s="39"/>
      <c r="Q42" s="39"/>
      <c r="R42" s="39"/>
      <c r="S42" s="39"/>
      <c r="T42" s="39"/>
    </row>
    <row r="43" spans="1:20" ht="15.75">
      <c r="A43" s="13">
        <v>42430</v>
      </c>
      <c r="B43" s="47">
        <v>31</v>
      </c>
      <c r="C43" s="38">
        <v>122.58</v>
      </c>
      <c r="D43" s="38">
        <v>297.94099999999997</v>
      </c>
      <c r="E43" s="44">
        <v>729.47900000000004</v>
      </c>
      <c r="F43" s="38">
        <v>1150</v>
      </c>
      <c r="G43" s="38">
        <v>100</v>
      </c>
      <c r="H43" s="46"/>
      <c r="I43" s="38">
        <v>695</v>
      </c>
      <c r="J43" s="38">
        <v>50</v>
      </c>
      <c r="K43" s="39"/>
      <c r="L43" s="48"/>
      <c r="M43" s="39"/>
      <c r="N43" s="39"/>
      <c r="O43" s="39"/>
      <c r="P43" s="39"/>
      <c r="Q43" s="39"/>
      <c r="R43" s="39"/>
      <c r="S43" s="39"/>
      <c r="T43" s="39"/>
    </row>
    <row r="44" spans="1:20" ht="15.75">
      <c r="A44" s="13">
        <v>42461</v>
      </c>
      <c r="B44" s="47">
        <v>30</v>
      </c>
      <c r="C44" s="38">
        <v>141.29300000000001</v>
      </c>
      <c r="D44" s="38">
        <v>267.99299999999999</v>
      </c>
      <c r="E44" s="44">
        <v>829.71400000000006</v>
      </c>
      <c r="F44" s="38">
        <v>1239</v>
      </c>
      <c r="G44" s="38">
        <v>100</v>
      </c>
      <c r="H44" s="46"/>
      <c r="I44" s="38">
        <v>695</v>
      </c>
      <c r="J44" s="38">
        <v>50</v>
      </c>
      <c r="K44" s="39"/>
      <c r="L44" s="48"/>
      <c r="M44" s="39"/>
      <c r="N44" s="39"/>
      <c r="O44" s="39"/>
      <c r="P44" s="39"/>
      <c r="Q44" s="39"/>
      <c r="R44" s="39"/>
      <c r="S44" s="39"/>
      <c r="T44" s="39"/>
    </row>
    <row r="45" spans="1:20" ht="15.75">
      <c r="A45" s="13">
        <v>42491</v>
      </c>
      <c r="B45" s="47">
        <v>31</v>
      </c>
      <c r="C45" s="38">
        <v>194.20500000000001</v>
      </c>
      <c r="D45" s="38">
        <v>267.46600000000001</v>
      </c>
      <c r="E45" s="44">
        <v>812.32899999999995</v>
      </c>
      <c r="F45" s="38">
        <v>1274</v>
      </c>
      <c r="G45" s="38">
        <v>75</v>
      </c>
      <c r="H45" s="46"/>
      <c r="I45" s="38">
        <v>695</v>
      </c>
      <c r="J45" s="38">
        <v>50</v>
      </c>
      <c r="K45" s="39"/>
      <c r="L45" s="48"/>
      <c r="M45" s="39"/>
      <c r="N45" s="39"/>
      <c r="O45" s="39"/>
      <c r="P45" s="39"/>
      <c r="Q45" s="39"/>
      <c r="R45" s="39"/>
      <c r="S45" s="39"/>
      <c r="T45" s="39"/>
    </row>
    <row r="46" spans="1:20" ht="15.75">
      <c r="A46" s="13">
        <v>42522</v>
      </c>
      <c r="B46" s="47">
        <v>30</v>
      </c>
      <c r="C46" s="38">
        <v>194.20500000000001</v>
      </c>
      <c r="D46" s="38">
        <v>267.46600000000001</v>
      </c>
      <c r="E46" s="44">
        <v>812.32899999999995</v>
      </c>
      <c r="F46" s="38">
        <v>1274</v>
      </c>
      <c r="G46" s="38">
        <v>50</v>
      </c>
      <c r="H46" s="46"/>
      <c r="I46" s="38">
        <v>695</v>
      </c>
      <c r="J46" s="38">
        <v>50</v>
      </c>
      <c r="K46" s="39"/>
      <c r="L46" s="48"/>
      <c r="M46" s="39"/>
      <c r="N46" s="39"/>
      <c r="O46" s="39"/>
      <c r="P46" s="39"/>
      <c r="Q46" s="39"/>
      <c r="R46" s="39"/>
      <c r="S46" s="39"/>
      <c r="T46" s="39"/>
    </row>
    <row r="47" spans="1:20" ht="15.75">
      <c r="A47" s="13">
        <v>42552</v>
      </c>
      <c r="B47" s="47">
        <v>31</v>
      </c>
      <c r="C47" s="38">
        <v>194.20500000000001</v>
      </c>
      <c r="D47" s="38">
        <v>267.46600000000001</v>
      </c>
      <c r="E47" s="44">
        <v>812.32899999999995</v>
      </c>
      <c r="F47" s="38">
        <v>1274</v>
      </c>
      <c r="G47" s="38">
        <v>50</v>
      </c>
      <c r="H47" s="46"/>
      <c r="I47" s="38">
        <v>695</v>
      </c>
      <c r="J47" s="38">
        <v>0</v>
      </c>
      <c r="K47" s="39"/>
      <c r="L47" s="48"/>
      <c r="M47" s="39"/>
      <c r="N47" s="39"/>
      <c r="O47" s="39"/>
      <c r="P47" s="39"/>
      <c r="Q47" s="39"/>
      <c r="R47" s="39"/>
      <c r="S47" s="39"/>
      <c r="T47" s="39"/>
    </row>
    <row r="48" spans="1:20" ht="15.75">
      <c r="A48" s="13">
        <v>42583</v>
      </c>
      <c r="B48" s="47">
        <v>31</v>
      </c>
      <c r="C48" s="38">
        <v>194.20500000000001</v>
      </c>
      <c r="D48" s="38">
        <v>267.46600000000001</v>
      </c>
      <c r="E48" s="44">
        <v>812.32899999999995</v>
      </c>
      <c r="F48" s="38">
        <v>1274</v>
      </c>
      <c r="G48" s="38">
        <v>50</v>
      </c>
      <c r="H48" s="46"/>
      <c r="I48" s="38">
        <v>695</v>
      </c>
      <c r="J48" s="38">
        <v>0</v>
      </c>
      <c r="K48" s="39"/>
      <c r="L48" s="48"/>
      <c r="M48" s="39"/>
      <c r="N48" s="39"/>
      <c r="O48" s="39"/>
      <c r="P48" s="39"/>
      <c r="Q48" s="39"/>
      <c r="R48" s="39"/>
      <c r="S48" s="39"/>
      <c r="T48" s="39"/>
    </row>
    <row r="49" spans="1:20" ht="15.75">
      <c r="A49" s="13">
        <v>42614</v>
      </c>
      <c r="B49" s="47">
        <v>30</v>
      </c>
      <c r="C49" s="38">
        <v>194.20500000000001</v>
      </c>
      <c r="D49" s="38">
        <v>267.46600000000001</v>
      </c>
      <c r="E49" s="44">
        <v>812.32899999999995</v>
      </c>
      <c r="F49" s="38">
        <v>1274</v>
      </c>
      <c r="G49" s="38">
        <v>50</v>
      </c>
      <c r="H49" s="46"/>
      <c r="I49" s="38">
        <v>695</v>
      </c>
      <c r="J49" s="38">
        <v>0</v>
      </c>
      <c r="K49" s="39"/>
      <c r="L49" s="48"/>
      <c r="M49" s="39"/>
      <c r="N49" s="39"/>
      <c r="O49" s="39"/>
      <c r="P49" s="39"/>
      <c r="Q49" s="39"/>
      <c r="R49" s="39"/>
      <c r="S49" s="39"/>
      <c r="T49" s="39"/>
    </row>
    <row r="50" spans="1:20" ht="15.75">
      <c r="A50" s="13">
        <v>42644</v>
      </c>
      <c r="B50" s="47">
        <v>31</v>
      </c>
      <c r="C50" s="38">
        <v>131.881</v>
      </c>
      <c r="D50" s="38">
        <v>277.16699999999997</v>
      </c>
      <c r="E50" s="44">
        <v>829.952</v>
      </c>
      <c r="F50" s="38">
        <v>1239</v>
      </c>
      <c r="G50" s="38">
        <v>75</v>
      </c>
      <c r="H50" s="46"/>
      <c r="I50" s="38">
        <v>695</v>
      </c>
      <c r="J50" s="38">
        <v>0</v>
      </c>
      <c r="K50" s="39"/>
      <c r="L50" s="48"/>
      <c r="M50" s="39"/>
      <c r="N50" s="39"/>
      <c r="O50" s="39"/>
      <c r="P50" s="39"/>
      <c r="Q50" s="39"/>
      <c r="R50" s="39"/>
      <c r="S50" s="39"/>
      <c r="T50" s="39"/>
    </row>
    <row r="51" spans="1:20" ht="15.75">
      <c r="A51" s="13">
        <v>42675</v>
      </c>
      <c r="B51" s="47">
        <v>30</v>
      </c>
      <c r="C51" s="38">
        <v>122.58</v>
      </c>
      <c r="D51" s="38">
        <v>297.94099999999997</v>
      </c>
      <c r="E51" s="44">
        <v>729.47900000000004</v>
      </c>
      <c r="F51" s="38">
        <v>1150</v>
      </c>
      <c r="G51" s="38">
        <v>100</v>
      </c>
      <c r="H51" s="46"/>
      <c r="I51" s="38">
        <v>695</v>
      </c>
      <c r="J51" s="38">
        <v>50</v>
      </c>
      <c r="K51" s="39"/>
      <c r="L51" s="48"/>
      <c r="M51" s="39"/>
      <c r="N51" s="39"/>
      <c r="O51" s="39"/>
      <c r="P51" s="39"/>
      <c r="Q51" s="39"/>
      <c r="R51" s="39"/>
      <c r="S51" s="39"/>
      <c r="T51" s="39"/>
    </row>
    <row r="52" spans="1:20" ht="15.75">
      <c r="A52" s="13">
        <v>42705</v>
      </c>
      <c r="B52" s="47">
        <v>31</v>
      </c>
      <c r="C52" s="38">
        <v>122.58</v>
      </c>
      <c r="D52" s="38">
        <v>297.94099999999997</v>
      </c>
      <c r="E52" s="44">
        <v>729.47900000000004</v>
      </c>
      <c r="F52" s="38">
        <v>1150</v>
      </c>
      <c r="G52" s="38">
        <v>100</v>
      </c>
      <c r="H52" s="46"/>
      <c r="I52" s="38">
        <v>695</v>
      </c>
      <c r="J52" s="38">
        <v>50</v>
      </c>
      <c r="K52" s="39"/>
      <c r="L52" s="48"/>
      <c r="M52" s="39"/>
      <c r="N52" s="39"/>
      <c r="O52" s="39"/>
      <c r="P52" s="39"/>
      <c r="Q52" s="39"/>
      <c r="R52" s="39"/>
      <c r="S52" s="39"/>
      <c r="T52" s="39"/>
    </row>
    <row r="53" spans="1:20" ht="15.75">
      <c r="A53" s="13">
        <v>42736</v>
      </c>
      <c r="B53" s="47">
        <v>31</v>
      </c>
      <c r="C53" s="38">
        <v>122.58</v>
      </c>
      <c r="D53" s="38">
        <v>297.94099999999997</v>
      </c>
      <c r="E53" s="44">
        <v>729.47900000000004</v>
      </c>
      <c r="F53" s="38">
        <v>1150</v>
      </c>
      <c r="G53" s="38">
        <v>100</v>
      </c>
      <c r="H53" s="46"/>
      <c r="I53" s="38">
        <v>695</v>
      </c>
      <c r="J53" s="38">
        <v>50</v>
      </c>
      <c r="K53" s="39"/>
      <c r="L53" s="48"/>
      <c r="M53" s="39"/>
      <c r="N53" s="39"/>
      <c r="O53" s="39"/>
      <c r="P53" s="39"/>
      <c r="Q53" s="39"/>
      <c r="R53" s="39"/>
      <c r="S53" s="39"/>
      <c r="T53" s="39"/>
    </row>
    <row r="54" spans="1:20" ht="15.75">
      <c r="A54" s="13">
        <v>42767</v>
      </c>
      <c r="B54" s="47">
        <v>28</v>
      </c>
      <c r="C54" s="38">
        <v>122.58</v>
      </c>
      <c r="D54" s="38">
        <v>297.94099999999997</v>
      </c>
      <c r="E54" s="44">
        <v>729.47900000000004</v>
      </c>
      <c r="F54" s="38">
        <v>1150</v>
      </c>
      <c r="G54" s="38">
        <v>100</v>
      </c>
      <c r="H54" s="46"/>
      <c r="I54" s="38">
        <v>695</v>
      </c>
      <c r="J54" s="38">
        <v>50</v>
      </c>
      <c r="K54" s="39"/>
      <c r="L54" s="48"/>
      <c r="M54" s="39"/>
      <c r="N54" s="39"/>
      <c r="O54" s="39"/>
      <c r="P54" s="39"/>
      <c r="Q54" s="39"/>
      <c r="R54" s="39"/>
      <c r="S54" s="39"/>
      <c r="T54" s="39"/>
    </row>
    <row r="55" spans="1:20" ht="15.75">
      <c r="A55" s="13">
        <v>42795</v>
      </c>
      <c r="B55" s="47">
        <v>31</v>
      </c>
      <c r="C55" s="38">
        <v>122.58</v>
      </c>
      <c r="D55" s="38">
        <v>297.94099999999997</v>
      </c>
      <c r="E55" s="44">
        <v>729.47900000000004</v>
      </c>
      <c r="F55" s="38">
        <v>1150</v>
      </c>
      <c r="G55" s="38">
        <v>100</v>
      </c>
      <c r="H55" s="46"/>
      <c r="I55" s="38">
        <v>695</v>
      </c>
      <c r="J55" s="38">
        <v>50</v>
      </c>
      <c r="K55" s="39"/>
      <c r="L55" s="48"/>
      <c r="M55" s="39"/>
      <c r="N55" s="39"/>
      <c r="O55" s="39"/>
      <c r="P55" s="39"/>
      <c r="Q55" s="39"/>
      <c r="R55" s="39"/>
      <c r="S55" s="39"/>
      <c r="T55" s="39"/>
    </row>
    <row r="56" spans="1:20" ht="15.75">
      <c r="A56" s="13">
        <v>42826</v>
      </c>
      <c r="B56" s="47">
        <v>30</v>
      </c>
      <c r="C56" s="38">
        <v>141.29300000000001</v>
      </c>
      <c r="D56" s="38">
        <v>267.99299999999999</v>
      </c>
      <c r="E56" s="44">
        <v>829.71400000000006</v>
      </c>
      <c r="F56" s="38">
        <v>1239</v>
      </c>
      <c r="G56" s="38">
        <v>100</v>
      </c>
      <c r="H56" s="46"/>
      <c r="I56" s="38">
        <v>695</v>
      </c>
      <c r="J56" s="38">
        <v>50</v>
      </c>
      <c r="K56" s="39"/>
      <c r="L56" s="48"/>
      <c r="M56" s="39"/>
      <c r="N56" s="39"/>
      <c r="O56" s="39"/>
      <c r="P56" s="39"/>
      <c r="Q56" s="39"/>
      <c r="R56" s="39"/>
      <c r="S56" s="39"/>
      <c r="T56" s="39"/>
    </row>
    <row r="57" spans="1:20" ht="15.75">
      <c r="A57" s="13">
        <v>42856</v>
      </c>
      <c r="B57" s="47">
        <v>31</v>
      </c>
      <c r="C57" s="38">
        <v>194.20500000000001</v>
      </c>
      <c r="D57" s="38">
        <v>267.46600000000001</v>
      </c>
      <c r="E57" s="44">
        <v>812.32899999999995</v>
      </c>
      <c r="F57" s="38">
        <v>1274</v>
      </c>
      <c r="G57" s="38">
        <v>75</v>
      </c>
      <c r="H57" s="46">
        <v>400</v>
      </c>
      <c r="I57" s="38">
        <v>695</v>
      </c>
      <c r="J57" s="38">
        <v>50</v>
      </c>
      <c r="K57" s="39"/>
      <c r="L57" s="48"/>
      <c r="M57" s="39"/>
      <c r="N57" s="39"/>
      <c r="O57" s="39"/>
      <c r="P57" s="39"/>
      <c r="Q57" s="39"/>
      <c r="R57" s="39"/>
      <c r="S57" s="39"/>
      <c r="T57" s="39"/>
    </row>
    <row r="58" spans="1:20" ht="15.75">
      <c r="A58" s="13">
        <v>42887</v>
      </c>
      <c r="B58" s="47">
        <v>30</v>
      </c>
      <c r="C58" s="38">
        <v>194.20500000000001</v>
      </c>
      <c r="D58" s="38">
        <v>267.46600000000001</v>
      </c>
      <c r="E58" s="44">
        <v>812.32899999999995</v>
      </c>
      <c r="F58" s="38">
        <v>1274</v>
      </c>
      <c r="G58" s="38">
        <v>50</v>
      </c>
      <c r="H58" s="46">
        <v>400</v>
      </c>
      <c r="I58" s="38">
        <v>695</v>
      </c>
      <c r="J58" s="38">
        <v>50</v>
      </c>
      <c r="K58" s="39"/>
      <c r="L58" s="48"/>
      <c r="M58" s="39"/>
      <c r="N58" s="39"/>
      <c r="O58" s="39"/>
      <c r="P58" s="39"/>
      <c r="Q58" s="39"/>
      <c r="R58" s="39"/>
      <c r="S58" s="39"/>
      <c r="T58" s="39"/>
    </row>
    <row r="59" spans="1:20" ht="15.75">
      <c r="A59" s="13">
        <v>42917</v>
      </c>
      <c r="B59" s="47">
        <v>31</v>
      </c>
      <c r="C59" s="38">
        <v>194.20500000000001</v>
      </c>
      <c r="D59" s="38">
        <v>267.46600000000001</v>
      </c>
      <c r="E59" s="44">
        <v>812.32899999999995</v>
      </c>
      <c r="F59" s="38">
        <v>1274</v>
      </c>
      <c r="G59" s="38">
        <v>50</v>
      </c>
      <c r="H59" s="46">
        <v>400</v>
      </c>
      <c r="I59" s="38">
        <v>695</v>
      </c>
      <c r="J59" s="38">
        <v>0</v>
      </c>
      <c r="K59" s="39"/>
      <c r="L59" s="48"/>
      <c r="M59" s="39"/>
      <c r="N59" s="39"/>
      <c r="O59" s="39"/>
      <c r="P59" s="39"/>
      <c r="Q59" s="39"/>
      <c r="R59" s="39"/>
      <c r="S59" s="39"/>
      <c r="T59" s="39"/>
    </row>
    <row r="60" spans="1:20" ht="15.75">
      <c r="A60" s="13">
        <v>42948</v>
      </c>
      <c r="B60" s="47">
        <v>31</v>
      </c>
      <c r="C60" s="38">
        <v>194.20500000000001</v>
      </c>
      <c r="D60" s="38">
        <v>267.46600000000001</v>
      </c>
      <c r="E60" s="44">
        <v>812.32899999999995</v>
      </c>
      <c r="F60" s="38">
        <v>1274</v>
      </c>
      <c r="G60" s="38">
        <v>50</v>
      </c>
      <c r="H60" s="46">
        <v>400</v>
      </c>
      <c r="I60" s="38">
        <v>695</v>
      </c>
      <c r="J60" s="38">
        <v>0</v>
      </c>
      <c r="K60" s="39"/>
      <c r="L60" s="48"/>
      <c r="M60" s="39"/>
      <c r="N60" s="39"/>
      <c r="O60" s="39"/>
      <c r="P60" s="39"/>
      <c r="Q60" s="39"/>
      <c r="R60" s="39"/>
      <c r="S60" s="39"/>
      <c r="T60" s="39"/>
    </row>
    <row r="61" spans="1:20" ht="15.75">
      <c r="A61" s="13">
        <v>42979</v>
      </c>
      <c r="B61" s="47">
        <v>30</v>
      </c>
      <c r="C61" s="38">
        <v>194.20500000000001</v>
      </c>
      <c r="D61" s="38">
        <v>267.46600000000001</v>
      </c>
      <c r="E61" s="44">
        <v>812.32899999999995</v>
      </c>
      <c r="F61" s="38">
        <v>1274</v>
      </c>
      <c r="G61" s="38">
        <v>50</v>
      </c>
      <c r="H61" s="46">
        <v>400</v>
      </c>
      <c r="I61" s="38">
        <v>695</v>
      </c>
      <c r="J61" s="38">
        <v>0</v>
      </c>
      <c r="K61" s="39"/>
      <c r="L61" s="48"/>
      <c r="M61" s="39"/>
      <c r="N61" s="39"/>
      <c r="O61" s="39"/>
      <c r="P61" s="39"/>
      <c r="Q61" s="39"/>
      <c r="R61" s="39"/>
      <c r="S61" s="39"/>
      <c r="T61" s="39"/>
    </row>
    <row r="62" spans="1:20" ht="15.75">
      <c r="A62" s="13">
        <v>43009</v>
      </c>
      <c r="B62" s="47">
        <v>31</v>
      </c>
      <c r="C62" s="38">
        <v>131.881</v>
      </c>
      <c r="D62" s="38">
        <v>277.16699999999997</v>
      </c>
      <c r="E62" s="44">
        <v>829.952</v>
      </c>
      <c r="F62" s="38">
        <v>1239</v>
      </c>
      <c r="G62" s="38">
        <v>75</v>
      </c>
      <c r="H62" s="46">
        <v>400</v>
      </c>
      <c r="I62" s="38">
        <v>695</v>
      </c>
      <c r="J62" s="38">
        <v>0</v>
      </c>
      <c r="K62" s="39"/>
      <c r="L62" s="48"/>
      <c r="M62" s="39"/>
      <c r="N62" s="39"/>
      <c r="O62" s="39"/>
      <c r="P62" s="39"/>
      <c r="Q62" s="39"/>
      <c r="R62" s="39"/>
      <c r="S62" s="39"/>
      <c r="T62" s="39"/>
    </row>
    <row r="63" spans="1:20" ht="15.75">
      <c r="A63" s="13">
        <v>43040</v>
      </c>
      <c r="B63" s="47">
        <v>30</v>
      </c>
      <c r="C63" s="38">
        <v>122.58</v>
      </c>
      <c r="D63" s="38">
        <v>297.94099999999997</v>
      </c>
      <c r="E63" s="44">
        <v>729.47900000000004</v>
      </c>
      <c r="F63" s="38">
        <v>1150</v>
      </c>
      <c r="G63" s="38">
        <v>100</v>
      </c>
      <c r="H63" s="46">
        <v>400</v>
      </c>
      <c r="I63" s="38">
        <v>695</v>
      </c>
      <c r="J63" s="38">
        <v>50</v>
      </c>
      <c r="K63" s="39"/>
      <c r="L63" s="48"/>
      <c r="M63" s="39"/>
      <c r="N63" s="39"/>
      <c r="O63" s="39"/>
      <c r="P63" s="39"/>
      <c r="Q63" s="39"/>
      <c r="R63" s="39"/>
      <c r="S63" s="39"/>
      <c r="T63" s="39"/>
    </row>
    <row r="64" spans="1:20" ht="15.75">
      <c r="A64" s="13">
        <v>43070</v>
      </c>
      <c r="B64" s="47">
        <v>31</v>
      </c>
      <c r="C64" s="38">
        <v>122.58</v>
      </c>
      <c r="D64" s="38">
        <v>297.94099999999997</v>
      </c>
      <c r="E64" s="44">
        <v>729.47900000000004</v>
      </c>
      <c r="F64" s="38">
        <v>1150</v>
      </c>
      <c r="G64" s="38">
        <v>100</v>
      </c>
      <c r="H64" s="46">
        <v>400</v>
      </c>
      <c r="I64" s="38">
        <v>695</v>
      </c>
      <c r="J64" s="38">
        <v>50</v>
      </c>
      <c r="K64" s="39"/>
      <c r="L64" s="48"/>
      <c r="M64" s="39"/>
      <c r="N64" s="39"/>
      <c r="O64" s="39"/>
      <c r="P64" s="39"/>
      <c r="Q64" s="39"/>
      <c r="R64" s="39"/>
      <c r="S64" s="39"/>
      <c r="T64" s="39"/>
    </row>
    <row r="65" spans="1:20" ht="15.75">
      <c r="A65" s="13">
        <v>43101</v>
      </c>
      <c r="B65" s="47">
        <v>31</v>
      </c>
      <c r="C65" s="38">
        <v>122.58</v>
      </c>
      <c r="D65" s="38">
        <v>297.94099999999997</v>
      </c>
      <c r="E65" s="44">
        <v>729.47900000000004</v>
      </c>
      <c r="F65" s="38">
        <v>1150</v>
      </c>
      <c r="G65" s="38">
        <v>100</v>
      </c>
      <c r="H65" s="46">
        <v>400</v>
      </c>
      <c r="I65" s="38">
        <v>695</v>
      </c>
      <c r="J65" s="38">
        <v>50</v>
      </c>
      <c r="K65" s="39"/>
      <c r="L65" s="48"/>
      <c r="M65" s="39"/>
      <c r="N65" s="39"/>
      <c r="O65" s="39"/>
      <c r="P65" s="39"/>
      <c r="Q65" s="39"/>
      <c r="R65" s="39"/>
      <c r="S65" s="39"/>
      <c r="T65" s="39"/>
    </row>
    <row r="66" spans="1:20" ht="15.75">
      <c r="A66" s="13">
        <v>43132</v>
      </c>
      <c r="B66" s="47">
        <v>28</v>
      </c>
      <c r="C66" s="38">
        <v>122.58</v>
      </c>
      <c r="D66" s="38">
        <v>297.94099999999997</v>
      </c>
      <c r="E66" s="44">
        <v>729.47900000000004</v>
      </c>
      <c r="F66" s="38">
        <v>1150</v>
      </c>
      <c r="G66" s="38">
        <v>100</v>
      </c>
      <c r="H66" s="46">
        <v>400</v>
      </c>
      <c r="I66" s="38">
        <v>695</v>
      </c>
      <c r="J66" s="38">
        <v>50</v>
      </c>
      <c r="K66" s="39"/>
      <c r="L66" s="48"/>
      <c r="M66" s="39"/>
      <c r="N66" s="39"/>
      <c r="O66" s="39"/>
      <c r="P66" s="39"/>
      <c r="Q66" s="39"/>
      <c r="R66" s="39"/>
      <c r="S66" s="39"/>
      <c r="T66" s="39"/>
    </row>
    <row r="67" spans="1:20" ht="15.75">
      <c r="A67" s="13">
        <v>43160</v>
      </c>
      <c r="B67" s="47">
        <v>31</v>
      </c>
      <c r="C67" s="38">
        <v>122.58</v>
      </c>
      <c r="D67" s="38">
        <v>297.94099999999997</v>
      </c>
      <c r="E67" s="44">
        <v>729.47900000000004</v>
      </c>
      <c r="F67" s="38">
        <v>1150</v>
      </c>
      <c r="G67" s="38">
        <v>100</v>
      </c>
      <c r="H67" s="46">
        <v>400</v>
      </c>
      <c r="I67" s="38">
        <v>695</v>
      </c>
      <c r="J67" s="38">
        <v>50</v>
      </c>
      <c r="K67" s="39"/>
      <c r="L67" s="48"/>
      <c r="M67" s="39"/>
      <c r="N67" s="39"/>
      <c r="O67" s="39"/>
      <c r="P67" s="39"/>
      <c r="Q67" s="39"/>
      <c r="R67" s="39"/>
      <c r="S67" s="39"/>
      <c r="T67" s="39"/>
    </row>
    <row r="68" spans="1:20" ht="15.75">
      <c r="A68" s="13">
        <v>43191</v>
      </c>
      <c r="B68" s="47">
        <v>30</v>
      </c>
      <c r="C68" s="38">
        <v>141.29300000000001</v>
      </c>
      <c r="D68" s="38">
        <v>267.99299999999999</v>
      </c>
      <c r="E68" s="44">
        <v>829.71400000000006</v>
      </c>
      <c r="F68" s="38">
        <v>1239</v>
      </c>
      <c r="G68" s="38">
        <v>100</v>
      </c>
      <c r="H68" s="46">
        <v>400</v>
      </c>
      <c r="I68" s="38">
        <v>695</v>
      </c>
      <c r="J68" s="38">
        <v>50</v>
      </c>
      <c r="K68" s="39"/>
      <c r="L68" s="48"/>
      <c r="M68" s="39"/>
      <c r="N68" s="39"/>
      <c r="O68" s="39"/>
      <c r="P68" s="39"/>
      <c r="Q68" s="39"/>
      <c r="R68" s="39"/>
      <c r="S68" s="39"/>
      <c r="T68" s="39"/>
    </row>
    <row r="69" spans="1:20" ht="15.75">
      <c r="A69" s="13">
        <v>43221</v>
      </c>
      <c r="B69" s="47">
        <v>31</v>
      </c>
      <c r="C69" s="38">
        <v>194.20500000000001</v>
      </c>
      <c r="D69" s="38">
        <v>267.46600000000001</v>
      </c>
      <c r="E69" s="44">
        <v>812.32899999999995</v>
      </c>
      <c r="F69" s="38">
        <v>1274</v>
      </c>
      <c r="G69" s="38">
        <v>75</v>
      </c>
      <c r="H69" s="46">
        <v>400</v>
      </c>
      <c r="I69" s="38">
        <v>695</v>
      </c>
      <c r="J69" s="38">
        <v>50</v>
      </c>
      <c r="K69" s="39"/>
      <c r="L69" s="48"/>
      <c r="M69" s="39"/>
      <c r="N69" s="39"/>
      <c r="O69" s="39"/>
      <c r="P69" s="39"/>
      <c r="Q69" s="39"/>
      <c r="R69" s="39"/>
      <c r="S69" s="39"/>
      <c r="T69" s="39"/>
    </row>
    <row r="70" spans="1:20" ht="15.75">
      <c r="A70" s="13">
        <v>43252</v>
      </c>
      <c r="B70" s="47">
        <v>30</v>
      </c>
      <c r="C70" s="38">
        <v>194.20500000000001</v>
      </c>
      <c r="D70" s="38">
        <v>267.46600000000001</v>
      </c>
      <c r="E70" s="44">
        <v>812.32899999999995</v>
      </c>
      <c r="F70" s="38">
        <v>1274</v>
      </c>
      <c r="G70" s="38">
        <v>50</v>
      </c>
      <c r="H70" s="46">
        <v>400</v>
      </c>
      <c r="I70" s="38">
        <v>695</v>
      </c>
      <c r="J70" s="38">
        <v>50</v>
      </c>
      <c r="K70" s="39"/>
      <c r="L70" s="48"/>
      <c r="M70" s="39"/>
      <c r="N70" s="39"/>
      <c r="O70" s="39"/>
      <c r="P70" s="39"/>
      <c r="Q70" s="39"/>
      <c r="R70" s="39"/>
      <c r="S70" s="39"/>
      <c r="T70" s="39"/>
    </row>
    <row r="71" spans="1:20" ht="15.75">
      <c r="A71" s="13">
        <v>43282</v>
      </c>
      <c r="B71" s="47">
        <v>31</v>
      </c>
      <c r="C71" s="38">
        <v>194.20500000000001</v>
      </c>
      <c r="D71" s="38">
        <v>267.46600000000001</v>
      </c>
      <c r="E71" s="44">
        <v>812.32899999999995</v>
      </c>
      <c r="F71" s="38">
        <v>1274</v>
      </c>
      <c r="G71" s="38">
        <v>50</v>
      </c>
      <c r="H71" s="46">
        <v>400</v>
      </c>
      <c r="I71" s="38">
        <v>695</v>
      </c>
      <c r="J71" s="38">
        <v>0</v>
      </c>
      <c r="K71" s="39"/>
      <c r="L71" s="48"/>
      <c r="M71" s="39"/>
      <c r="N71" s="39"/>
      <c r="O71" s="39"/>
      <c r="P71" s="39"/>
      <c r="Q71" s="39"/>
      <c r="R71" s="39"/>
      <c r="S71" s="39"/>
      <c r="T71" s="39"/>
    </row>
    <row r="72" spans="1:20" ht="15.75">
      <c r="A72" s="13">
        <v>43313</v>
      </c>
      <c r="B72" s="47">
        <v>31</v>
      </c>
      <c r="C72" s="38">
        <v>194.20500000000001</v>
      </c>
      <c r="D72" s="38">
        <v>267.46600000000001</v>
      </c>
      <c r="E72" s="44">
        <v>812.32899999999995</v>
      </c>
      <c r="F72" s="38">
        <v>1274</v>
      </c>
      <c r="G72" s="38">
        <v>50</v>
      </c>
      <c r="H72" s="46">
        <v>400</v>
      </c>
      <c r="I72" s="38">
        <v>695</v>
      </c>
      <c r="J72" s="38">
        <v>0</v>
      </c>
      <c r="K72" s="39"/>
      <c r="L72" s="48"/>
      <c r="M72" s="39"/>
      <c r="N72" s="39"/>
      <c r="O72" s="39"/>
      <c r="P72" s="39"/>
      <c r="Q72" s="39"/>
      <c r="R72" s="39"/>
      <c r="S72" s="39"/>
      <c r="T72" s="39"/>
    </row>
    <row r="73" spans="1:20" ht="15.75">
      <c r="A73" s="13">
        <v>43344</v>
      </c>
      <c r="B73" s="47">
        <v>30</v>
      </c>
      <c r="C73" s="38">
        <v>194.20500000000001</v>
      </c>
      <c r="D73" s="38">
        <v>267.46600000000001</v>
      </c>
      <c r="E73" s="44">
        <v>812.32899999999995</v>
      </c>
      <c r="F73" s="38">
        <v>1274</v>
      </c>
      <c r="G73" s="38">
        <v>50</v>
      </c>
      <c r="H73" s="46">
        <v>400</v>
      </c>
      <c r="I73" s="38">
        <v>695</v>
      </c>
      <c r="J73" s="38">
        <v>0</v>
      </c>
      <c r="K73" s="39"/>
      <c r="L73" s="48"/>
      <c r="M73" s="39"/>
      <c r="N73" s="39"/>
      <c r="O73" s="39"/>
      <c r="P73" s="39"/>
      <c r="Q73" s="39"/>
      <c r="R73" s="39"/>
      <c r="S73" s="39"/>
      <c r="T73" s="39"/>
    </row>
    <row r="74" spans="1:20" ht="15.75">
      <c r="A74" s="13">
        <v>43374</v>
      </c>
      <c r="B74" s="47">
        <v>31</v>
      </c>
      <c r="C74" s="38">
        <v>131.881</v>
      </c>
      <c r="D74" s="38">
        <v>277.16699999999997</v>
      </c>
      <c r="E74" s="44">
        <v>829.952</v>
      </c>
      <c r="F74" s="38">
        <v>1239</v>
      </c>
      <c r="G74" s="38">
        <v>75</v>
      </c>
      <c r="H74" s="46">
        <v>400</v>
      </c>
      <c r="I74" s="38">
        <v>695</v>
      </c>
      <c r="J74" s="38">
        <v>0</v>
      </c>
      <c r="K74" s="39"/>
      <c r="L74" s="48"/>
      <c r="M74" s="39"/>
      <c r="N74" s="39"/>
      <c r="O74" s="39"/>
      <c r="P74" s="39"/>
      <c r="Q74" s="39"/>
      <c r="R74" s="39"/>
      <c r="S74" s="39"/>
      <c r="T74" s="39"/>
    </row>
    <row r="75" spans="1:20" ht="15.75">
      <c r="A75" s="13">
        <v>43405</v>
      </c>
      <c r="B75" s="47">
        <v>30</v>
      </c>
      <c r="C75" s="38">
        <v>122.58</v>
      </c>
      <c r="D75" s="38">
        <v>297.94099999999997</v>
      </c>
      <c r="E75" s="44">
        <v>729.47900000000004</v>
      </c>
      <c r="F75" s="38">
        <v>1150</v>
      </c>
      <c r="G75" s="38">
        <v>100</v>
      </c>
      <c r="H75" s="46">
        <v>400</v>
      </c>
      <c r="I75" s="38">
        <v>695</v>
      </c>
      <c r="J75" s="38">
        <v>50</v>
      </c>
      <c r="K75" s="39"/>
      <c r="L75" s="48"/>
      <c r="M75" s="39"/>
      <c r="N75" s="39"/>
      <c r="O75" s="39"/>
      <c r="P75" s="39"/>
      <c r="Q75" s="39"/>
      <c r="R75" s="39"/>
      <c r="S75" s="39"/>
      <c r="T75" s="39"/>
    </row>
    <row r="76" spans="1:20" ht="15.75">
      <c r="A76" s="13">
        <v>43435</v>
      </c>
      <c r="B76" s="47">
        <v>31</v>
      </c>
      <c r="C76" s="38">
        <v>122.58</v>
      </c>
      <c r="D76" s="38">
        <v>297.94099999999997</v>
      </c>
      <c r="E76" s="44">
        <v>729.47900000000004</v>
      </c>
      <c r="F76" s="38">
        <v>1150</v>
      </c>
      <c r="G76" s="38">
        <v>100</v>
      </c>
      <c r="H76" s="46">
        <v>400</v>
      </c>
      <c r="I76" s="38">
        <v>695</v>
      </c>
      <c r="J76" s="38">
        <v>50</v>
      </c>
      <c r="K76" s="39"/>
      <c r="L76" s="48"/>
      <c r="M76" s="39"/>
      <c r="N76" s="39"/>
      <c r="O76" s="39"/>
      <c r="P76" s="39"/>
      <c r="Q76" s="39"/>
      <c r="R76" s="39"/>
      <c r="S76" s="39"/>
      <c r="T76" s="39"/>
    </row>
    <row r="77" spans="1:20" ht="15.75">
      <c r="A77" s="13">
        <v>43466</v>
      </c>
      <c r="B77" s="47">
        <v>31</v>
      </c>
      <c r="C77" s="38">
        <v>122.58</v>
      </c>
      <c r="D77" s="38">
        <v>297.94099999999997</v>
      </c>
      <c r="E77" s="44">
        <v>729.47900000000004</v>
      </c>
      <c r="F77" s="38">
        <v>1150</v>
      </c>
      <c r="G77" s="38">
        <v>100</v>
      </c>
      <c r="H77" s="46">
        <v>400</v>
      </c>
      <c r="I77" s="38">
        <v>695</v>
      </c>
      <c r="J77" s="38">
        <v>50</v>
      </c>
      <c r="K77" s="39"/>
      <c r="L77" s="39"/>
      <c r="M77" s="39"/>
      <c r="N77" s="39"/>
      <c r="O77" s="39"/>
      <c r="P77" s="39"/>
      <c r="Q77" s="39"/>
      <c r="R77" s="39"/>
      <c r="S77" s="39"/>
      <c r="T77" s="39"/>
    </row>
    <row r="78" spans="1:20" ht="15.75">
      <c r="A78" s="13">
        <v>43497</v>
      </c>
      <c r="B78" s="47">
        <v>28</v>
      </c>
      <c r="C78" s="38">
        <v>122.58</v>
      </c>
      <c r="D78" s="38">
        <v>297.94099999999997</v>
      </c>
      <c r="E78" s="44">
        <v>729.47900000000004</v>
      </c>
      <c r="F78" s="38">
        <v>1150</v>
      </c>
      <c r="G78" s="38">
        <v>100</v>
      </c>
      <c r="H78" s="46">
        <v>400</v>
      </c>
      <c r="I78" s="38">
        <v>695</v>
      </c>
      <c r="J78" s="38">
        <v>50</v>
      </c>
      <c r="K78" s="39"/>
      <c r="L78" s="39"/>
      <c r="M78" s="39"/>
      <c r="N78" s="39"/>
      <c r="O78" s="39"/>
      <c r="P78" s="39"/>
      <c r="Q78" s="39"/>
      <c r="R78" s="39"/>
      <c r="S78" s="39"/>
      <c r="T78" s="39"/>
    </row>
    <row r="79" spans="1:20" ht="15.75">
      <c r="A79" s="13">
        <v>43525</v>
      </c>
      <c r="B79" s="47">
        <v>31</v>
      </c>
      <c r="C79" s="38">
        <v>122.58</v>
      </c>
      <c r="D79" s="38">
        <v>297.94099999999997</v>
      </c>
      <c r="E79" s="44">
        <v>729.47900000000004</v>
      </c>
      <c r="F79" s="38">
        <v>1150</v>
      </c>
      <c r="G79" s="38">
        <v>100</v>
      </c>
      <c r="H79" s="46">
        <v>400</v>
      </c>
      <c r="I79" s="38">
        <v>695</v>
      </c>
      <c r="J79" s="38">
        <v>50</v>
      </c>
      <c r="K79" s="39"/>
      <c r="L79" s="39"/>
      <c r="M79" s="39"/>
      <c r="N79" s="39"/>
      <c r="O79" s="39"/>
      <c r="P79" s="39"/>
      <c r="Q79" s="39"/>
      <c r="R79" s="39"/>
      <c r="S79" s="39"/>
      <c r="T79" s="39"/>
    </row>
    <row r="80" spans="1:20" ht="15.75">
      <c r="A80" s="13">
        <v>43556</v>
      </c>
      <c r="B80" s="47">
        <v>30</v>
      </c>
      <c r="C80" s="38">
        <v>141.29300000000001</v>
      </c>
      <c r="D80" s="38">
        <v>267.99299999999999</v>
      </c>
      <c r="E80" s="44">
        <v>829.71400000000006</v>
      </c>
      <c r="F80" s="38">
        <v>1239</v>
      </c>
      <c r="G80" s="38">
        <v>100</v>
      </c>
      <c r="H80" s="46">
        <v>400</v>
      </c>
      <c r="I80" s="38">
        <v>695</v>
      </c>
      <c r="J80" s="38">
        <v>50</v>
      </c>
      <c r="K80" s="39"/>
      <c r="L80" s="39"/>
      <c r="M80" s="39"/>
      <c r="N80" s="39"/>
      <c r="O80" s="39"/>
      <c r="P80" s="39"/>
      <c r="Q80" s="39"/>
      <c r="R80" s="39"/>
      <c r="S80" s="39"/>
      <c r="T80" s="39"/>
    </row>
    <row r="81" spans="1:20" ht="15.75">
      <c r="A81" s="13">
        <v>43586</v>
      </c>
      <c r="B81" s="47">
        <v>31</v>
      </c>
      <c r="C81" s="38">
        <v>194.20500000000001</v>
      </c>
      <c r="D81" s="38">
        <v>267.46600000000001</v>
      </c>
      <c r="E81" s="44">
        <v>812.32899999999995</v>
      </c>
      <c r="F81" s="38">
        <v>1274</v>
      </c>
      <c r="G81" s="38">
        <v>75</v>
      </c>
      <c r="H81" s="46">
        <v>400</v>
      </c>
      <c r="I81" s="38">
        <v>695</v>
      </c>
      <c r="J81" s="38">
        <v>50</v>
      </c>
      <c r="K81" s="39"/>
      <c r="L81" s="39"/>
      <c r="M81" s="39"/>
      <c r="N81" s="39"/>
      <c r="O81" s="39"/>
      <c r="P81" s="39"/>
      <c r="Q81" s="39"/>
      <c r="R81" s="39"/>
      <c r="S81" s="39"/>
      <c r="T81" s="39"/>
    </row>
    <row r="82" spans="1:20" ht="15.75">
      <c r="A82" s="13">
        <v>43617</v>
      </c>
      <c r="B82" s="47">
        <v>30</v>
      </c>
      <c r="C82" s="38">
        <v>194.20500000000001</v>
      </c>
      <c r="D82" s="38">
        <v>267.46600000000001</v>
      </c>
      <c r="E82" s="44">
        <v>812.32899999999995</v>
      </c>
      <c r="F82" s="38">
        <v>1274</v>
      </c>
      <c r="G82" s="38">
        <v>50</v>
      </c>
      <c r="H82" s="46">
        <v>400</v>
      </c>
      <c r="I82" s="38">
        <v>695</v>
      </c>
      <c r="J82" s="38">
        <v>50</v>
      </c>
      <c r="K82" s="39"/>
      <c r="L82" s="39"/>
      <c r="M82" s="39"/>
      <c r="N82" s="39"/>
      <c r="O82" s="39"/>
      <c r="P82" s="39"/>
      <c r="Q82" s="39"/>
      <c r="R82" s="39"/>
      <c r="S82" s="39"/>
      <c r="T82" s="39"/>
    </row>
    <row r="83" spans="1:20" ht="15.75">
      <c r="A83" s="13">
        <v>43647</v>
      </c>
      <c r="B83" s="47">
        <v>31</v>
      </c>
      <c r="C83" s="38">
        <v>194.20500000000001</v>
      </c>
      <c r="D83" s="38">
        <v>267.46600000000001</v>
      </c>
      <c r="E83" s="44">
        <v>812.32899999999995</v>
      </c>
      <c r="F83" s="38">
        <v>1274</v>
      </c>
      <c r="G83" s="38">
        <v>50</v>
      </c>
      <c r="H83" s="46">
        <v>400</v>
      </c>
      <c r="I83" s="38">
        <v>695</v>
      </c>
      <c r="J83" s="38">
        <v>0</v>
      </c>
      <c r="K83" s="39"/>
      <c r="L83" s="39"/>
      <c r="M83" s="39"/>
      <c r="N83" s="39"/>
      <c r="O83" s="39"/>
      <c r="P83" s="39"/>
      <c r="Q83" s="39"/>
      <c r="R83" s="39"/>
      <c r="S83" s="39"/>
      <c r="T83" s="39"/>
    </row>
    <row r="84" spans="1:20" ht="15.75">
      <c r="A84" s="13">
        <v>43678</v>
      </c>
      <c r="B84" s="47">
        <v>31</v>
      </c>
      <c r="C84" s="38">
        <v>194.20500000000001</v>
      </c>
      <c r="D84" s="38">
        <v>267.46600000000001</v>
      </c>
      <c r="E84" s="44">
        <v>812.32899999999995</v>
      </c>
      <c r="F84" s="38">
        <v>1274</v>
      </c>
      <c r="G84" s="38">
        <v>50</v>
      </c>
      <c r="H84" s="46">
        <v>400</v>
      </c>
      <c r="I84" s="38">
        <v>695</v>
      </c>
      <c r="J84" s="38">
        <v>0</v>
      </c>
      <c r="K84" s="39"/>
      <c r="L84" s="39"/>
      <c r="M84" s="39"/>
      <c r="N84" s="39"/>
      <c r="O84" s="39"/>
      <c r="P84" s="39"/>
      <c r="Q84" s="39"/>
      <c r="R84" s="39"/>
      <c r="S84" s="39"/>
      <c r="T84" s="39"/>
    </row>
    <row r="85" spans="1:20" ht="15.75">
      <c r="A85" s="13">
        <v>43709</v>
      </c>
      <c r="B85" s="47">
        <v>30</v>
      </c>
      <c r="C85" s="38">
        <v>194.20500000000001</v>
      </c>
      <c r="D85" s="38">
        <v>267.46600000000001</v>
      </c>
      <c r="E85" s="44">
        <v>812.32899999999995</v>
      </c>
      <c r="F85" s="38">
        <v>1274</v>
      </c>
      <c r="G85" s="38">
        <v>50</v>
      </c>
      <c r="H85" s="46">
        <v>400</v>
      </c>
      <c r="I85" s="38">
        <v>695</v>
      </c>
      <c r="J85" s="38">
        <v>0</v>
      </c>
      <c r="K85" s="39"/>
      <c r="L85" s="39"/>
      <c r="M85" s="39"/>
      <c r="N85" s="39"/>
      <c r="O85" s="39"/>
      <c r="P85" s="39"/>
      <c r="Q85" s="39"/>
      <c r="R85" s="39"/>
      <c r="S85" s="39"/>
      <c r="T85" s="39"/>
    </row>
    <row r="86" spans="1:20" ht="15.75">
      <c r="A86" s="13">
        <v>43739</v>
      </c>
      <c r="B86" s="47">
        <v>31</v>
      </c>
      <c r="C86" s="38">
        <v>131.881</v>
      </c>
      <c r="D86" s="38">
        <v>277.16699999999997</v>
      </c>
      <c r="E86" s="44">
        <v>829.952</v>
      </c>
      <c r="F86" s="38">
        <v>1239</v>
      </c>
      <c r="G86" s="38">
        <v>75</v>
      </c>
      <c r="H86" s="46">
        <v>400</v>
      </c>
      <c r="I86" s="38">
        <v>695</v>
      </c>
      <c r="J86" s="38">
        <v>0</v>
      </c>
      <c r="K86" s="39"/>
      <c r="L86" s="39"/>
      <c r="M86" s="39"/>
      <c r="N86" s="39"/>
      <c r="O86" s="39"/>
      <c r="P86" s="39"/>
      <c r="Q86" s="39"/>
      <c r="R86" s="39"/>
      <c r="S86" s="39"/>
      <c r="T86" s="39"/>
    </row>
    <row r="87" spans="1:20" ht="15.75">
      <c r="A87" s="13">
        <v>43770</v>
      </c>
      <c r="B87" s="47">
        <v>30</v>
      </c>
      <c r="C87" s="38">
        <v>122.58</v>
      </c>
      <c r="D87" s="38">
        <v>297.94099999999997</v>
      </c>
      <c r="E87" s="44">
        <v>729.47900000000004</v>
      </c>
      <c r="F87" s="38">
        <v>1150</v>
      </c>
      <c r="G87" s="38">
        <v>100</v>
      </c>
      <c r="H87" s="46">
        <v>400</v>
      </c>
      <c r="I87" s="38">
        <v>695</v>
      </c>
      <c r="J87" s="38">
        <v>50</v>
      </c>
      <c r="K87" s="39"/>
      <c r="L87" s="39"/>
      <c r="M87" s="39"/>
      <c r="N87" s="39"/>
      <c r="O87" s="39"/>
      <c r="P87" s="39"/>
      <c r="Q87" s="39"/>
      <c r="R87" s="39"/>
      <c r="S87" s="39"/>
      <c r="T87" s="39"/>
    </row>
    <row r="88" spans="1:20" ht="15.75">
      <c r="A88" s="13">
        <v>43800</v>
      </c>
      <c r="B88" s="47">
        <v>31</v>
      </c>
      <c r="C88" s="38">
        <v>122.58</v>
      </c>
      <c r="D88" s="38">
        <v>297.94099999999997</v>
      </c>
      <c r="E88" s="44">
        <v>729.47900000000004</v>
      </c>
      <c r="F88" s="38">
        <v>1150</v>
      </c>
      <c r="G88" s="38">
        <v>100</v>
      </c>
      <c r="H88" s="46">
        <v>400</v>
      </c>
      <c r="I88" s="38">
        <v>695</v>
      </c>
      <c r="J88" s="38">
        <v>50</v>
      </c>
      <c r="K88" s="39"/>
      <c r="L88" s="39"/>
      <c r="M88" s="39"/>
      <c r="N88" s="39"/>
      <c r="O88" s="39"/>
      <c r="P88" s="39"/>
      <c r="Q88" s="39"/>
      <c r="R88" s="39"/>
      <c r="S88" s="39"/>
      <c r="T88" s="39"/>
    </row>
    <row r="89" spans="1:20" ht="15.75">
      <c r="A89" s="13">
        <v>43831</v>
      </c>
      <c r="B89" s="47">
        <v>31</v>
      </c>
      <c r="C89" s="38">
        <v>122.58</v>
      </c>
      <c r="D89" s="38">
        <v>297.94099999999997</v>
      </c>
      <c r="E89" s="44">
        <v>729.47900000000004</v>
      </c>
      <c r="F89" s="38">
        <v>1150</v>
      </c>
      <c r="G89" s="38">
        <v>100</v>
      </c>
      <c r="H89" s="46">
        <v>400</v>
      </c>
      <c r="I89" s="38">
        <v>695</v>
      </c>
      <c r="J89" s="38">
        <v>50</v>
      </c>
      <c r="K89" s="39"/>
      <c r="L89" s="39"/>
      <c r="M89" s="39"/>
      <c r="N89" s="39"/>
      <c r="O89" s="39"/>
      <c r="P89" s="39"/>
      <c r="Q89" s="39"/>
      <c r="R89" s="39"/>
      <c r="S89" s="39"/>
      <c r="T89" s="39"/>
    </row>
    <row r="90" spans="1:20" ht="15.75">
      <c r="A90" s="13">
        <v>43862</v>
      </c>
      <c r="B90" s="47">
        <v>29</v>
      </c>
      <c r="C90" s="38">
        <v>122.58</v>
      </c>
      <c r="D90" s="38">
        <v>297.94099999999997</v>
      </c>
      <c r="E90" s="44">
        <v>729.47900000000004</v>
      </c>
      <c r="F90" s="38">
        <v>1150</v>
      </c>
      <c r="G90" s="38">
        <v>100</v>
      </c>
      <c r="H90" s="46">
        <v>400</v>
      </c>
      <c r="I90" s="38">
        <v>695</v>
      </c>
      <c r="J90" s="38">
        <v>50</v>
      </c>
      <c r="K90" s="39"/>
      <c r="L90" s="39"/>
      <c r="M90" s="39"/>
      <c r="N90" s="39"/>
      <c r="O90" s="39"/>
      <c r="P90" s="39"/>
      <c r="Q90" s="39"/>
      <c r="R90" s="39"/>
      <c r="S90" s="39"/>
      <c r="T90" s="39"/>
    </row>
    <row r="91" spans="1:20" ht="15.75">
      <c r="A91" s="13">
        <v>43891</v>
      </c>
      <c r="B91" s="47">
        <v>31</v>
      </c>
      <c r="C91" s="38">
        <v>122.58</v>
      </c>
      <c r="D91" s="38">
        <v>297.94099999999997</v>
      </c>
      <c r="E91" s="44">
        <v>729.47900000000004</v>
      </c>
      <c r="F91" s="38">
        <v>1150</v>
      </c>
      <c r="G91" s="38">
        <v>100</v>
      </c>
      <c r="H91" s="46">
        <v>400</v>
      </c>
      <c r="I91" s="38">
        <v>695</v>
      </c>
      <c r="J91" s="38">
        <v>50</v>
      </c>
      <c r="K91" s="39"/>
      <c r="L91" s="39"/>
      <c r="M91" s="39"/>
      <c r="N91" s="39"/>
      <c r="O91" s="39"/>
      <c r="P91" s="39"/>
      <c r="Q91" s="39"/>
      <c r="R91" s="39"/>
      <c r="S91" s="39"/>
      <c r="T91" s="39"/>
    </row>
    <row r="92" spans="1:20" ht="15.75">
      <c r="A92" s="13">
        <v>43922</v>
      </c>
      <c r="B92" s="47">
        <v>30</v>
      </c>
      <c r="C92" s="38">
        <v>141.29300000000001</v>
      </c>
      <c r="D92" s="38">
        <v>267.99299999999999</v>
      </c>
      <c r="E92" s="44">
        <v>829.71400000000006</v>
      </c>
      <c r="F92" s="38">
        <v>1239</v>
      </c>
      <c r="G92" s="38">
        <v>100</v>
      </c>
      <c r="H92" s="46">
        <v>400</v>
      </c>
      <c r="I92" s="38">
        <v>695</v>
      </c>
      <c r="J92" s="38">
        <v>50</v>
      </c>
      <c r="K92" s="39"/>
      <c r="L92" s="39"/>
      <c r="M92" s="39"/>
      <c r="N92" s="39"/>
      <c r="O92" s="39"/>
      <c r="P92" s="39"/>
      <c r="Q92" s="39"/>
      <c r="R92" s="39"/>
      <c r="S92" s="39"/>
      <c r="T92" s="39"/>
    </row>
    <row r="93" spans="1:20" ht="15.75">
      <c r="A93" s="13">
        <v>43952</v>
      </c>
      <c r="B93" s="47">
        <v>31</v>
      </c>
      <c r="C93" s="38">
        <v>194.20500000000001</v>
      </c>
      <c r="D93" s="38">
        <v>267.46600000000001</v>
      </c>
      <c r="E93" s="44">
        <v>812.32899999999995</v>
      </c>
      <c r="F93" s="38">
        <v>1274</v>
      </c>
      <c r="G93" s="38">
        <v>75</v>
      </c>
      <c r="H93" s="46">
        <v>600</v>
      </c>
      <c r="I93" s="38">
        <v>695</v>
      </c>
      <c r="J93" s="38">
        <v>50</v>
      </c>
      <c r="K93" s="39"/>
      <c r="L93" s="39"/>
      <c r="M93" s="39"/>
      <c r="N93" s="39"/>
      <c r="O93" s="39"/>
      <c r="P93" s="39"/>
      <c r="Q93" s="39"/>
      <c r="R93" s="39"/>
      <c r="S93" s="39"/>
      <c r="T93" s="39"/>
    </row>
    <row r="94" spans="1:20" ht="15.75">
      <c r="A94" s="13">
        <v>43983</v>
      </c>
      <c r="B94" s="47">
        <v>30</v>
      </c>
      <c r="C94" s="38">
        <v>194.20500000000001</v>
      </c>
      <c r="D94" s="38">
        <v>267.46600000000001</v>
      </c>
      <c r="E94" s="44">
        <v>812.32899999999995</v>
      </c>
      <c r="F94" s="38">
        <v>1274</v>
      </c>
      <c r="G94" s="38">
        <v>50</v>
      </c>
      <c r="H94" s="46">
        <v>600</v>
      </c>
      <c r="I94" s="38">
        <v>695</v>
      </c>
      <c r="J94" s="38">
        <v>50</v>
      </c>
      <c r="K94" s="39"/>
      <c r="L94" s="39"/>
      <c r="M94" s="39"/>
      <c r="N94" s="39"/>
      <c r="O94" s="39"/>
      <c r="P94" s="39"/>
      <c r="Q94" s="39"/>
      <c r="R94" s="39"/>
      <c r="S94" s="39"/>
      <c r="T94" s="39"/>
    </row>
    <row r="95" spans="1:20" ht="15.75">
      <c r="A95" s="13">
        <v>44013</v>
      </c>
      <c r="B95" s="47">
        <v>31</v>
      </c>
      <c r="C95" s="38">
        <v>194.20500000000001</v>
      </c>
      <c r="D95" s="38">
        <v>267.46600000000001</v>
      </c>
      <c r="E95" s="44">
        <v>812.32899999999995</v>
      </c>
      <c r="F95" s="38">
        <v>1274</v>
      </c>
      <c r="G95" s="38">
        <v>50</v>
      </c>
      <c r="H95" s="46">
        <v>600</v>
      </c>
      <c r="I95" s="38">
        <v>695</v>
      </c>
      <c r="J95" s="38">
        <v>0</v>
      </c>
      <c r="K95" s="39"/>
      <c r="L95" s="39"/>
      <c r="M95" s="39"/>
      <c r="N95" s="39"/>
      <c r="O95" s="39"/>
      <c r="P95" s="39"/>
      <c r="Q95" s="39"/>
      <c r="R95" s="39"/>
      <c r="S95" s="39"/>
      <c r="T95" s="39"/>
    </row>
    <row r="96" spans="1:20" ht="15.75">
      <c r="A96" s="13">
        <v>44044</v>
      </c>
      <c r="B96" s="47">
        <v>31</v>
      </c>
      <c r="C96" s="38">
        <v>194.20500000000001</v>
      </c>
      <c r="D96" s="38">
        <v>267.46600000000001</v>
      </c>
      <c r="E96" s="44">
        <v>812.32899999999995</v>
      </c>
      <c r="F96" s="38">
        <v>1274</v>
      </c>
      <c r="G96" s="38">
        <v>50</v>
      </c>
      <c r="H96" s="46">
        <v>600</v>
      </c>
      <c r="I96" s="38">
        <v>695</v>
      </c>
      <c r="J96" s="38">
        <v>0</v>
      </c>
      <c r="K96" s="39"/>
      <c r="L96" s="39"/>
      <c r="M96" s="39"/>
      <c r="N96" s="39"/>
      <c r="O96" s="39"/>
      <c r="P96" s="39"/>
      <c r="Q96" s="39"/>
      <c r="R96" s="39"/>
      <c r="S96" s="39"/>
      <c r="T96" s="39"/>
    </row>
    <row r="97" spans="1:20" ht="15.75">
      <c r="A97" s="13">
        <v>44075</v>
      </c>
      <c r="B97" s="47">
        <v>30</v>
      </c>
      <c r="C97" s="38">
        <v>194.20500000000001</v>
      </c>
      <c r="D97" s="38">
        <v>267.46600000000001</v>
      </c>
      <c r="E97" s="44">
        <v>812.32899999999995</v>
      </c>
      <c r="F97" s="38">
        <v>1274</v>
      </c>
      <c r="G97" s="38">
        <v>50</v>
      </c>
      <c r="H97" s="46">
        <v>600</v>
      </c>
      <c r="I97" s="38">
        <v>695</v>
      </c>
      <c r="J97" s="38">
        <v>0</v>
      </c>
      <c r="K97" s="39"/>
      <c r="L97" s="39"/>
      <c r="M97" s="39"/>
      <c r="N97" s="39"/>
      <c r="O97" s="39"/>
      <c r="P97" s="39"/>
      <c r="Q97" s="39"/>
      <c r="R97" s="39"/>
      <c r="S97" s="39"/>
      <c r="T97" s="39"/>
    </row>
    <row r="98" spans="1:20" ht="15.75">
      <c r="A98" s="13">
        <v>44105</v>
      </c>
      <c r="B98" s="47">
        <v>31</v>
      </c>
      <c r="C98" s="38">
        <v>131.881</v>
      </c>
      <c r="D98" s="38">
        <v>277.16699999999997</v>
      </c>
      <c r="E98" s="44">
        <v>829.952</v>
      </c>
      <c r="F98" s="38">
        <v>1239</v>
      </c>
      <c r="G98" s="38">
        <v>75</v>
      </c>
      <c r="H98" s="46">
        <v>600</v>
      </c>
      <c r="I98" s="38">
        <v>695</v>
      </c>
      <c r="J98" s="38">
        <v>0</v>
      </c>
      <c r="K98" s="39"/>
      <c r="L98" s="39"/>
      <c r="M98" s="39"/>
      <c r="N98" s="39"/>
      <c r="O98" s="39"/>
      <c r="P98" s="39"/>
      <c r="Q98" s="39"/>
      <c r="R98" s="39"/>
      <c r="S98" s="39"/>
      <c r="T98" s="39"/>
    </row>
    <row r="99" spans="1:20" ht="15.75">
      <c r="A99" s="13">
        <v>44136</v>
      </c>
      <c r="B99" s="47">
        <v>30</v>
      </c>
      <c r="C99" s="38">
        <v>122.58</v>
      </c>
      <c r="D99" s="38">
        <v>297.94099999999997</v>
      </c>
      <c r="E99" s="44">
        <v>729.47900000000004</v>
      </c>
      <c r="F99" s="38">
        <v>1150</v>
      </c>
      <c r="G99" s="38">
        <v>100</v>
      </c>
      <c r="H99" s="46">
        <v>600</v>
      </c>
      <c r="I99" s="38">
        <v>695</v>
      </c>
      <c r="J99" s="38">
        <v>50</v>
      </c>
      <c r="K99" s="39"/>
      <c r="L99" s="39"/>
      <c r="M99" s="39"/>
      <c r="N99" s="39"/>
      <c r="O99" s="39"/>
      <c r="P99" s="39"/>
      <c r="Q99" s="39"/>
      <c r="R99" s="39"/>
      <c r="S99" s="39"/>
      <c r="T99" s="39"/>
    </row>
    <row r="100" spans="1:20" ht="15.75">
      <c r="A100" s="13">
        <v>44166</v>
      </c>
      <c r="B100" s="47">
        <v>31</v>
      </c>
      <c r="C100" s="38">
        <v>122.58</v>
      </c>
      <c r="D100" s="38">
        <v>297.94099999999997</v>
      </c>
      <c r="E100" s="44">
        <v>729.47900000000004</v>
      </c>
      <c r="F100" s="38">
        <v>1150</v>
      </c>
      <c r="G100" s="38">
        <v>100</v>
      </c>
      <c r="H100" s="46">
        <v>600</v>
      </c>
      <c r="I100" s="38">
        <v>695</v>
      </c>
      <c r="J100" s="38">
        <v>50</v>
      </c>
      <c r="K100" s="39"/>
      <c r="L100" s="39"/>
      <c r="M100" s="39"/>
      <c r="N100" s="39"/>
      <c r="O100" s="39"/>
      <c r="P100" s="39"/>
      <c r="Q100" s="39"/>
      <c r="R100" s="39"/>
      <c r="S100" s="39"/>
      <c r="T100" s="39"/>
    </row>
    <row r="101" spans="1:20" ht="15.75">
      <c r="A101" s="13">
        <v>44197</v>
      </c>
      <c r="B101" s="47">
        <v>31</v>
      </c>
      <c r="C101" s="38">
        <v>122.58</v>
      </c>
      <c r="D101" s="38">
        <v>297.94099999999997</v>
      </c>
      <c r="E101" s="44">
        <v>729.47900000000004</v>
      </c>
      <c r="F101" s="38">
        <v>1150</v>
      </c>
      <c r="G101" s="38">
        <v>100</v>
      </c>
      <c r="H101" s="46">
        <v>600</v>
      </c>
      <c r="I101" s="38">
        <v>695</v>
      </c>
      <c r="J101" s="38">
        <v>50</v>
      </c>
      <c r="K101" s="39"/>
      <c r="L101" s="39"/>
      <c r="M101" s="39"/>
      <c r="N101" s="39"/>
      <c r="O101" s="39"/>
      <c r="P101" s="39"/>
      <c r="Q101" s="39"/>
      <c r="R101" s="39"/>
      <c r="S101" s="39"/>
      <c r="T101" s="39"/>
    </row>
    <row r="102" spans="1:20" ht="15.75">
      <c r="A102" s="13">
        <v>44228</v>
      </c>
      <c r="B102" s="47">
        <v>28</v>
      </c>
      <c r="C102" s="38">
        <v>122.58</v>
      </c>
      <c r="D102" s="38">
        <v>297.94099999999997</v>
      </c>
      <c r="E102" s="44">
        <v>729.47900000000004</v>
      </c>
      <c r="F102" s="38">
        <v>1150</v>
      </c>
      <c r="G102" s="38">
        <v>100</v>
      </c>
      <c r="H102" s="46">
        <v>600</v>
      </c>
      <c r="I102" s="38">
        <v>695</v>
      </c>
      <c r="J102" s="38">
        <v>50</v>
      </c>
      <c r="K102" s="39"/>
      <c r="L102" s="39"/>
      <c r="M102" s="39"/>
      <c r="N102" s="39"/>
      <c r="O102" s="39"/>
      <c r="P102" s="39"/>
      <c r="Q102" s="39"/>
      <c r="R102" s="39"/>
      <c r="S102" s="39"/>
      <c r="T102" s="39"/>
    </row>
    <row r="103" spans="1:20" ht="15.75">
      <c r="A103" s="13">
        <v>44256</v>
      </c>
      <c r="B103" s="47">
        <v>31</v>
      </c>
      <c r="C103" s="38">
        <v>122.58</v>
      </c>
      <c r="D103" s="38">
        <v>297.94099999999997</v>
      </c>
      <c r="E103" s="44">
        <v>729.47900000000004</v>
      </c>
      <c r="F103" s="38">
        <v>1150</v>
      </c>
      <c r="G103" s="38">
        <v>100</v>
      </c>
      <c r="H103" s="46">
        <v>600</v>
      </c>
      <c r="I103" s="38">
        <v>695</v>
      </c>
      <c r="J103" s="38">
        <v>50</v>
      </c>
      <c r="K103" s="39"/>
      <c r="L103" s="39"/>
      <c r="M103" s="39"/>
      <c r="N103" s="39"/>
      <c r="O103" s="39"/>
      <c r="P103" s="39"/>
      <c r="Q103" s="39"/>
      <c r="R103" s="39"/>
      <c r="S103" s="39"/>
      <c r="T103" s="39"/>
    </row>
    <row r="104" spans="1:20" ht="15.75">
      <c r="A104" s="13">
        <v>44287</v>
      </c>
      <c r="B104" s="47">
        <v>30</v>
      </c>
      <c r="C104" s="38">
        <v>141.29300000000001</v>
      </c>
      <c r="D104" s="38">
        <v>267.99299999999999</v>
      </c>
      <c r="E104" s="44">
        <v>829.71400000000006</v>
      </c>
      <c r="F104" s="38">
        <v>1239</v>
      </c>
      <c r="G104" s="38">
        <v>100</v>
      </c>
      <c r="H104" s="46">
        <v>600</v>
      </c>
      <c r="I104" s="38">
        <v>695</v>
      </c>
      <c r="J104" s="38">
        <v>50</v>
      </c>
      <c r="K104" s="39"/>
      <c r="L104" s="39"/>
      <c r="M104" s="39"/>
      <c r="N104" s="39"/>
      <c r="O104" s="39"/>
      <c r="P104" s="39"/>
      <c r="Q104" s="39"/>
      <c r="R104" s="39"/>
      <c r="S104" s="39"/>
      <c r="T104" s="39"/>
    </row>
    <row r="105" spans="1:20" ht="15.75">
      <c r="A105" s="13">
        <v>44317</v>
      </c>
      <c r="B105" s="47">
        <v>31</v>
      </c>
      <c r="C105" s="38">
        <v>194.20500000000001</v>
      </c>
      <c r="D105" s="38">
        <v>267.46600000000001</v>
      </c>
      <c r="E105" s="44">
        <v>812.32899999999995</v>
      </c>
      <c r="F105" s="38">
        <v>1274</v>
      </c>
      <c r="G105" s="38">
        <v>75</v>
      </c>
      <c r="H105" s="46">
        <v>600</v>
      </c>
      <c r="I105" s="38">
        <v>695</v>
      </c>
      <c r="J105" s="38">
        <v>50</v>
      </c>
      <c r="K105" s="39"/>
      <c r="L105" s="39"/>
      <c r="M105" s="39"/>
      <c r="N105" s="39"/>
      <c r="O105" s="39"/>
      <c r="P105" s="39"/>
      <c r="Q105" s="39"/>
      <c r="R105" s="39"/>
      <c r="S105" s="39"/>
      <c r="T105" s="39"/>
    </row>
    <row r="106" spans="1:20" ht="15.75">
      <c r="A106" s="13">
        <v>44348</v>
      </c>
      <c r="B106" s="47">
        <v>30</v>
      </c>
      <c r="C106" s="38">
        <v>194.20500000000001</v>
      </c>
      <c r="D106" s="38">
        <v>267.46600000000001</v>
      </c>
      <c r="E106" s="44">
        <v>812.32899999999995</v>
      </c>
      <c r="F106" s="38">
        <v>1274</v>
      </c>
      <c r="G106" s="38">
        <v>50</v>
      </c>
      <c r="H106" s="46">
        <v>600</v>
      </c>
      <c r="I106" s="38">
        <v>695</v>
      </c>
      <c r="J106" s="38">
        <v>50</v>
      </c>
      <c r="K106" s="39"/>
      <c r="L106" s="39"/>
      <c r="M106" s="39"/>
      <c r="N106" s="39"/>
      <c r="O106" s="39"/>
      <c r="P106" s="39"/>
      <c r="Q106" s="39"/>
      <c r="R106" s="39"/>
      <c r="S106" s="39"/>
      <c r="T106" s="39"/>
    </row>
    <row r="107" spans="1:20" ht="15.75">
      <c r="A107" s="13">
        <v>44378</v>
      </c>
      <c r="B107" s="47">
        <v>31</v>
      </c>
      <c r="C107" s="38">
        <v>194.20500000000001</v>
      </c>
      <c r="D107" s="38">
        <v>267.46600000000001</v>
      </c>
      <c r="E107" s="44">
        <v>812.32899999999995</v>
      </c>
      <c r="F107" s="38">
        <v>1274</v>
      </c>
      <c r="G107" s="38">
        <v>50</v>
      </c>
      <c r="H107" s="46">
        <v>600</v>
      </c>
      <c r="I107" s="38">
        <v>695</v>
      </c>
      <c r="J107" s="38">
        <v>0</v>
      </c>
      <c r="K107" s="39"/>
      <c r="L107" s="39"/>
      <c r="M107" s="39"/>
      <c r="N107" s="39"/>
      <c r="O107" s="39"/>
      <c r="P107" s="39"/>
      <c r="Q107" s="39"/>
      <c r="R107" s="39"/>
      <c r="S107" s="39"/>
      <c r="T107" s="39"/>
    </row>
    <row r="108" spans="1:20" ht="15.75">
      <c r="A108" s="13">
        <v>44409</v>
      </c>
      <c r="B108" s="47">
        <v>31</v>
      </c>
      <c r="C108" s="38">
        <v>194.20500000000001</v>
      </c>
      <c r="D108" s="38">
        <v>267.46600000000001</v>
      </c>
      <c r="E108" s="44">
        <v>812.32899999999995</v>
      </c>
      <c r="F108" s="38">
        <v>1274</v>
      </c>
      <c r="G108" s="38">
        <v>50</v>
      </c>
      <c r="H108" s="46">
        <v>600</v>
      </c>
      <c r="I108" s="38">
        <v>695</v>
      </c>
      <c r="J108" s="38">
        <v>0</v>
      </c>
      <c r="K108" s="39"/>
      <c r="L108" s="39"/>
      <c r="M108" s="39"/>
      <c r="N108" s="39"/>
      <c r="O108" s="39"/>
      <c r="P108" s="39"/>
      <c r="Q108" s="39"/>
      <c r="R108" s="39"/>
      <c r="S108" s="39"/>
      <c r="T108" s="39"/>
    </row>
    <row r="109" spans="1:20" ht="15.75">
      <c r="A109" s="13">
        <v>44440</v>
      </c>
      <c r="B109" s="47">
        <v>30</v>
      </c>
      <c r="C109" s="38">
        <v>194.20500000000001</v>
      </c>
      <c r="D109" s="38">
        <v>267.46600000000001</v>
      </c>
      <c r="E109" s="44">
        <v>812.32899999999995</v>
      </c>
      <c r="F109" s="38">
        <v>1274</v>
      </c>
      <c r="G109" s="38">
        <v>50</v>
      </c>
      <c r="H109" s="46">
        <v>600</v>
      </c>
      <c r="I109" s="38">
        <v>695</v>
      </c>
      <c r="J109" s="38">
        <v>0</v>
      </c>
      <c r="K109" s="39"/>
      <c r="L109" s="39"/>
      <c r="M109" s="39"/>
      <c r="N109" s="39"/>
      <c r="O109" s="39"/>
      <c r="P109" s="39"/>
      <c r="Q109" s="39"/>
      <c r="R109" s="39"/>
      <c r="S109" s="39"/>
      <c r="T109" s="39"/>
    </row>
    <row r="110" spans="1:20" ht="15.75">
      <c r="A110" s="13">
        <v>44470</v>
      </c>
      <c r="B110" s="47">
        <v>31</v>
      </c>
      <c r="C110" s="38">
        <v>131.881</v>
      </c>
      <c r="D110" s="38">
        <v>277.16699999999997</v>
      </c>
      <c r="E110" s="44">
        <v>829.952</v>
      </c>
      <c r="F110" s="38">
        <v>1239</v>
      </c>
      <c r="G110" s="38">
        <v>75</v>
      </c>
      <c r="H110" s="46">
        <v>600</v>
      </c>
      <c r="I110" s="38">
        <v>695</v>
      </c>
      <c r="J110" s="38">
        <v>0</v>
      </c>
      <c r="K110" s="39"/>
      <c r="L110" s="39"/>
      <c r="M110" s="39"/>
      <c r="N110" s="39"/>
      <c r="O110" s="39"/>
      <c r="P110" s="39"/>
      <c r="Q110" s="39"/>
      <c r="R110" s="39"/>
      <c r="S110" s="39"/>
      <c r="T110" s="39"/>
    </row>
    <row r="111" spans="1:20" ht="15.75">
      <c r="A111" s="13">
        <v>44501</v>
      </c>
      <c r="B111" s="47">
        <v>30</v>
      </c>
      <c r="C111" s="38">
        <v>122.58</v>
      </c>
      <c r="D111" s="38">
        <v>297.94099999999997</v>
      </c>
      <c r="E111" s="44">
        <v>729.47900000000004</v>
      </c>
      <c r="F111" s="38">
        <v>1150</v>
      </c>
      <c r="G111" s="38">
        <v>100</v>
      </c>
      <c r="H111" s="46">
        <v>600</v>
      </c>
      <c r="I111" s="38">
        <v>695</v>
      </c>
      <c r="J111" s="38">
        <v>50</v>
      </c>
      <c r="K111" s="39"/>
      <c r="L111" s="39"/>
      <c r="M111" s="39"/>
      <c r="N111" s="39"/>
      <c r="O111" s="39"/>
      <c r="P111" s="39"/>
      <c r="Q111" s="39"/>
      <c r="R111" s="39"/>
      <c r="S111" s="39"/>
      <c r="T111" s="39"/>
    </row>
    <row r="112" spans="1:20" ht="15.75">
      <c r="A112" s="13">
        <v>44531</v>
      </c>
      <c r="B112" s="47">
        <v>31</v>
      </c>
      <c r="C112" s="38">
        <v>122.58</v>
      </c>
      <c r="D112" s="38">
        <v>297.94099999999997</v>
      </c>
      <c r="E112" s="44">
        <v>729.47900000000004</v>
      </c>
      <c r="F112" s="38">
        <v>1150</v>
      </c>
      <c r="G112" s="38">
        <v>100</v>
      </c>
      <c r="H112" s="46">
        <v>600</v>
      </c>
      <c r="I112" s="38">
        <v>695</v>
      </c>
      <c r="J112" s="38">
        <v>50</v>
      </c>
      <c r="K112" s="39"/>
      <c r="L112" s="39"/>
      <c r="M112" s="39"/>
      <c r="N112" s="39"/>
      <c r="O112" s="39"/>
      <c r="P112" s="39"/>
      <c r="Q112" s="39"/>
      <c r="R112" s="39"/>
      <c r="S112" s="39"/>
      <c r="T112" s="39"/>
    </row>
    <row r="113" spans="1:20" ht="15.75">
      <c r="A113" s="13">
        <v>44562</v>
      </c>
      <c r="B113" s="47">
        <v>31</v>
      </c>
      <c r="C113" s="38">
        <v>122.58</v>
      </c>
      <c r="D113" s="38">
        <v>297.94099999999997</v>
      </c>
      <c r="E113" s="44">
        <v>729.47900000000004</v>
      </c>
      <c r="F113" s="38">
        <v>1150</v>
      </c>
      <c r="G113" s="38">
        <v>100</v>
      </c>
      <c r="H113" s="46">
        <v>600</v>
      </c>
      <c r="I113" s="38">
        <v>695</v>
      </c>
      <c r="J113" s="38">
        <v>50</v>
      </c>
      <c r="K113" s="39"/>
      <c r="L113" s="39"/>
      <c r="M113" s="39"/>
      <c r="N113" s="39"/>
      <c r="O113" s="39"/>
      <c r="P113" s="39"/>
      <c r="Q113" s="39"/>
      <c r="R113" s="39"/>
      <c r="S113" s="39"/>
      <c r="T113" s="39"/>
    </row>
    <row r="114" spans="1:20" ht="15.75">
      <c r="A114" s="13">
        <v>44593</v>
      </c>
      <c r="B114" s="47">
        <v>28</v>
      </c>
      <c r="C114" s="38">
        <v>122.58</v>
      </c>
      <c r="D114" s="38">
        <v>297.94099999999997</v>
      </c>
      <c r="E114" s="44">
        <v>729.47900000000004</v>
      </c>
      <c r="F114" s="38">
        <v>1150</v>
      </c>
      <c r="G114" s="38">
        <v>100</v>
      </c>
      <c r="H114" s="46">
        <v>600</v>
      </c>
      <c r="I114" s="38">
        <v>695</v>
      </c>
      <c r="J114" s="38">
        <v>50</v>
      </c>
      <c r="K114" s="39"/>
      <c r="L114" s="39"/>
      <c r="M114" s="39"/>
      <c r="N114" s="39"/>
      <c r="O114" s="39"/>
      <c r="P114" s="39"/>
      <c r="Q114" s="39"/>
      <c r="R114" s="39"/>
      <c r="S114" s="39"/>
      <c r="T114" s="39"/>
    </row>
    <row r="115" spans="1:20" ht="15.75">
      <c r="A115" s="13">
        <v>44621</v>
      </c>
      <c r="B115" s="47">
        <v>31</v>
      </c>
      <c r="C115" s="38">
        <v>122.58</v>
      </c>
      <c r="D115" s="38">
        <v>297.94099999999997</v>
      </c>
      <c r="E115" s="44">
        <v>729.47900000000004</v>
      </c>
      <c r="F115" s="38">
        <v>1150</v>
      </c>
      <c r="G115" s="38">
        <v>100</v>
      </c>
      <c r="H115" s="46">
        <v>600</v>
      </c>
      <c r="I115" s="38">
        <v>695</v>
      </c>
      <c r="J115" s="38">
        <v>50</v>
      </c>
      <c r="K115" s="39"/>
      <c r="L115" s="39"/>
      <c r="M115" s="39"/>
      <c r="N115" s="39"/>
      <c r="O115" s="39"/>
      <c r="P115" s="39"/>
      <c r="Q115" s="39"/>
      <c r="R115" s="39"/>
      <c r="S115" s="39"/>
      <c r="T115" s="39"/>
    </row>
    <row r="116" spans="1:20" ht="15.75">
      <c r="A116" s="13">
        <v>44652</v>
      </c>
      <c r="B116" s="47">
        <v>30</v>
      </c>
      <c r="C116" s="38">
        <v>141.29300000000001</v>
      </c>
      <c r="D116" s="38">
        <v>267.99299999999999</v>
      </c>
      <c r="E116" s="44">
        <v>829.71400000000006</v>
      </c>
      <c r="F116" s="38">
        <v>1239</v>
      </c>
      <c r="G116" s="38">
        <v>100</v>
      </c>
      <c r="H116" s="46">
        <v>600</v>
      </c>
      <c r="I116" s="38">
        <v>695</v>
      </c>
      <c r="J116" s="38">
        <v>50</v>
      </c>
      <c r="K116" s="39"/>
      <c r="L116" s="39"/>
      <c r="M116" s="39"/>
      <c r="N116" s="39"/>
      <c r="O116" s="39"/>
      <c r="P116" s="39"/>
      <c r="Q116" s="39"/>
      <c r="R116" s="39"/>
      <c r="S116" s="39"/>
      <c r="T116" s="39"/>
    </row>
    <row r="117" spans="1:20" ht="15.75">
      <c r="A117" s="13">
        <v>44682</v>
      </c>
      <c r="B117" s="47">
        <v>31</v>
      </c>
      <c r="C117" s="38">
        <v>194.20500000000001</v>
      </c>
      <c r="D117" s="38">
        <v>267.46600000000001</v>
      </c>
      <c r="E117" s="44">
        <v>812.32899999999995</v>
      </c>
      <c r="F117" s="38">
        <v>1274</v>
      </c>
      <c r="G117" s="38">
        <v>75</v>
      </c>
      <c r="H117" s="46">
        <v>600</v>
      </c>
      <c r="I117" s="38">
        <v>695</v>
      </c>
      <c r="J117" s="38">
        <v>50</v>
      </c>
      <c r="K117" s="39"/>
      <c r="L117" s="39"/>
      <c r="M117" s="39"/>
      <c r="N117" s="39"/>
      <c r="O117" s="39"/>
      <c r="P117" s="39"/>
      <c r="Q117" s="39"/>
      <c r="R117" s="39"/>
      <c r="S117" s="39"/>
      <c r="T117" s="39"/>
    </row>
    <row r="118" spans="1:20" ht="15.75">
      <c r="A118" s="13">
        <v>44713</v>
      </c>
      <c r="B118" s="47">
        <v>30</v>
      </c>
      <c r="C118" s="38">
        <v>194.20500000000001</v>
      </c>
      <c r="D118" s="38">
        <v>267.46600000000001</v>
      </c>
      <c r="E118" s="44">
        <v>812.32899999999995</v>
      </c>
      <c r="F118" s="38">
        <v>1274</v>
      </c>
      <c r="G118" s="38">
        <v>50</v>
      </c>
      <c r="H118" s="46">
        <v>600</v>
      </c>
      <c r="I118" s="38">
        <v>695</v>
      </c>
      <c r="J118" s="38">
        <v>50</v>
      </c>
      <c r="K118" s="39"/>
      <c r="L118" s="39"/>
      <c r="M118" s="39"/>
      <c r="N118" s="39"/>
      <c r="O118" s="39"/>
      <c r="P118" s="39"/>
      <c r="Q118" s="39"/>
      <c r="R118" s="39"/>
      <c r="S118" s="39"/>
      <c r="T118" s="39"/>
    </row>
    <row r="119" spans="1:20" ht="15.75">
      <c r="A119" s="13">
        <v>44743</v>
      </c>
      <c r="B119" s="47">
        <v>31</v>
      </c>
      <c r="C119" s="38">
        <v>194.20500000000001</v>
      </c>
      <c r="D119" s="38">
        <v>267.46600000000001</v>
      </c>
      <c r="E119" s="44">
        <v>812.32899999999995</v>
      </c>
      <c r="F119" s="38">
        <v>1274</v>
      </c>
      <c r="G119" s="38">
        <v>50</v>
      </c>
      <c r="H119" s="46">
        <v>600</v>
      </c>
      <c r="I119" s="38">
        <v>695</v>
      </c>
      <c r="J119" s="38">
        <v>0</v>
      </c>
      <c r="K119" s="39"/>
      <c r="L119" s="39"/>
      <c r="M119" s="39"/>
      <c r="N119" s="39"/>
      <c r="O119" s="39"/>
      <c r="P119" s="39"/>
      <c r="Q119" s="39"/>
      <c r="R119" s="39"/>
      <c r="S119" s="39"/>
      <c r="T119" s="39"/>
    </row>
    <row r="120" spans="1:20" ht="15.75">
      <c r="A120" s="13">
        <v>44774</v>
      </c>
      <c r="B120" s="47">
        <v>31</v>
      </c>
      <c r="C120" s="38">
        <v>194.20500000000001</v>
      </c>
      <c r="D120" s="38">
        <v>267.46600000000001</v>
      </c>
      <c r="E120" s="44">
        <v>812.32899999999995</v>
      </c>
      <c r="F120" s="38">
        <v>1274</v>
      </c>
      <c r="G120" s="38">
        <v>50</v>
      </c>
      <c r="H120" s="46">
        <v>600</v>
      </c>
      <c r="I120" s="38">
        <v>695</v>
      </c>
      <c r="J120" s="38">
        <v>0</v>
      </c>
      <c r="K120" s="39"/>
      <c r="L120" s="39"/>
      <c r="M120" s="39"/>
      <c r="N120" s="39"/>
      <c r="O120" s="39"/>
      <c r="P120" s="39"/>
      <c r="Q120" s="39"/>
      <c r="R120" s="39"/>
      <c r="S120" s="39"/>
      <c r="T120" s="39"/>
    </row>
    <row r="121" spans="1:20" ht="15.75">
      <c r="A121" s="13">
        <v>44805</v>
      </c>
      <c r="B121" s="47">
        <v>30</v>
      </c>
      <c r="C121" s="38">
        <v>194.20500000000001</v>
      </c>
      <c r="D121" s="38">
        <v>267.46600000000001</v>
      </c>
      <c r="E121" s="44">
        <v>812.32899999999995</v>
      </c>
      <c r="F121" s="38">
        <v>1274</v>
      </c>
      <c r="G121" s="38">
        <v>50</v>
      </c>
      <c r="H121" s="46">
        <v>600</v>
      </c>
      <c r="I121" s="38">
        <v>695</v>
      </c>
      <c r="J121" s="38">
        <v>0</v>
      </c>
      <c r="K121" s="39"/>
      <c r="L121" s="39"/>
      <c r="M121" s="39"/>
      <c r="N121" s="39"/>
      <c r="O121" s="39"/>
      <c r="P121" s="39"/>
      <c r="Q121" s="39"/>
      <c r="R121" s="39"/>
      <c r="S121" s="39"/>
      <c r="T121" s="39"/>
    </row>
    <row r="122" spans="1:20" ht="15.75">
      <c r="A122" s="13">
        <v>44835</v>
      </c>
      <c r="B122" s="47">
        <v>31</v>
      </c>
      <c r="C122" s="38">
        <v>131.881</v>
      </c>
      <c r="D122" s="38">
        <v>277.16699999999997</v>
      </c>
      <c r="E122" s="44">
        <v>829.952</v>
      </c>
      <c r="F122" s="38">
        <v>1239</v>
      </c>
      <c r="G122" s="38">
        <v>75</v>
      </c>
      <c r="H122" s="46">
        <v>600</v>
      </c>
      <c r="I122" s="38">
        <v>695</v>
      </c>
      <c r="J122" s="38">
        <v>0</v>
      </c>
      <c r="K122" s="39"/>
      <c r="L122" s="39"/>
      <c r="M122" s="39"/>
      <c r="N122" s="39"/>
      <c r="O122" s="39"/>
      <c r="P122" s="39"/>
      <c r="Q122" s="39"/>
      <c r="R122" s="39"/>
      <c r="S122" s="39"/>
      <c r="T122" s="39"/>
    </row>
    <row r="123" spans="1:20" ht="15.75">
      <c r="A123" s="13">
        <v>44866</v>
      </c>
      <c r="B123" s="47">
        <v>30</v>
      </c>
      <c r="C123" s="38">
        <v>122.58</v>
      </c>
      <c r="D123" s="38">
        <v>297.94099999999997</v>
      </c>
      <c r="E123" s="44">
        <v>729.47900000000004</v>
      </c>
      <c r="F123" s="38">
        <v>1150</v>
      </c>
      <c r="G123" s="38">
        <v>100</v>
      </c>
      <c r="H123" s="46">
        <v>600</v>
      </c>
      <c r="I123" s="38">
        <v>695</v>
      </c>
      <c r="J123" s="38">
        <v>50</v>
      </c>
      <c r="K123" s="39"/>
      <c r="L123" s="39"/>
      <c r="M123" s="39"/>
      <c r="N123" s="39"/>
      <c r="O123" s="39"/>
      <c r="P123" s="39"/>
      <c r="Q123" s="39"/>
      <c r="R123" s="39"/>
      <c r="S123" s="39"/>
      <c r="T123" s="39"/>
    </row>
    <row r="124" spans="1:20" ht="15.75">
      <c r="A124" s="13">
        <v>44896</v>
      </c>
      <c r="B124" s="47">
        <v>31</v>
      </c>
      <c r="C124" s="38">
        <v>122.58</v>
      </c>
      <c r="D124" s="38">
        <v>297.94099999999997</v>
      </c>
      <c r="E124" s="44">
        <v>729.47900000000004</v>
      </c>
      <c r="F124" s="38">
        <v>1150</v>
      </c>
      <c r="G124" s="38">
        <v>100</v>
      </c>
      <c r="H124" s="46">
        <v>600</v>
      </c>
      <c r="I124" s="38">
        <v>695</v>
      </c>
      <c r="J124" s="38">
        <v>50</v>
      </c>
      <c r="K124" s="39"/>
      <c r="L124" s="39"/>
      <c r="M124" s="39"/>
      <c r="N124" s="39"/>
      <c r="O124" s="39"/>
      <c r="P124" s="39"/>
      <c r="Q124" s="39"/>
      <c r="R124" s="39"/>
      <c r="S124" s="39"/>
      <c r="T124" s="39"/>
    </row>
    <row r="125" spans="1:20" ht="15.75">
      <c r="A125" s="13">
        <v>44927</v>
      </c>
      <c r="B125" s="47">
        <v>31</v>
      </c>
      <c r="C125" s="38">
        <v>122.58</v>
      </c>
      <c r="D125" s="38">
        <v>297.94099999999997</v>
      </c>
      <c r="E125" s="44">
        <v>729.47900000000004</v>
      </c>
      <c r="F125" s="38">
        <v>1150</v>
      </c>
      <c r="G125" s="38">
        <v>100</v>
      </c>
      <c r="H125" s="46">
        <v>600</v>
      </c>
      <c r="I125" s="38">
        <v>695</v>
      </c>
      <c r="J125" s="38">
        <v>50</v>
      </c>
      <c r="K125" s="39"/>
      <c r="L125" s="39"/>
      <c r="M125" s="39"/>
      <c r="N125" s="39"/>
      <c r="O125" s="39"/>
      <c r="P125" s="39"/>
      <c r="Q125" s="39"/>
      <c r="R125" s="39"/>
      <c r="S125" s="39"/>
      <c r="T125" s="39"/>
    </row>
    <row r="126" spans="1:20" ht="15.75">
      <c r="A126" s="13">
        <v>44958</v>
      </c>
      <c r="B126" s="47">
        <v>28</v>
      </c>
      <c r="C126" s="38">
        <v>122.58</v>
      </c>
      <c r="D126" s="38">
        <v>297.94099999999997</v>
      </c>
      <c r="E126" s="44">
        <v>729.47900000000004</v>
      </c>
      <c r="F126" s="38">
        <v>1150</v>
      </c>
      <c r="G126" s="38">
        <v>100</v>
      </c>
      <c r="H126" s="46">
        <v>600</v>
      </c>
      <c r="I126" s="38">
        <v>695</v>
      </c>
      <c r="J126" s="38">
        <v>50</v>
      </c>
      <c r="K126" s="39"/>
      <c r="L126" s="39"/>
      <c r="M126" s="39"/>
      <c r="N126" s="39"/>
      <c r="O126" s="39"/>
      <c r="P126" s="39"/>
      <c r="Q126" s="39"/>
      <c r="R126" s="39"/>
      <c r="S126" s="39"/>
      <c r="T126" s="39"/>
    </row>
    <row r="127" spans="1:20" ht="15.75">
      <c r="A127" s="13">
        <v>44986</v>
      </c>
      <c r="B127" s="47">
        <v>31</v>
      </c>
      <c r="C127" s="38">
        <v>122.58</v>
      </c>
      <c r="D127" s="38">
        <v>297.94099999999997</v>
      </c>
      <c r="E127" s="44">
        <v>729.47900000000004</v>
      </c>
      <c r="F127" s="38">
        <v>1150</v>
      </c>
      <c r="G127" s="38">
        <v>100</v>
      </c>
      <c r="H127" s="46">
        <v>600</v>
      </c>
      <c r="I127" s="38">
        <v>695</v>
      </c>
      <c r="J127" s="38">
        <v>50</v>
      </c>
      <c r="K127" s="39"/>
      <c r="L127" s="39"/>
      <c r="M127" s="39"/>
      <c r="N127" s="39"/>
      <c r="O127" s="39"/>
      <c r="P127" s="39"/>
      <c r="Q127" s="39"/>
      <c r="R127" s="39"/>
      <c r="S127" s="39"/>
      <c r="T127" s="39"/>
    </row>
    <row r="128" spans="1:20" ht="15.75">
      <c r="A128" s="13">
        <v>45017</v>
      </c>
      <c r="B128" s="47">
        <v>30</v>
      </c>
      <c r="C128" s="38">
        <v>141.29300000000001</v>
      </c>
      <c r="D128" s="38">
        <v>267.99299999999999</v>
      </c>
      <c r="E128" s="44">
        <v>829.71400000000006</v>
      </c>
      <c r="F128" s="38">
        <v>1239</v>
      </c>
      <c r="G128" s="38">
        <v>100</v>
      </c>
      <c r="H128" s="46">
        <v>600</v>
      </c>
      <c r="I128" s="38">
        <v>695</v>
      </c>
      <c r="J128" s="38">
        <v>50</v>
      </c>
      <c r="K128" s="39"/>
      <c r="L128" s="39"/>
      <c r="M128" s="39"/>
      <c r="N128" s="39"/>
      <c r="O128" s="39"/>
      <c r="P128" s="39"/>
      <c r="Q128" s="39"/>
      <c r="R128" s="39"/>
      <c r="S128" s="39"/>
      <c r="T128" s="39"/>
    </row>
    <row r="129" spans="1:20" ht="15.75">
      <c r="A129" s="13">
        <v>45047</v>
      </c>
      <c r="B129" s="47">
        <v>31</v>
      </c>
      <c r="C129" s="38">
        <v>194.20500000000001</v>
      </c>
      <c r="D129" s="38">
        <v>267.46600000000001</v>
      </c>
      <c r="E129" s="44">
        <v>812.32899999999995</v>
      </c>
      <c r="F129" s="38">
        <v>1274</v>
      </c>
      <c r="G129" s="38">
        <v>75</v>
      </c>
      <c r="H129" s="46">
        <v>600</v>
      </c>
      <c r="I129" s="38">
        <v>695</v>
      </c>
      <c r="J129" s="38">
        <v>50</v>
      </c>
      <c r="K129" s="39"/>
      <c r="L129" s="39"/>
      <c r="M129" s="39"/>
      <c r="N129" s="39"/>
      <c r="O129" s="39"/>
      <c r="P129" s="39"/>
      <c r="Q129" s="39"/>
      <c r="R129" s="39"/>
      <c r="S129" s="39"/>
      <c r="T129" s="39"/>
    </row>
    <row r="130" spans="1:20" ht="15.75">
      <c r="A130" s="13">
        <v>45078</v>
      </c>
      <c r="B130" s="47">
        <v>30</v>
      </c>
      <c r="C130" s="38">
        <v>194.20500000000001</v>
      </c>
      <c r="D130" s="38">
        <v>267.46600000000001</v>
      </c>
      <c r="E130" s="44">
        <v>812.32899999999995</v>
      </c>
      <c r="F130" s="38">
        <v>1274</v>
      </c>
      <c r="G130" s="38">
        <v>50</v>
      </c>
      <c r="H130" s="46">
        <v>600</v>
      </c>
      <c r="I130" s="38">
        <v>695</v>
      </c>
      <c r="J130" s="38">
        <v>50</v>
      </c>
      <c r="K130" s="39"/>
      <c r="L130" s="39"/>
      <c r="M130" s="39"/>
      <c r="N130" s="39"/>
      <c r="O130" s="39"/>
      <c r="P130" s="39"/>
      <c r="Q130" s="39"/>
      <c r="R130" s="39"/>
      <c r="S130" s="39"/>
      <c r="T130" s="39"/>
    </row>
    <row r="131" spans="1:20" ht="15.75">
      <c r="A131" s="13">
        <v>45108</v>
      </c>
      <c r="B131" s="47">
        <v>31</v>
      </c>
      <c r="C131" s="38">
        <v>194.20500000000001</v>
      </c>
      <c r="D131" s="38">
        <v>267.46600000000001</v>
      </c>
      <c r="E131" s="44">
        <v>812.32899999999995</v>
      </c>
      <c r="F131" s="38">
        <v>1274</v>
      </c>
      <c r="G131" s="38">
        <v>50</v>
      </c>
      <c r="H131" s="46">
        <v>600</v>
      </c>
      <c r="I131" s="38">
        <v>695</v>
      </c>
      <c r="J131" s="38">
        <v>0</v>
      </c>
      <c r="K131" s="39"/>
      <c r="L131" s="39"/>
      <c r="M131" s="39"/>
      <c r="N131" s="39"/>
      <c r="O131" s="39"/>
      <c r="P131" s="39"/>
      <c r="Q131" s="39"/>
      <c r="R131" s="39"/>
      <c r="S131" s="39"/>
      <c r="T131" s="39"/>
    </row>
    <row r="132" spans="1:20" ht="15.75">
      <c r="A132" s="13">
        <v>45139</v>
      </c>
      <c r="B132" s="47">
        <v>31</v>
      </c>
      <c r="C132" s="38">
        <v>194.20500000000001</v>
      </c>
      <c r="D132" s="38">
        <v>267.46600000000001</v>
      </c>
      <c r="E132" s="44">
        <v>812.32899999999995</v>
      </c>
      <c r="F132" s="38">
        <v>1274</v>
      </c>
      <c r="G132" s="38">
        <v>50</v>
      </c>
      <c r="H132" s="46">
        <v>600</v>
      </c>
      <c r="I132" s="38">
        <v>695</v>
      </c>
      <c r="J132" s="38">
        <v>0</v>
      </c>
      <c r="K132" s="39"/>
      <c r="L132" s="39"/>
      <c r="M132" s="39"/>
      <c r="N132" s="39"/>
      <c r="O132" s="39"/>
      <c r="P132" s="39"/>
      <c r="Q132" s="39"/>
      <c r="R132" s="39"/>
      <c r="S132" s="39"/>
      <c r="T132" s="39"/>
    </row>
    <row r="133" spans="1:20" ht="15.75">
      <c r="A133" s="13">
        <v>45170</v>
      </c>
      <c r="B133" s="47">
        <v>30</v>
      </c>
      <c r="C133" s="38">
        <v>194.20500000000001</v>
      </c>
      <c r="D133" s="38">
        <v>267.46600000000001</v>
      </c>
      <c r="E133" s="44">
        <v>812.32899999999995</v>
      </c>
      <c r="F133" s="38">
        <v>1274</v>
      </c>
      <c r="G133" s="38">
        <v>50</v>
      </c>
      <c r="H133" s="46">
        <v>600</v>
      </c>
      <c r="I133" s="38">
        <v>695</v>
      </c>
      <c r="J133" s="38">
        <v>0</v>
      </c>
      <c r="K133" s="39"/>
      <c r="L133" s="39"/>
      <c r="M133" s="39"/>
      <c r="N133" s="39"/>
      <c r="O133" s="39"/>
      <c r="P133" s="39"/>
      <c r="Q133" s="39"/>
      <c r="R133" s="39"/>
      <c r="S133" s="39"/>
      <c r="T133" s="39"/>
    </row>
    <row r="134" spans="1:20" ht="15.75">
      <c r="A134" s="13">
        <v>45200</v>
      </c>
      <c r="B134" s="47">
        <v>31</v>
      </c>
      <c r="C134" s="38">
        <v>131.881</v>
      </c>
      <c r="D134" s="38">
        <v>277.16699999999997</v>
      </c>
      <c r="E134" s="44">
        <v>829.952</v>
      </c>
      <c r="F134" s="38">
        <v>1239</v>
      </c>
      <c r="G134" s="38">
        <v>75</v>
      </c>
      <c r="H134" s="46">
        <v>600</v>
      </c>
      <c r="I134" s="38">
        <v>695</v>
      </c>
      <c r="J134" s="38">
        <v>0</v>
      </c>
      <c r="K134" s="39"/>
      <c r="L134" s="39"/>
      <c r="M134" s="39"/>
      <c r="N134" s="39"/>
      <c r="O134" s="39"/>
      <c r="P134" s="39"/>
      <c r="Q134" s="39"/>
      <c r="R134" s="39"/>
      <c r="S134" s="39"/>
      <c r="T134" s="39"/>
    </row>
    <row r="135" spans="1:20" ht="15.75">
      <c r="A135" s="13">
        <v>45231</v>
      </c>
      <c r="B135" s="47">
        <v>30</v>
      </c>
      <c r="C135" s="38">
        <v>122.58</v>
      </c>
      <c r="D135" s="38">
        <v>297.94099999999997</v>
      </c>
      <c r="E135" s="44">
        <v>729.47900000000004</v>
      </c>
      <c r="F135" s="38">
        <v>1150</v>
      </c>
      <c r="G135" s="38">
        <v>100</v>
      </c>
      <c r="H135" s="46">
        <v>600</v>
      </c>
      <c r="I135" s="38">
        <v>695</v>
      </c>
      <c r="J135" s="38">
        <v>50</v>
      </c>
      <c r="K135" s="39"/>
      <c r="L135" s="39"/>
      <c r="M135" s="39"/>
      <c r="N135" s="39"/>
      <c r="O135" s="39"/>
      <c r="P135" s="39"/>
      <c r="Q135" s="39"/>
      <c r="R135" s="39"/>
      <c r="S135" s="39"/>
      <c r="T135" s="39"/>
    </row>
    <row r="136" spans="1:20" ht="15.75">
      <c r="A136" s="13">
        <v>45261</v>
      </c>
      <c r="B136" s="47">
        <v>31</v>
      </c>
      <c r="C136" s="38">
        <v>122.58</v>
      </c>
      <c r="D136" s="38">
        <v>297.94099999999997</v>
      </c>
      <c r="E136" s="44">
        <v>729.47900000000004</v>
      </c>
      <c r="F136" s="38">
        <v>1150</v>
      </c>
      <c r="G136" s="38">
        <v>100</v>
      </c>
      <c r="H136" s="46">
        <v>600</v>
      </c>
      <c r="I136" s="38">
        <v>695</v>
      </c>
      <c r="J136" s="38">
        <v>50</v>
      </c>
      <c r="K136" s="39"/>
      <c r="L136" s="39"/>
      <c r="M136" s="39"/>
      <c r="N136" s="39"/>
      <c r="O136" s="39"/>
      <c r="P136" s="39"/>
      <c r="Q136" s="39"/>
      <c r="R136" s="39"/>
      <c r="S136" s="39"/>
      <c r="T136" s="39"/>
    </row>
    <row r="137" spans="1:20" ht="15.75">
      <c r="A137" s="13">
        <v>45292</v>
      </c>
      <c r="B137" s="47">
        <v>31</v>
      </c>
      <c r="C137" s="38">
        <v>122.58</v>
      </c>
      <c r="D137" s="38">
        <v>297.94099999999997</v>
      </c>
      <c r="E137" s="44">
        <v>729.47900000000004</v>
      </c>
      <c r="F137" s="38">
        <v>1150</v>
      </c>
      <c r="G137" s="38">
        <v>100</v>
      </c>
      <c r="H137" s="46">
        <v>600</v>
      </c>
      <c r="I137" s="38">
        <v>695</v>
      </c>
      <c r="J137" s="38">
        <v>50</v>
      </c>
      <c r="K137" s="39"/>
      <c r="L137" s="39"/>
      <c r="M137" s="39"/>
      <c r="N137" s="39"/>
      <c r="O137" s="39"/>
      <c r="P137" s="39"/>
      <c r="Q137" s="39"/>
      <c r="R137" s="39"/>
      <c r="S137" s="39"/>
      <c r="T137" s="39"/>
    </row>
    <row r="138" spans="1:20" ht="15.75">
      <c r="A138" s="13">
        <v>45323</v>
      </c>
      <c r="B138" s="47">
        <v>29</v>
      </c>
      <c r="C138" s="38">
        <v>122.58</v>
      </c>
      <c r="D138" s="38">
        <v>297.94099999999997</v>
      </c>
      <c r="E138" s="44">
        <v>729.47900000000004</v>
      </c>
      <c r="F138" s="38">
        <v>1150</v>
      </c>
      <c r="G138" s="38">
        <v>100</v>
      </c>
      <c r="H138" s="46">
        <v>600</v>
      </c>
      <c r="I138" s="38">
        <v>695</v>
      </c>
      <c r="J138" s="38">
        <v>50</v>
      </c>
      <c r="K138" s="39"/>
      <c r="L138" s="39"/>
      <c r="M138" s="39"/>
      <c r="N138" s="39"/>
      <c r="O138" s="39"/>
      <c r="P138" s="39"/>
      <c r="Q138" s="39"/>
      <c r="R138" s="39"/>
      <c r="S138" s="39"/>
      <c r="T138" s="39"/>
    </row>
    <row r="139" spans="1:20" ht="15.75">
      <c r="A139" s="13">
        <v>45352</v>
      </c>
      <c r="B139" s="47">
        <v>31</v>
      </c>
      <c r="C139" s="38">
        <v>122.58</v>
      </c>
      <c r="D139" s="38">
        <v>297.94099999999997</v>
      </c>
      <c r="E139" s="44">
        <v>729.47900000000004</v>
      </c>
      <c r="F139" s="38">
        <v>1150</v>
      </c>
      <c r="G139" s="38">
        <v>100</v>
      </c>
      <c r="H139" s="46">
        <v>600</v>
      </c>
      <c r="I139" s="38">
        <v>695</v>
      </c>
      <c r="J139" s="38">
        <v>50</v>
      </c>
      <c r="K139" s="39"/>
      <c r="L139" s="39"/>
      <c r="M139" s="39"/>
      <c r="N139" s="39"/>
      <c r="O139" s="39"/>
      <c r="P139" s="39"/>
      <c r="Q139" s="39"/>
      <c r="R139" s="39"/>
      <c r="S139" s="39"/>
      <c r="T139" s="39"/>
    </row>
    <row r="140" spans="1:20" ht="15.75">
      <c r="A140" s="13">
        <v>45383</v>
      </c>
      <c r="B140" s="47">
        <v>30</v>
      </c>
      <c r="C140" s="38">
        <v>141.29300000000001</v>
      </c>
      <c r="D140" s="38">
        <v>267.99299999999999</v>
      </c>
      <c r="E140" s="44">
        <v>829.71400000000006</v>
      </c>
      <c r="F140" s="38">
        <v>1239</v>
      </c>
      <c r="G140" s="38">
        <v>100</v>
      </c>
      <c r="H140" s="46">
        <v>600</v>
      </c>
      <c r="I140" s="38">
        <v>695</v>
      </c>
      <c r="J140" s="38">
        <v>50</v>
      </c>
      <c r="K140" s="39"/>
      <c r="L140" s="39"/>
      <c r="M140" s="39"/>
      <c r="N140" s="39"/>
      <c r="O140" s="39"/>
      <c r="P140" s="39"/>
      <c r="Q140" s="39"/>
      <c r="R140" s="39"/>
      <c r="S140" s="39"/>
      <c r="T140" s="39"/>
    </row>
    <row r="141" spans="1:20" ht="15.75">
      <c r="A141" s="13">
        <v>45413</v>
      </c>
      <c r="B141" s="47">
        <v>31</v>
      </c>
      <c r="C141" s="38">
        <v>194.20500000000001</v>
      </c>
      <c r="D141" s="38">
        <v>267.46600000000001</v>
      </c>
      <c r="E141" s="44">
        <v>812.32899999999995</v>
      </c>
      <c r="F141" s="38">
        <v>1274</v>
      </c>
      <c r="G141" s="38">
        <v>75</v>
      </c>
      <c r="H141" s="46">
        <v>600</v>
      </c>
      <c r="I141" s="38">
        <v>695</v>
      </c>
      <c r="J141" s="38">
        <v>50</v>
      </c>
      <c r="K141" s="39"/>
      <c r="L141" s="39"/>
      <c r="M141" s="39"/>
      <c r="N141" s="39"/>
      <c r="O141" s="39"/>
      <c r="P141" s="39"/>
      <c r="Q141" s="39"/>
      <c r="R141" s="39"/>
      <c r="S141" s="39"/>
      <c r="T141" s="39"/>
    </row>
    <row r="142" spans="1:20" ht="15.75">
      <c r="A142" s="13">
        <v>45444</v>
      </c>
      <c r="B142" s="47">
        <v>30</v>
      </c>
      <c r="C142" s="38">
        <v>194.20500000000001</v>
      </c>
      <c r="D142" s="38">
        <v>267.46600000000001</v>
      </c>
      <c r="E142" s="44">
        <v>812.32899999999995</v>
      </c>
      <c r="F142" s="38">
        <v>1274</v>
      </c>
      <c r="G142" s="38">
        <v>50</v>
      </c>
      <c r="H142" s="46">
        <v>600</v>
      </c>
      <c r="I142" s="38">
        <v>695</v>
      </c>
      <c r="J142" s="38">
        <v>50</v>
      </c>
      <c r="K142" s="39"/>
      <c r="L142" s="39"/>
      <c r="M142" s="39"/>
      <c r="N142" s="39"/>
      <c r="O142" s="39"/>
      <c r="P142" s="39"/>
      <c r="Q142" s="39"/>
      <c r="R142" s="39"/>
      <c r="S142" s="39"/>
      <c r="T142" s="39"/>
    </row>
    <row r="143" spans="1:20" ht="15.75">
      <c r="A143" s="13">
        <v>45474</v>
      </c>
      <c r="B143" s="47">
        <v>31</v>
      </c>
      <c r="C143" s="38">
        <v>194.20500000000001</v>
      </c>
      <c r="D143" s="38">
        <v>267.46600000000001</v>
      </c>
      <c r="E143" s="44">
        <v>812.32899999999995</v>
      </c>
      <c r="F143" s="38">
        <v>1274</v>
      </c>
      <c r="G143" s="38">
        <v>50</v>
      </c>
      <c r="H143" s="46">
        <v>600</v>
      </c>
      <c r="I143" s="38">
        <v>695</v>
      </c>
      <c r="J143" s="38">
        <v>0</v>
      </c>
      <c r="K143" s="39"/>
      <c r="L143" s="39"/>
      <c r="M143" s="39"/>
      <c r="N143" s="39"/>
      <c r="O143" s="39"/>
      <c r="P143" s="39"/>
      <c r="Q143" s="39"/>
      <c r="R143" s="39"/>
      <c r="S143" s="39"/>
      <c r="T143" s="39"/>
    </row>
    <row r="144" spans="1:20" ht="15.75">
      <c r="A144" s="13">
        <v>45505</v>
      </c>
      <c r="B144" s="47">
        <v>31</v>
      </c>
      <c r="C144" s="38">
        <v>194.20500000000001</v>
      </c>
      <c r="D144" s="38">
        <v>267.46600000000001</v>
      </c>
      <c r="E144" s="44">
        <v>812.32899999999995</v>
      </c>
      <c r="F144" s="38">
        <v>1274</v>
      </c>
      <c r="G144" s="38">
        <v>50</v>
      </c>
      <c r="H144" s="46">
        <v>600</v>
      </c>
      <c r="I144" s="38">
        <v>695</v>
      </c>
      <c r="J144" s="38">
        <v>0</v>
      </c>
      <c r="K144" s="39"/>
      <c r="L144" s="39"/>
      <c r="M144" s="39"/>
      <c r="N144" s="39"/>
      <c r="O144" s="39"/>
      <c r="P144" s="39"/>
      <c r="Q144" s="39"/>
      <c r="R144" s="39"/>
      <c r="S144" s="39"/>
      <c r="T144" s="39"/>
    </row>
    <row r="145" spans="1:20" ht="15.75">
      <c r="A145" s="13">
        <v>45536</v>
      </c>
      <c r="B145" s="47">
        <v>30</v>
      </c>
      <c r="C145" s="38">
        <v>194.20500000000001</v>
      </c>
      <c r="D145" s="38">
        <v>267.46600000000001</v>
      </c>
      <c r="E145" s="44">
        <v>812.32899999999995</v>
      </c>
      <c r="F145" s="38">
        <v>1274</v>
      </c>
      <c r="G145" s="38">
        <v>50</v>
      </c>
      <c r="H145" s="46">
        <v>600</v>
      </c>
      <c r="I145" s="38">
        <v>695</v>
      </c>
      <c r="J145" s="38">
        <v>0</v>
      </c>
      <c r="K145" s="39"/>
      <c r="L145" s="39"/>
      <c r="M145" s="39"/>
      <c r="N145" s="39"/>
      <c r="O145" s="39"/>
      <c r="P145" s="39"/>
      <c r="Q145" s="39"/>
      <c r="R145" s="39"/>
      <c r="S145" s="39"/>
      <c r="T145" s="39"/>
    </row>
    <row r="146" spans="1:20" ht="15.75">
      <c r="A146" s="13">
        <v>45566</v>
      </c>
      <c r="B146" s="47">
        <v>31</v>
      </c>
      <c r="C146" s="38">
        <v>131.881</v>
      </c>
      <c r="D146" s="38">
        <v>277.16699999999997</v>
      </c>
      <c r="E146" s="44">
        <v>829.952</v>
      </c>
      <c r="F146" s="38">
        <v>1239</v>
      </c>
      <c r="G146" s="38">
        <v>75</v>
      </c>
      <c r="H146" s="46">
        <v>600</v>
      </c>
      <c r="I146" s="38">
        <v>695</v>
      </c>
      <c r="J146" s="38">
        <v>0</v>
      </c>
      <c r="K146" s="39"/>
      <c r="L146" s="39"/>
      <c r="M146" s="39"/>
      <c r="N146" s="39"/>
      <c r="O146" s="39"/>
      <c r="P146" s="39"/>
      <c r="Q146" s="39"/>
      <c r="R146" s="39"/>
      <c r="S146" s="39"/>
      <c r="T146" s="39"/>
    </row>
    <row r="147" spans="1:20" ht="15.75">
      <c r="A147" s="13">
        <v>45597</v>
      </c>
      <c r="B147" s="47">
        <v>30</v>
      </c>
      <c r="C147" s="38">
        <v>122.58</v>
      </c>
      <c r="D147" s="38">
        <v>297.94099999999997</v>
      </c>
      <c r="E147" s="44">
        <v>729.47900000000004</v>
      </c>
      <c r="F147" s="38">
        <v>1150</v>
      </c>
      <c r="G147" s="38">
        <v>100</v>
      </c>
      <c r="H147" s="46">
        <v>600</v>
      </c>
      <c r="I147" s="38">
        <v>695</v>
      </c>
      <c r="J147" s="38">
        <v>50</v>
      </c>
      <c r="K147" s="39"/>
      <c r="L147" s="39"/>
      <c r="M147" s="39"/>
      <c r="N147" s="39"/>
      <c r="O147" s="39"/>
      <c r="P147" s="39"/>
      <c r="Q147" s="39"/>
      <c r="R147" s="39"/>
      <c r="S147" s="39"/>
      <c r="T147" s="39"/>
    </row>
    <row r="148" spans="1:20" ht="15.75">
      <c r="A148" s="13">
        <v>45627</v>
      </c>
      <c r="B148" s="47">
        <v>31</v>
      </c>
      <c r="C148" s="38">
        <v>122.58</v>
      </c>
      <c r="D148" s="38">
        <v>297.94099999999997</v>
      </c>
      <c r="E148" s="44">
        <v>729.47900000000004</v>
      </c>
      <c r="F148" s="38">
        <v>1150</v>
      </c>
      <c r="G148" s="38">
        <v>100</v>
      </c>
      <c r="H148" s="46">
        <v>600</v>
      </c>
      <c r="I148" s="38">
        <v>695</v>
      </c>
      <c r="J148" s="38">
        <v>50</v>
      </c>
      <c r="K148" s="39"/>
      <c r="L148" s="39"/>
      <c r="M148" s="39"/>
      <c r="N148" s="39"/>
      <c r="O148" s="39"/>
      <c r="P148" s="39"/>
      <c r="Q148" s="39"/>
      <c r="R148" s="39"/>
      <c r="S148" s="39"/>
      <c r="T148" s="39"/>
    </row>
    <row r="149" spans="1:20" ht="15.75">
      <c r="A149" s="13">
        <v>45658</v>
      </c>
      <c r="B149" s="47">
        <v>31</v>
      </c>
      <c r="C149" s="38">
        <v>122.58</v>
      </c>
      <c r="D149" s="38">
        <v>297.94099999999997</v>
      </c>
      <c r="E149" s="44">
        <v>729.47900000000004</v>
      </c>
      <c r="F149" s="38">
        <v>1150</v>
      </c>
      <c r="G149" s="38">
        <v>100</v>
      </c>
      <c r="H149" s="46">
        <v>600</v>
      </c>
      <c r="I149" s="38">
        <v>695</v>
      </c>
      <c r="J149" s="38">
        <v>50</v>
      </c>
      <c r="K149" s="39"/>
      <c r="L149" s="39"/>
      <c r="M149" s="39"/>
      <c r="N149" s="39"/>
      <c r="O149" s="39"/>
      <c r="P149" s="39"/>
      <c r="Q149" s="39"/>
      <c r="R149" s="39"/>
      <c r="S149" s="39"/>
      <c r="T149" s="39"/>
    </row>
    <row r="150" spans="1:20" ht="15.75">
      <c r="A150" s="13">
        <v>45689</v>
      </c>
      <c r="B150" s="47">
        <v>28</v>
      </c>
      <c r="C150" s="38">
        <v>122.58</v>
      </c>
      <c r="D150" s="38">
        <v>297.94099999999997</v>
      </c>
      <c r="E150" s="44">
        <v>729.47900000000004</v>
      </c>
      <c r="F150" s="38">
        <v>1150</v>
      </c>
      <c r="G150" s="38">
        <v>100</v>
      </c>
      <c r="H150" s="46">
        <v>600</v>
      </c>
      <c r="I150" s="38">
        <v>695</v>
      </c>
      <c r="J150" s="38">
        <v>50</v>
      </c>
      <c r="K150" s="39"/>
      <c r="L150" s="39"/>
      <c r="M150" s="39"/>
      <c r="N150" s="39"/>
      <c r="O150" s="39"/>
      <c r="P150" s="39"/>
      <c r="Q150" s="39"/>
      <c r="R150" s="39"/>
      <c r="S150" s="39"/>
      <c r="T150" s="39"/>
    </row>
    <row r="151" spans="1:20" ht="15.75">
      <c r="A151" s="13">
        <v>45717</v>
      </c>
      <c r="B151" s="47">
        <v>31</v>
      </c>
      <c r="C151" s="38">
        <v>122.58</v>
      </c>
      <c r="D151" s="38">
        <v>297.94099999999997</v>
      </c>
      <c r="E151" s="44">
        <v>729.47900000000004</v>
      </c>
      <c r="F151" s="38">
        <v>1150</v>
      </c>
      <c r="G151" s="38">
        <v>100</v>
      </c>
      <c r="H151" s="46">
        <v>600</v>
      </c>
      <c r="I151" s="38">
        <v>695</v>
      </c>
      <c r="J151" s="38">
        <v>50</v>
      </c>
      <c r="K151" s="39"/>
      <c r="L151" s="39"/>
      <c r="M151" s="39"/>
      <c r="N151" s="39"/>
      <c r="O151" s="39"/>
      <c r="P151" s="39"/>
      <c r="Q151" s="39"/>
      <c r="R151" s="39"/>
      <c r="S151" s="39"/>
      <c r="T151" s="39"/>
    </row>
    <row r="152" spans="1:20" ht="15.75">
      <c r="A152" s="13">
        <v>45748</v>
      </c>
      <c r="B152" s="47">
        <v>30</v>
      </c>
      <c r="C152" s="38">
        <v>141.29300000000001</v>
      </c>
      <c r="D152" s="38">
        <v>267.99299999999999</v>
      </c>
      <c r="E152" s="44">
        <v>829.71400000000006</v>
      </c>
      <c r="F152" s="38">
        <v>1239</v>
      </c>
      <c r="G152" s="38">
        <v>100</v>
      </c>
      <c r="H152" s="46">
        <v>600</v>
      </c>
      <c r="I152" s="38">
        <v>695</v>
      </c>
      <c r="J152" s="38">
        <v>50</v>
      </c>
      <c r="K152" s="39"/>
      <c r="L152" s="39"/>
      <c r="M152" s="39"/>
      <c r="N152" s="39"/>
      <c r="O152" s="39"/>
      <c r="P152" s="39"/>
      <c r="Q152" s="39"/>
      <c r="R152" s="39"/>
      <c r="S152" s="39"/>
      <c r="T152" s="39"/>
    </row>
    <row r="153" spans="1:20" ht="15.75">
      <c r="A153" s="13">
        <v>45778</v>
      </c>
      <c r="B153" s="47">
        <v>31</v>
      </c>
      <c r="C153" s="38">
        <v>194.20500000000001</v>
      </c>
      <c r="D153" s="38">
        <v>267.46600000000001</v>
      </c>
      <c r="E153" s="44">
        <v>812.32899999999995</v>
      </c>
      <c r="F153" s="38">
        <v>1274</v>
      </c>
      <c r="G153" s="38">
        <v>75</v>
      </c>
      <c r="H153" s="46">
        <v>600</v>
      </c>
      <c r="I153" s="38">
        <v>695</v>
      </c>
      <c r="J153" s="38">
        <v>50</v>
      </c>
      <c r="K153" s="39"/>
      <c r="L153" s="39"/>
      <c r="M153" s="39"/>
      <c r="N153" s="39"/>
      <c r="O153" s="39"/>
      <c r="P153" s="39"/>
      <c r="Q153" s="39"/>
      <c r="R153" s="39"/>
      <c r="S153" s="39"/>
      <c r="T153" s="39"/>
    </row>
    <row r="154" spans="1:20" ht="15.75">
      <c r="A154" s="13">
        <v>45809</v>
      </c>
      <c r="B154" s="47">
        <v>30</v>
      </c>
      <c r="C154" s="38">
        <v>194.20500000000001</v>
      </c>
      <c r="D154" s="38">
        <v>267.46600000000001</v>
      </c>
      <c r="E154" s="44">
        <v>812.32899999999995</v>
      </c>
      <c r="F154" s="38">
        <v>1274</v>
      </c>
      <c r="G154" s="38">
        <v>50</v>
      </c>
      <c r="H154" s="46">
        <v>600</v>
      </c>
      <c r="I154" s="38">
        <v>695</v>
      </c>
      <c r="J154" s="38">
        <v>50</v>
      </c>
      <c r="K154" s="39"/>
      <c r="L154" s="39"/>
      <c r="M154" s="39"/>
      <c r="N154" s="39"/>
      <c r="O154" s="39"/>
      <c r="P154" s="39"/>
      <c r="Q154" s="39"/>
      <c r="R154" s="39"/>
      <c r="S154" s="39"/>
      <c r="T154" s="39"/>
    </row>
    <row r="155" spans="1:20" ht="15.75">
      <c r="A155" s="13">
        <v>45839</v>
      </c>
      <c r="B155" s="47">
        <v>31</v>
      </c>
      <c r="C155" s="38">
        <v>194.20500000000001</v>
      </c>
      <c r="D155" s="38">
        <v>267.46600000000001</v>
      </c>
      <c r="E155" s="44">
        <v>812.32899999999995</v>
      </c>
      <c r="F155" s="38">
        <v>1274</v>
      </c>
      <c r="G155" s="38">
        <v>50</v>
      </c>
      <c r="H155" s="46">
        <v>600</v>
      </c>
      <c r="I155" s="38">
        <v>695</v>
      </c>
      <c r="J155" s="38">
        <v>0</v>
      </c>
      <c r="K155" s="39"/>
      <c r="L155" s="39"/>
      <c r="M155" s="39"/>
      <c r="N155" s="39"/>
      <c r="O155" s="39"/>
      <c r="P155" s="39"/>
      <c r="Q155" s="39"/>
      <c r="R155" s="39"/>
      <c r="S155" s="39"/>
      <c r="T155" s="39"/>
    </row>
    <row r="156" spans="1:20" ht="15.75">
      <c r="A156" s="13">
        <v>45870</v>
      </c>
      <c r="B156" s="47">
        <v>31</v>
      </c>
      <c r="C156" s="38">
        <v>194.20500000000001</v>
      </c>
      <c r="D156" s="38">
        <v>267.46600000000001</v>
      </c>
      <c r="E156" s="44">
        <v>812.32899999999995</v>
      </c>
      <c r="F156" s="38">
        <v>1274</v>
      </c>
      <c r="G156" s="38">
        <v>50</v>
      </c>
      <c r="H156" s="46">
        <v>600</v>
      </c>
      <c r="I156" s="38">
        <v>695</v>
      </c>
      <c r="J156" s="38">
        <v>0</v>
      </c>
      <c r="K156" s="39"/>
      <c r="L156" s="39"/>
      <c r="M156" s="39"/>
      <c r="N156" s="39"/>
      <c r="O156" s="39"/>
      <c r="P156" s="39"/>
      <c r="Q156" s="39"/>
      <c r="R156" s="39"/>
      <c r="S156" s="39"/>
      <c r="T156" s="39"/>
    </row>
    <row r="157" spans="1:20" ht="15.75">
      <c r="A157" s="13">
        <v>45901</v>
      </c>
      <c r="B157" s="47">
        <v>30</v>
      </c>
      <c r="C157" s="38">
        <v>194.20500000000001</v>
      </c>
      <c r="D157" s="38">
        <v>267.46600000000001</v>
      </c>
      <c r="E157" s="44">
        <v>812.32899999999995</v>
      </c>
      <c r="F157" s="38">
        <v>1274</v>
      </c>
      <c r="G157" s="38">
        <v>50</v>
      </c>
      <c r="H157" s="46">
        <v>600</v>
      </c>
      <c r="I157" s="38">
        <v>695</v>
      </c>
      <c r="J157" s="38">
        <v>0</v>
      </c>
      <c r="K157" s="39"/>
      <c r="L157" s="39"/>
      <c r="M157" s="39"/>
      <c r="N157" s="39"/>
      <c r="O157" s="39"/>
      <c r="P157" s="39"/>
      <c r="Q157" s="39"/>
      <c r="R157" s="39"/>
      <c r="S157" s="39"/>
      <c r="T157" s="39"/>
    </row>
    <row r="158" spans="1:20" ht="15.75">
      <c r="A158" s="13">
        <v>45931</v>
      </c>
      <c r="B158" s="47">
        <v>31</v>
      </c>
      <c r="C158" s="38">
        <v>131.881</v>
      </c>
      <c r="D158" s="38">
        <v>277.16699999999997</v>
      </c>
      <c r="E158" s="44">
        <v>829.952</v>
      </c>
      <c r="F158" s="38">
        <v>1239</v>
      </c>
      <c r="G158" s="38">
        <v>75</v>
      </c>
      <c r="H158" s="46">
        <v>600</v>
      </c>
      <c r="I158" s="38">
        <v>695</v>
      </c>
      <c r="J158" s="38">
        <v>0</v>
      </c>
      <c r="K158" s="39"/>
      <c r="L158" s="39"/>
      <c r="M158" s="39"/>
      <c r="N158" s="39"/>
      <c r="O158" s="39"/>
      <c r="P158" s="39"/>
      <c r="Q158" s="39"/>
      <c r="R158" s="39"/>
      <c r="S158" s="39"/>
      <c r="T158" s="39"/>
    </row>
    <row r="159" spans="1:20" ht="15.75">
      <c r="A159" s="13">
        <v>45962</v>
      </c>
      <c r="B159" s="47">
        <v>30</v>
      </c>
      <c r="C159" s="38">
        <v>122.58</v>
      </c>
      <c r="D159" s="38">
        <v>297.94099999999997</v>
      </c>
      <c r="E159" s="44">
        <v>729.47900000000004</v>
      </c>
      <c r="F159" s="38">
        <v>1150</v>
      </c>
      <c r="G159" s="38">
        <v>100</v>
      </c>
      <c r="H159" s="46">
        <v>600</v>
      </c>
      <c r="I159" s="38">
        <v>695</v>
      </c>
      <c r="J159" s="38">
        <v>50</v>
      </c>
      <c r="K159" s="39"/>
      <c r="L159" s="39"/>
      <c r="M159" s="39"/>
      <c r="N159" s="39"/>
      <c r="O159" s="39"/>
      <c r="P159" s="39"/>
      <c r="Q159" s="39"/>
      <c r="R159" s="39"/>
      <c r="S159" s="39"/>
      <c r="T159" s="39"/>
    </row>
    <row r="160" spans="1:20" ht="15.75">
      <c r="A160" s="13">
        <v>45992</v>
      </c>
      <c r="B160" s="47">
        <v>31</v>
      </c>
      <c r="C160" s="38">
        <v>122.58</v>
      </c>
      <c r="D160" s="38">
        <v>297.94099999999997</v>
      </c>
      <c r="E160" s="44">
        <v>729.47900000000004</v>
      </c>
      <c r="F160" s="38">
        <v>1150</v>
      </c>
      <c r="G160" s="38">
        <v>100</v>
      </c>
      <c r="H160" s="46">
        <v>600</v>
      </c>
      <c r="I160" s="38">
        <v>695</v>
      </c>
      <c r="J160" s="38">
        <v>50</v>
      </c>
      <c r="K160" s="39"/>
      <c r="L160" s="39"/>
      <c r="M160" s="39"/>
      <c r="N160" s="39"/>
      <c r="O160" s="39"/>
      <c r="P160" s="39"/>
      <c r="Q160" s="39"/>
      <c r="R160" s="39"/>
      <c r="S160" s="39"/>
      <c r="T160" s="39"/>
    </row>
    <row r="161" spans="1:20" ht="15.75">
      <c r="A161" s="13">
        <v>46023</v>
      </c>
      <c r="B161" s="47">
        <v>31</v>
      </c>
      <c r="C161" s="38">
        <v>122.58</v>
      </c>
      <c r="D161" s="38">
        <v>297.94099999999997</v>
      </c>
      <c r="E161" s="44">
        <v>729.47900000000004</v>
      </c>
      <c r="F161" s="38">
        <v>1150</v>
      </c>
      <c r="G161" s="38">
        <v>100</v>
      </c>
      <c r="H161" s="46">
        <v>600</v>
      </c>
      <c r="I161" s="38">
        <v>695</v>
      </c>
      <c r="J161" s="38">
        <v>50</v>
      </c>
      <c r="K161" s="39"/>
      <c r="L161" s="39"/>
      <c r="M161" s="39"/>
      <c r="N161" s="39"/>
      <c r="O161" s="39"/>
      <c r="P161" s="39"/>
      <c r="Q161" s="39"/>
      <c r="R161" s="39"/>
      <c r="S161" s="39"/>
      <c r="T161" s="39"/>
    </row>
    <row r="162" spans="1:20" ht="15.75">
      <c r="A162" s="13">
        <v>46054</v>
      </c>
      <c r="B162" s="47">
        <v>28</v>
      </c>
      <c r="C162" s="38">
        <v>122.58</v>
      </c>
      <c r="D162" s="38">
        <v>297.94099999999997</v>
      </c>
      <c r="E162" s="44">
        <v>729.47900000000004</v>
      </c>
      <c r="F162" s="38">
        <v>1150</v>
      </c>
      <c r="G162" s="38">
        <v>100</v>
      </c>
      <c r="H162" s="46">
        <v>600</v>
      </c>
      <c r="I162" s="38">
        <v>695</v>
      </c>
      <c r="J162" s="38">
        <v>50</v>
      </c>
      <c r="K162" s="39"/>
      <c r="L162" s="39"/>
      <c r="M162" s="39"/>
      <c r="N162" s="39"/>
      <c r="O162" s="39"/>
      <c r="P162" s="39"/>
      <c r="Q162" s="39"/>
      <c r="R162" s="39"/>
      <c r="S162" s="39"/>
      <c r="T162" s="39"/>
    </row>
    <row r="163" spans="1:20" ht="15.75">
      <c r="A163" s="13">
        <v>46082</v>
      </c>
      <c r="B163" s="47">
        <v>31</v>
      </c>
      <c r="C163" s="38">
        <v>122.58</v>
      </c>
      <c r="D163" s="38">
        <v>297.94099999999997</v>
      </c>
      <c r="E163" s="44">
        <v>729.47900000000004</v>
      </c>
      <c r="F163" s="38">
        <v>1150</v>
      </c>
      <c r="G163" s="38">
        <v>100</v>
      </c>
      <c r="H163" s="46">
        <v>600</v>
      </c>
      <c r="I163" s="38">
        <v>695</v>
      </c>
      <c r="J163" s="38">
        <v>50</v>
      </c>
      <c r="K163" s="39"/>
      <c r="L163" s="39"/>
      <c r="M163" s="39"/>
      <c r="N163" s="39"/>
      <c r="O163" s="39"/>
      <c r="P163" s="39"/>
      <c r="Q163" s="39"/>
      <c r="R163" s="39"/>
      <c r="S163" s="39"/>
      <c r="T163" s="39"/>
    </row>
    <row r="164" spans="1:20" ht="15.75">
      <c r="A164" s="13">
        <v>46113</v>
      </c>
      <c r="B164" s="47">
        <v>30</v>
      </c>
      <c r="C164" s="38">
        <v>141.29300000000001</v>
      </c>
      <c r="D164" s="38">
        <v>267.99299999999999</v>
      </c>
      <c r="E164" s="44">
        <v>829.71400000000006</v>
      </c>
      <c r="F164" s="38">
        <v>1239</v>
      </c>
      <c r="G164" s="38">
        <v>100</v>
      </c>
      <c r="H164" s="46">
        <v>600</v>
      </c>
      <c r="I164" s="38">
        <v>695</v>
      </c>
      <c r="J164" s="38">
        <v>50</v>
      </c>
      <c r="K164" s="39"/>
      <c r="L164" s="39"/>
      <c r="M164" s="39"/>
      <c r="N164" s="39"/>
      <c r="O164" s="39"/>
      <c r="P164" s="39"/>
      <c r="Q164" s="39"/>
      <c r="R164" s="39"/>
      <c r="S164" s="39"/>
      <c r="T164" s="39"/>
    </row>
    <row r="165" spans="1:20" ht="15.75">
      <c r="A165" s="13">
        <v>46143</v>
      </c>
      <c r="B165" s="47">
        <v>31</v>
      </c>
      <c r="C165" s="38">
        <v>194.20500000000001</v>
      </c>
      <c r="D165" s="38">
        <v>267.46600000000001</v>
      </c>
      <c r="E165" s="44">
        <v>812.32899999999995</v>
      </c>
      <c r="F165" s="38">
        <v>1274</v>
      </c>
      <c r="G165" s="38">
        <v>75</v>
      </c>
      <c r="H165" s="46">
        <v>600</v>
      </c>
      <c r="I165" s="38">
        <v>695</v>
      </c>
      <c r="J165" s="38">
        <v>50</v>
      </c>
      <c r="K165" s="39"/>
      <c r="L165" s="39"/>
      <c r="M165" s="39"/>
      <c r="N165" s="39"/>
      <c r="O165" s="39"/>
      <c r="P165" s="39"/>
      <c r="Q165" s="39"/>
      <c r="R165" s="39"/>
      <c r="S165" s="39"/>
      <c r="T165" s="39"/>
    </row>
    <row r="166" spans="1:20" ht="15.75">
      <c r="A166" s="13">
        <v>46174</v>
      </c>
      <c r="B166" s="47">
        <v>30</v>
      </c>
      <c r="C166" s="38">
        <v>194.20500000000001</v>
      </c>
      <c r="D166" s="38">
        <v>267.46600000000001</v>
      </c>
      <c r="E166" s="44">
        <v>812.32899999999995</v>
      </c>
      <c r="F166" s="38">
        <v>1274</v>
      </c>
      <c r="G166" s="38">
        <v>50</v>
      </c>
      <c r="H166" s="46">
        <v>600</v>
      </c>
      <c r="I166" s="38">
        <v>695</v>
      </c>
      <c r="J166" s="38">
        <v>50</v>
      </c>
      <c r="K166" s="39"/>
      <c r="L166" s="39"/>
      <c r="M166" s="39"/>
      <c r="N166" s="39"/>
      <c r="O166" s="39"/>
      <c r="P166" s="39"/>
      <c r="Q166" s="39"/>
      <c r="R166" s="39"/>
      <c r="S166" s="39"/>
      <c r="T166" s="39"/>
    </row>
    <row r="167" spans="1:20" ht="15.75">
      <c r="A167" s="13">
        <v>46204</v>
      </c>
      <c r="B167" s="47">
        <v>31</v>
      </c>
      <c r="C167" s="38">
        <v>194.20500000000001</v>
      </c>
      <c r="D167" s="38">
        <v>267.46600000000001</v>
      </c>
      <c r="E167" s="44">
        <v>812.32899999999995</v>
      </c>
      <c r="F167" s="38">
        <v>1274</v>
      </c>
      <c r="G167" s="38">
        <v>50</v>
      </c>
      <c r="H167" s="46">
        <v>600</v>
      </c>
      <c r="I167" s="38">
        <v>695</v>
      </c>
      <c r="J167" s="38">
        <v>0</v>
      </c>
      <c r="K167" s="39"/>
      <c r="L167" s="39"/>
      <c r="M167" s="39"/>
      <c r="N167" s="39"/>
      <c r="O167" s="39"/>
      <c r="P167" s="39"/>
      <c r="Q167" s="39"/>
      <c r="R167" s="39"/>
      <c r="S167" s="39"/>
      <c r="T167" s="39"/>
    </row>
    <row r="168" spans="1:20" ht="15.75">
      <c r="A168" s="13">
        <v>46235</v>
      </c>
      <c r="B168" s="47">
        <v>31</v>
      </c>
      <c r="C168" s="38">
        <v>194.20500000000001</v>
      </c>
      <c r="D168" s="38">
        <v>267.46600000000001</v>
      </c>
      <c r="E168" s="44">
        <v>812.32899999999995</v>
      </c>
      <c r="F168" s="38">
        <v>1274</v>
      </c>
      <c r="G168" s="38">
        <v>50</v>
      </c>
      <c r="H168" s="46">
        <v>600</v>
      </c>
      <c r="I168" s="38">
        <v>695</v>
      </c>
      <c r="J168" s="38">
        <v>0</v>
      </c>
      <c r="K168" s="39"/>
      <c r="L168" s="39"/>
      <c r="M168" s="39"/>
      <c r="N168" s="39"/>
      <c r="O168" s="39"/>
      <c r="P168" s="39"/>
      <c r="Q168" s="39"/>
      <c r="R168" s="39"/>
      <c r="S168" s="39"/>
      <c r="T168" s="39"/>
    </row>
    <row r="169" spans="1:20" ht="15.75">
      <c r="A169" s="13">
        <v>46266</v>
      </c>
      <c r="B169" s="47">
        <v>30</v>
      </c>
      <c r="C169" s="38">
        <v>194.20500000000001</v>
      </c>
      <c r="D169" s="38">
        <v>267.46600000000001</v>
      </c>
      <c r="E169" s="44">
        <v>812.32899999999995</v>
      </c>
      <c r="F169" s="38">
        <v>1274</v>
      </c>
      <c r="G169" s="38">
        <v>50</v>
      </c>
      <c r="H169" s="46">
        <v>600</v>
      </c>
      <c r="I169" s="38">
        <v>695</v>
      </c>
      <c r="J169" s="38">
        <v>0</v>
      </c>
      <c r="K169" s="39"/>
      <c r="L169" s="39"/>
      <c r="M169" s="39"/>
      <c r="N169" s="39"/>
      <c r="O169" s="39"/>
      <c r="P169" s="39"/>
      <c r="Q169" s="39"/>
      <c r="R169" s="39"/>
      <c r="S169" s="39"/>
      <c r="T169" s="39"/>
    </row>
    <row r="170" spans="1:20" ht="15.75">
      <c r="A170" s="13">
        <v>46296</v>
      </c>
      <c r="B170" s="47">
        <v>31</v>
      </c>
      <c r="C170" s="38">
        <v>131.881</v>
      </c>
      <c r="D170" s="38">
        <v>277.16699999999997</v>
      </c>
      <c r="E170" s="44">
        <v>829.952</v>
      </c>
      <c r="F170" s="38">
        <v>1239</v>
      </c>
      <c r="G170" s="38">
        <v>75</v>
      </c>
      <c r="H170" s="46">
        <v>600</v>
      </c>
      <c r="I170" s="38">
        <v>695</v>
      </c>
      <c r="J170" s="38">
        <v>0</v>
      </c>
      <c r="K170" s="39"/>
      <c r="L170" s="39"/>
      <c r="M170" s="39"/>
      <c r="N170" s="39"/>
      <c r="O170" s="39"/>
      <c r="P170" s="39"/>
      <c r="Q170" s="39"/>
      <c r="R170" s="39"/>
      <c r="S170" s="39"/>
      <c r="T170" s="39"/>
    </row>
    <row r="171" spans="1:20" ht="15.75">
      <c r="A171" s="13">
        <v>46327</v>
      </c>
      <c r="B171" s="47">
        <v>30</v>
      </c>
      <c r="C171" s="38">
        <v>122.58</v>
      </c>
      <c r="D171" s="38">
        <v>297.94099999999997</v>
      </c>
      <c r="E171" s="44">
        <v>729.47900000000004</v>
      </c>
      <c r="F171" s="38">
        <v>1150</v>
      </c>
      <c r="G171" s="38">
        <v>100</v>
      </c>
      <c r="H171" s="46">
        <v>600</v>
      </c>
      <c r="I171" s="38">
        <v>695</v>
      </c>
      <c r="J171" s="38">
        <v>50</v>
      </c>
      <c r="K171" s="39"/>
      <c r="L171" s="39"/>
      <c r="M171" s="39"/>
      <c r="N171" s="39"/>
      <c r="O171" s="39"/>
      <c r="P171" s="39"/>
      <c r="Q171" s="39"/>
      <c r="R171" s="39"/>
      <c r="S171" s="39"/>
      <c r="T171" s="39"/>
    </row>
    <row r="172" spans="1:20" ht="15.75">
      <c r="A172" s="13">
        <v>46357</v>
      </c>
      <c r="B172" s="47">
        <v>31</v>
      </c>
      <c r="C172" s="38">
        <v>122.58</v>
      </c>
      <c r="D172" s="38">
        <v>297.94099999999997</v>
      </c>
      <c r="E172" s="44">
        <v>729.47900000000004</v>
      </c>
      <c r="F172" s="38">
        <v>1150</v>
      </c>
      <c r="G172" s="38">
        <v>100</v>
      </c>
      <c r="H172" s="46">
        <v>600</v>
      </c>
      <c r="I172" s="38">
        <v>695</v>
      </c>
      <c r="J172" s="38">
        <v>50</v>
      </c>
      <c r="K172" s="39"/>
      <c r="L172" s="39"/>
      <c r="M172" s="39"/>
      <c r="N172" s="39"/>
      <c r="O172" s="39"/>
      <c r="P172" s="39"/>
      <c r="Q172" s="39"/>
      <c r="R172" s="39"/>
      <c r="S172" s="39"/>
      <c r="T172" s="39"/>
    </row>
    <row r="173" spans="1:20" ht="15.75">
      <c r="A173" s="13">
        <v>46388</v>
      </c>
      <c r="B173" s="47">
        <v>31</v>
      </c>
      <c r="C173" s="38">
        <v>122.58</v>
      </c>
      <c r="D173" s="38">
        <v>297.94099999999997</v>
      </c>
      <c r="E173" s="44">
        <v>729.47900000000004</v>
      </c>
      <c r="F173" s="38">
        <v>1150</v>
      </c>
      <c r="G173" s="38">
        <v>100</v>
      </c>
      <c r="H173" s="46">
        <v>600</v>
      </c>
      <c r="I173" s="38">
        <v>695</v>
      </c>
      <c r="J173" s="38">
        <v>50</v>
      </c>
      <c r="K173" s="39"/>
      <c r="L173" s="39"/>
      <c r="M173" s="39"/>
      <c r="N173" s="39"/>
      <c r="O173" s="39"/>
      <c r="P173" s="39"/>
      <c r="Q173" s="39"/>
      <c r="R173" s="39"/>
      <c r="S173" s="39"/>
      <c r="T173" s="39"/>
    </row>
    <row r="174" spans="1:20" ht="15.75">
      <c r="A174" s="13">
        <v>46419</v>
      </c>
      <c r="B174" s="47">
        <v>28</v>
      </c>
      <c r="C174" s="38">
        <v>122.58</v>
      </c>
      <c r="D174" s="38">
        <v>297.94099999999997</v>
      </c>
      <c r="E174" s="44">
        <v>729.47900000000004</v>
      </c>
      <c r="F174" s="38">
        <v>1150</v>
      </c>
      <c r="G174" s="38">
        <v>100</v>
      </c>
      <c r="H174" s="46">
        <v>600</v>
      </c>
      <c r="I174" s="38">
        <v>695</v>
      </c>
      <c r="J174" s="38">
        <v>50</v>
      </c>
      <c r="K174" s="39"/>
      <c r="L174" s="39"/>
      <c r="M174" s="39"/>
      <c r="N174" s="39"/>
      <c r="O174" s="39"/>
      <c r="P174" s="39"/>
      <c r="Q174" s="39"/>
      <c r="R174" s="39"/>
      <c r="S174" s="39"/>
      <c r="T174" s="39"/>
    </row>
    <row r="175" spans="1:20" ht="15.75">
      <c r="A175" s="13">
        <v>46447</v>
      </c>
      <c r="B175" s="47">
        <v>31</v>
      </c>
      <c r="C175" s="38">
        <v>122.58</v>
      </c>
      <c r="D175" s="38">
        <v>297.94099999999997</v>
      </c>
      <c r="E175" s="44">
        <v>729.47900000000004</v>
      </c>
      <c r="F175" s="38">
        <v>1150</v>
      </c>
      <c r="G175" s="38">
        <v>100</v>
      </c>
      <c r="H175" s="46">
        <v>600</v>
      </c>
      <c r="I175" s="38">
        <v>695</v>
      </c>
      <c r="J175" s="38">
        <v>50</v>
      </c>
      <c r="K175" s="39"/>
      <c r="L175" s="39"/>
      <c r="M175" s="39"/>
      <c r="N175" s="39"/>
      <c r="O175" s="39"/>
      <c r="P175" s="39"/>
      <c r="Q175" s="39"/>
      <c r="R175" s="39"/>
      <c r="S175" s="39"/>
      <c r="T175" s="39"/>
    </row>
    <row r="176" spans="1:20" ht="15.75">
      <c r="A176" s="13">
        <v>46478</v>
      </c>
      <c r="B176" s="47">
        <v>30</v>
      </c>
      <c r="C176" s="38">
        <v>141.29300000000001</v>
      </c>
      <c r="D176" s="38">
        <v>267.99299999999999</v>
      </c>
      <c r="E176" s="44">
        <v>829.71400000000006</v>
      </c>
      <c r="F176" s="38">
        <v>1239</v>
      </c>
      <c r="G176" s="38">
        <v>100</v>
      </c>
      <c r="H176" s="46">
        <v>600</v>
      </c>
      <c r="I176" s="38">
        <v>695</v>
      </c>
      <c r="J176" s="38">
        <v>50</v>
      </c>
      <c r="K176" s="39"/>
      <c r="L176" s="39"/>
      <c r="M176" s="39"/>
      <c r="N176" s="39"/>
      <c r="O176" s="39"/>
      <c r="P176" s="39"/>
      <c r="Q176" s="39"/>
      <c r="R176" s="39"/>
      <c r="S176" s="39"/>
      <c r="T176" s="39"/>
    </row>
    <row r="177" spans="1:20" ht="15.75">
      <c r="A177" s="13">
        <v>46508</v>
      </c>
      <c r="B177" s="47">
        <v>31</v>
      </c>
      <c r="C177" s="38">
        <v>194.20500000000001</v>
      </c>
      <c r="D177" s="38">
        <v>267.46600000000001</v>
      </c>
      <c r="E177" s="44">
        <v>812.32899999999995</v>
      </c>
      <c r="F177" s="38">
        <v>1274</v>
      </c>
      <c r="G177" s="38">
        <v>75</v>
      </c>
      <c r="H177" s="46">
        <v>600</v>
      </c>
      <c r="I177" s="38">
        <v>695</v>
      </c>
      <c r="J177" s="38">
        <v>50</v>
      </c>
      <c r="K177" s="39"/>
      <c r="L177" s="39"/>
      <c r="M177" s="39"/>
      <c r="N177" s="39"/>
      <c r="O177" s="39"/>
      <c r="P177" s="39"/>
      <c r="Q177" s="39"/>
      <c r="R177" s="39"/>
      <c r="S177" s="39"/>
      <c r="T177" s="39"/>
    </row>
    <row r="178" spans="1:20" ht="15.75">
      <c r="A178" s="13">
        <v>46539</v>
      </c>
      <c r="B178" s="47">
        <v>30</v>
      </c>
      <c r="C178" s="38">
        <v>194.20500000000001</v>
      </c>
      <c r="D178" s="38">
        <v>267.46600000000001</v>
      </c>
      <c r="E178" s="44">
        <v>812.32899999999995</v>
      </c>
      <c r="F178" s="38">
        <v>1274</v>
      </c>
      <c r="G178" s="38">
        <v>50</v>
      </c>
      <c r="H178" s="46">
        <v>600</v>
      </c>
      <c r="I178" s="38">
        <v>695</v>
      </c>
      <c r="J178" s="38">
        <v>50</v>
      </c>
      <c r="K178" s="39"/>
      <c r="L178" s="39"/>
      <c r="M178" s="39"/>
      <c r="N178" s="39"/>
      <c r="O178" s="39"/>
      <c r="P178" s="39"/>
      <c r="Q178" s="39"/>
      <c r="R178" s="39"/>
      <c r="S178" s="39"/>
      <c r="T178" s="39"/>
    </row>
    <row r="179" spans="1:20" ht="15.75">
      <c r="A179" s="13">
        <v>46569</v>
      </c>
      <c r="B179" s="47">
        <v>31</v>
      </c>
      <c r="C179" s="38">
        <v>194.20500000000001</v>
      </c>
      <c r="D179" s="38">
        <v>267.46600000000001</v>
      </c>
      <c r="E179" s="44">
        <v>812.32899999999995</v>
      </c>
      <c r="F179" s="38">
        <v>1274</v>
      </c>
      <c r="G179" s="38">
        <v>50</v>
      </c>
      <c r="H179" s="46">
        <v>600</v>
      </c>
      <c r="I179" s="38">
        <v>695</v>
      </c>
      <c r="J179" s="38">
        <v>0</v>
      </c>
      <c r="K179" s="39"/>
      <c r="L179" s="39"/>
      <c r="M179" s="39"/>
      <c r="N179" s="39"/>
      <c r="O179" s="39"/>
      <c r="P179" s="39"/>
      <c r="Q179" s="39"/>
      <c r="R179" s="39"/>
      <c r="S179" s="39"/>
      <c r="T179" s="39"/>
    </row>
    <row r="180" spans="1:20" ht="15.75">
      <c r="A180" s="13">
        <v>46600</v>
      </c>
      <c r="B180" s="47">
        <v>31</v>
      </c>
      <c r="C180" s="38">
        <v>194.20500000000001</v>
      </c>
      <c r="D180" s="38">
        <v>267.46600000000001</v>
      </c>
      <c r="E180" s="44">
        <v>812.32899999999995</v>
      </c>
      <c r="F180" s="38">
        <v>1274</v>
      </c>
      <c r="G180" s="38">
        <v>50</v>
      </c>
      <c r="H180" s="46">
        <v>600</v>
      </c>
      <c r="I180" s="38">
        <v>695</v>
      </c>
      <c r="J180" s="38">
        <v>0</v>
      </c>
      <c r="K180" s="39"/>
      <c r="L180" s="39"/>
      <c r="M180" s="39"/>
      <c r="N180" s="39"/>
      <c r="O180" s="39"/>
      <c r="P180" s="39"/>
      <c r="Q180" s="39"/>
      <c r="R180" s="39"/>
      <c r="S180" s="39"/>
      <c r="T180" s="39"/>
    </row>
    <row r="181" spans="1:20" ht="15.75">
      <c r="A181" s="13">
        <v>46631</v>
      </c>
      <c r="B181" s="47">
        <v>30</v>
      </c>
      <c r="C181" s="38">
        <v>194.20500000000001</v>
      </c>
      <c r="D181" s="38">
        <v>267.46600000000001</v>
      </c>
      <c r="E181" s="44">
        <v>812.32899999999995</v>
      </c>
      <c r="F181" s="38">
        <v>1274</v>
      </c>
      <c r="G181" s="38">
        <v>50</v>
      </c>
      <c r="H181" s="46">
        <v>600</v>
      </c>
      <c r="I181" s="38">
        <v>695</v>
      </c>
      <c r="J181" s="38">
        <v>0</v>
      </c>
      <c r="K181" s="39"/>
      <c r="L181" s="39"/>
      <c r="M181" s="39"/>
      <c r="N181" s="39"/>
      <c r="O181" s="39"/>
      <c r="P181" s="39"/>
      <c r="Q181" s="39"/>
      <c r="R181" s="39"/>
      <c r="S181" s="39"/>
      <c r="T181" s="39"/>
    </row>
    <row r="182" spans="1:20" ht="15.75">
      <c r="A182" s="13">
        <v>46661</v>
      </c>
      <c r="B182" s="47">
        <v>31</v>
      </c>
      <c r="C182" s="38">
        <v>131.881</v>
      </c>
      <c r="D182" s="38">
        <v>277.16699999999997</v>
      </c>
      <c r="E182" s="44">
        <v>829.952</v>
      </c>
      <c r="F182" s="38">
        <v>1239</v>
      </c>
      <c r="G182" s="38">
        <v>75</v>
      </c>
      <c r="H182" s="46">
        <v>600</v>
      </c>
      <c r="I182" s="38">
        <v>695</v>
      </c>
      <c r="J182" s="38">
        <v>0</v>
      </c>
      <c r="K182" s="39"/>
      <c r="L182" s="39"/>
      <c r="M182" s="39"/>
      <c r="N182" s="39"/>
      <c r="O182" s="39"/>
      <c r="P182" s="39"/>
      <c r="Q182" s="39"/>
      <c r="R182" s="39"/>
      <c r="S182" s="39"/>
      <c r="T182" s="39"/>
    </row>
    <row r="183" spans="1:20" ht="15.75">
      <c r="A183" s="13">
        <v>46692</v>
      </c>
      <c r="B183" s="47">
        <v>30</v>
      </c>
      <c r="C183" s="38">
        <v>122.58</v>
      </c>
      <c r="D183" s="38">
        <v>297.94099999999997</v>
      </c>
      <c r="E183" s="44">
        <v>729.47900000000004</v>
      </c>
      <c r="F183" s="38">
        <v>1150</v>
      </c>
      <c r="G183" s="38">
        <v>100</v>
      </c>
      <c r="H183" s="46">
        <v>600</v>
      </c>
      <c r="I183" s="38">
        <v>695</v>
      </c>
      <c r="J183" s="38">
        <v>50</v>
      </c>
      <c r="K183" s="39"/>
      <c r="L183" s="39"/>
      <c r="M183" s="39"/>
      <c r="N183" s="39"/>
      <c r="O183" s="39"/>
      <c r="P183" s="39"/>
      <c r="Q183" s="39"/>
      <c r="R183" s="39"/>
      <c r="S183" s="39"/>
      <c r="T183" s="39"/>
    </row>
    <row r="184" spans="1:20" ht="15.75">
      <c r="A184" s="13">
        <v>46722</v>
      </c>
      <c r="B184" s="47">
        <v>31</v>
      </c>
      <c r="C184" s="38">
        <v>122.58</v>
      </c>
      <c r="D184" s="38">
        <v>297.94099999999997</v>
      </c>
      <c r="E184" s="44">
        <v>729.47900000000004</v>
      </c>
      <c r="F184" s="38">
        <v>1150</v>
      </c>
      <c r="G184" s="38">
        <v>100</v>
      </c>
      <c r="H184" s="46">
        <v>600</v>
      </c>
      <c r="I184" s="38">
        <v>695</v>
      </c>
      <c r="J184" s="38">
        <v>50</v>
      </c>
      <c r="K184" s="39"/>
      <c r="L184" s="39"/>
      <c r="M184" s="39"/>
      <c r="N184" s="39"/>
      <c r="O184" s="39"/>
      <c r="P184" s="39"/>
      <c r="Q184" s="39"/>
      <c r="R184" s="39"/>
      <c r="S184" s="39"/>
      <c r="T184" s="39"/>
    </row>
    <row r="185" spans="1:20" ht="15.75">
      <c r="A185" s="13">
        <v>46753</v>
      </c>
      <c r="B185" s="47">
        <v>31</v>
      </c>
      <c r="C185" s="38">
        <v>122.58</v>
      </c>
      <c r="D185" s="38">
        <v>297.94099999999997</v>
      </c>
      <c r="E185" s="44">
        <v>729.47900000000004</v>
      </c>
      <c r="F185" s="38">
        <v>1150</v>
      </c>
      <c r="G185" s="38">
        <v>100</v>
      </c>
      <c r="H185" s="46">
        <v>600</v>
      </c>
      <c r="I185" s="38">
        <v>695</v>
      </c>
      <c r="J185" s="38">
        <v>50</v>
      </c>
      <c r="K185" s="39"/>
      <c r="L185" s="39"/>
      <c r="M185" s="39"/>
      <c r="N185" s="39"/>
      <c r="O185" s="39"/>
      <c r="P185" s="39"/>
      <c r="Q185" s="39"/>
      <c r="R185" s="39"/>
      <c r="S185" s="39"/>
      <c r="T185" s="39"/>
    </row>
    <row r="186" spans="1:20" ht="15.75">
      <c r="A186" s="13">
        <v>46784</v>
      </c>
      <c r="B186" s="47">
        <v>29</v>
      </c>
      <c r="C186" s="38">
        <v>122.58</v>
      </c>
      <c r="D186" s="38">
        <v>297.94099999999997</v>
      </c>
      <c r="E186" s="44">
        <v>729.47900000000004</v>
      </c>
      <c r="F186" s="38">
        <v>1150</v>
      </c>
      <c r="G186" s="38">
        <v>100</v>
      </c>
      <c r="H186" s="46">
        <v>600</v>
      </c>
      <c r="I186" s="38">
        <v>695</v>
      </c>
      <c r="J186" s="38">
        <v>50</v>
      </c>
      <c r="K186" s="39"/>
      <c r="L186" s="39"/>
      <c r="M186" s="39"/>
      <c r="N186" s="39"/>
      <c r="O186" s="39"/>
      <c r="P186" s="39"/>
      <c r="Q186" s="39"/>
      <c r="R186" s="39"/>
      <c r="S186" s="39"/>
      <c r="T186" s="39"/>
    </row>
    <row r="187" spans="1:20" ht="15.75">
      <c r="A187" s="13">
        <v>46813</v>
      </c>
      <c r="B187" s="47">
        <v>31</v>
      </c>
      <c r="C187" s="38">
        <v>122.58</v>
      </c>
      <c r="D187" s="38">
        <v>297.94099999999997</v>
      </c>
      <c r="E187" s="44">
        <v>729.47900000000004</v>
      </c>
      <c r="F187" s="38">
        <v>1150</v>
      </c>
      <c r="G187" s="38">
        <v>100</v>
      </c>
      <c r="H187" s="46">
        <v>600</v>
      </c>
      <c r="I187" s="38">
        <v>695</v>
      </c>
      <c r="J187" s="38">
        <v>50</v>
      </c>
      <c r="K187" s="39"/>
      <c r="L187" s="39"/>
      <c r="M187" s="39"/>
      <c r="N187" s="39"/>
      <c r="O187" s="39"/>
      <c r="P187" s="39"/>
      <c r="Q187" s="39"/>
      <c r="R187" s="39"/>
      <c r="S187" s="39"/>
      <c r="T187" s="39"/>
    </row>
    <row r="188" spans="1:20" ht="15.75">
      <c r="A188" s="13">
        <v>46844</v>
      </c>
      <c r="B188" s="47">
        <v>30</v>
      </c>
      <c r="C188" s="38">
        <v>141.29300000000001</v>
      </c>
      <c r="D188" s="38">
        <v>267.99299999999999</v>
      </c>
      <c r="E188" s="44">
        <v>829.71400000000006</v>
      </c>
      <c r="F188" s="38">
        <v>1239</v>
      </c>
      <c r="G188" s="38">
        <v>100</v>
      </c>
      <c r="H188" s="46">
        <v>600</v>
      </c>
      <c r="I188" s="38">
        <v>695</v>
      </c>
      <c r="J188" s="38">
        <v>50</v>
      </c>
      <c r="K188" s="39"/>
      <c r="L188" s="39"/>
      <c r="M188" s="39"/>
      <c r="N188" s="39"/>
      <c r="O188" s="39"/>
      <c r="P188" s="39"/>
      <c r="Q188" s="39"/>
      <c r="R188" s="39"/>
      <c r="S188" s="39"/>
      <c r="T188" s="39"/>
    </row>
    <row r="189" spans="1:20" ht="15.75">
      <c r="A189" s="13">
        <v>46874</v>
      </c>
      <c r="B189" s="47">
        <v>31</v>
      </c>
      <c r="C189" s="38">
        <v>194.20500000000001</v>
      </c>
      <c r="D189" s="38">
        <v>267.46600000000001</v>
      </c>
      <c r="E189" s="44">
        <v>812.32899999999995</v>
      </c>
      <c r="F189" s="38">
        <v>1274</v>
      </c>
      <c r="G189" s="38">
        <v>75</v>
      </c>
      <c r="H189" s="46">
        <v>600</v>
      </c>
      <c r="I189" s="38">
        <v>695</v>
      </c>
      <c r="J189" s="38">
        <v>50</v>
      </c>
      <c r="K189" s="39"/>
      <c r="L189" s="39"/>
      <c r="M189" s="39"/>
      <c r="N189" s="39"/>
      <c r="O189" s="39"/>
      <c r="P189" s="39"/>
      <c r="Q189" s="39"/>
      <c r="R189" s="39"/>
      <c r="S189" s="39"/>
      <c r="T189" s="39"/>
    </row>
    <row r="190" spans="1:20" ht="15.75">
      <c r="A190" s="13">
        <v>46905</v>
      </c>
      <c r="B190" s="47">
        <v>30</v>
      </c>
      <c r="C190" s="38">
        <v>194.20500000000001</v>
      </c>
      <c r="D190" s="38">
        <v>267.46600000000001</v>
      </c>
      <c r="E190" s="44">
        <v>812.32899999999995</v>
      </c>
      <c r="F190" s="38">
        <v>1274</v>
      </c>
      <c r="G190" s="38">
        <v>50</v>
      </c>
      <c r="H190" s="46">
        <v>600</v>
      </c>
      <c r="I190" s="38">
        <v>695</v>
      </c>
      <c r="J190" s="38">
        <v>50</v>
      </c>
      <c r="K190" s="39"/>
      <c r="L190" s="39"/>
      <c r="M190" s="39"/>
      <c r="N190" s="39"/>
      <c r="O190" s="39"/>
      <c r="P190" s="39"/>
      <c r="Q190" s="39"/>
      <c r="R190" s="39"/>
      <c r="S190" s="39"/>
      <c r="T190" s="39"/>
    </row>
    <row r="191" spans="1:20" ht="15.75">
      <c r="A191" s="13">
        <v>46935</v>
      </c>
      <c r="B191" s="47">
        <v>31</v>
      </c>
      <c r="C191" s="38">
        <v>194.20500000000001</v>
      </c>
      <c r="D191" s="38">
        <v>267.46600000000001</v>
      </c>
      <c r="E191" s="44">
        <v>812.32899999999995</v>
      </c>
      <c r="F191" s="38">
        <v>1274</v>
      </c>
      <c r="G191" s="38">
        <v>50</v>
      </c>
      <c r="H191" s="46">
        <v>600</v>
      </c>
      <c r="I191" s="38">
        <v>695</v>
      </c>
      <c r="J191" s="38">
        <v>0</v>
      </c>
      <c r="K191" s="39"/>
      <c r="L191" s="39"/>
      <c r="M191" s="39"/>
      <c r="N191" s="39"/>
      <c r="O191" s="39"/>
      <c r="P191" s="39"/>
      <c r="Q191" s="39"/>
      <c r="R191" s="39"/>
      <c r="S191" s="39"/>
      <c r="T191" s="39"/>
    </row>
    <row r="192" spans="1:20" ht="15.75">
      <c r="A192" s="13">
        <v>46966</v>
      </c>
      <c r="B192" s="47">
        <v>31</v>
      </c>
      <c r="C192" s="38">
        <v>194.20500000000001</v>
      </c>
      <c r="D192" s="38">
        <v>267.46600000000001</v>
      </c>
      <c r="E192" s="44">
        <v>812.32899999999995</v>
      </c>
      <c r="F192" s="38">
        <v>1274</v>
      </c>
      <c r="G192" s="38">
        <v>50</v>
      </c>
      <c r="H192" s="46">
        <v>600</v>
      </c>
      <c r="I192" s="38">
        <v>695</v>
      </c>
      <c r="J192" s="38">
        <v>0</v>
      </c>
      <c r="K192" s="39"/>
      <c r="L192" s="39"/>
      <c r="M192" s="39"/>
      <c r="N192" s="39"/>
      <c r="O192" s="39"/>
      <c r="P192" s="39"/>
      <c r="Q192" s="39"/>
      <c r="R192" s="39"/>
      <c r="S192" s="39"/>
      <c r="T192" s="39"/>
    </row>
    <row r="193" spans="1:20" ht="15.75">
      <c r="A193" s="13">
        <v>46997</v>
      </c>
      <c r="B193" s="47">
        <v>30</v>
      </c>
      <c r="C193" s="38">
        <v>194.20500000000001</v>
      </c>
      <c r="D193" s="38">
        <v>267.46600000000001</v>
      </c>
      <c r="E193" s="44">
        <v>812.32899999999995</v>
      </c>
      <c r="F193" s="38">
        <v>1274</v>
      </c>
      <c r="G193" s="38">
        <v>50</v>
      </c>
      <c r="H193" s="46">
        <v>600</v>
      </c>
      <c r="I193" s="38">
        <v>695</v>
      </c>
      <c r="J193" s="38">
        <v>0</v>
      </c>
      <c r="K193" s="39"/>
      <c r="L193" s="39"/>
      <c r="M193" s="39"/>
      <c r="N193" s="39"/>
      <c r="O193" s="39"/>
      <c r="P193" s="39"/>
      <c r="Q193" s="39"/>
      <c r="R193" s="39"/>
      <c r="S193" s="39"/>
      <c r="T193" s="39"/>
    </row>
    <row r="194" spans="1:20" ht="15.75">
      <c r="A194" s="13">
        <v>47027</v>
      </c>
      <c r="B194" s="47">
        <v>31</v>
      </c>
      <c r="C194" s="38">
        <v>131.881</v>
      </c>
      <c r="D194" s="38">
        <v>277.16699999999997</v>
      </c>
      <c r="E194" s="44">
        <v>829.952</v>
      </c>
      <c r="F194" s="38">
        <v>1239</v>
      </c>
      <c r="G194" s="38">
        <v>75</v>
      </c>
      <c r="H194" s="46">
        <v>600</v>
      </c>
      <c r="I194" s="38">
        <v>695</v>
      </c>
      <c r="J194" s="38">
        <v>0</v>
      </c>
      <c r="K194" s="39"/>
      <c r="L194" s="39"/>
      <c r="M194" s="39"/>
      <c r="N194" s="39"/>
      <c r="O194" s="39"/>
      <c r="P194" s="39"/>
      <c r="Q194" s="39"/>
      <c r="R194" s="39"/>
      <c r="S194" s="39"/>
      <c r="T194" s="39"/>
    </row>
    <row r="195" spans="1:20" ht="15.75">
      <c r="A195" s="13">
        <v>47058</v>
      </c>
      <c r="B195" s="47">
        <v>30</v>
      </c>
      <c r="C195" s="38">
        <v>122.58</v>
      </c>
      <c r="D195" s="38">
        <v>297.94099999999997</v>
      </c>
      <c r="E195" s="44">
        <v>729.47900000000004</v>
      </c>
      <c r="F195" s="38">
        <v>1150</v>
      </c>
      <c r="G195" s="38">
        <v>100</v>
      </c>
      <c r="H195" s="46">
        <v>600</v>
      </c>
      <c r="I195" s="38">
        <v>695</v>
      </c>
      <c r="J195" s="38">
        <v>50</v>
      </c>
      <c r="K195" s="39"/>
      <c r="L195" s="39"/>
      <c r="M195" s="39"/>
      <c r="N195" s="39"/>
      <c r="O195" s="39"/>
      <c r="P195" s="39"/>
      <c r="Q195" s="39"/>
      <c r="R195" s="39"/>
      <c r="S195" s="39"/>
      <c r="T195" s="39"/>
    </row>
    <row r="196" spans="1:20" ht="15.75">
      <c r="A196" s="13">
        <v>47088</v>
      </c>
      <c r="B196" s="47">
        <v>31</v>
      </c>
      <c r="C196" s="38">
        <v>122.58</v>
      </c>
      <c r="D196" s="38">
        <v>297.94099999999997</v>
      </c>
      <c r="E196" s="44">
        <v>729.47900000000004</v>
      </c>
      <c r="F196" s="38">
        <v>1150</v>
      </c>
      <c r="G196" s="38">
        <v>100</v>
      </c>
      <c r="H196" s="46">
        <v>600</v>
      </c>
      <c r="I196" s="38">
        <v>695</v>
      </c>
      <c r="J196" s="38">
        <v>50</v>
      </c>
      <c r="K196" s="39"/>
      <c r="L196" s="39"/>
      <c r="M196" s="39"/>
      <c r="N196" s="39"/>
      <c r="O196" s="39"/>
      <c r="P196" s="39"/>
      <c r="Q196" s="39"/>
      <c r="R196" s="39"/>
      <c r="S196" s="39"/>
      <c r="T196" s="39"/>
    </row>
    <row r="197" spans="1:20" ht="15.75">
      <c r="A197" s="13">
        <v>47119</v>
      </c>
      <c r="B197" s="47">
        <v>31</v>
      </c>
      <c r="C197" s="38">
        <v>122.58</v>
      </c>
      <c r="D197" s="38">
        <v>297.94099999999997</v>
      </c>
      <c r="E197" s="44">
        <v>729.47900000000004</v>
      </c>
      <c r="F197" s="38">
        <v>1150</v>
      </c>
      <c r="G197" s="38">
        <v>100</v>
      </c>
      <c r="H197" s="46">
        <v>600</v>
      </c>
      <c r="I197" s="38">
        <v>695</v>
      </c>
      <c r="J197" s="38">
        <v>50</v>
      </c>
      <c r="K197" s="39"/>
      <c r="L197" s="39"/>
      <c r="M197" s="39"/>
      <c r="N197" s="39"/>
      <c r="O197" s="39"/>
      <c r="P197" s="39"/>
      <c r="Q197" s="39"/>
      <c r="R197" s="39"/>
      <c r="S197" s="39"/>
      <c r="T197" s="39"/>
    </row>
    <row r="198" spans="1:20" ht="15.75">
      <c r="A198" s="13">
        <v>47150</v>
      </c>
      <c r="B198" s="47">
        <v>28</v>
      </c>
      <c r="C198" s="38">
        <v>122.58</v>
      </c>
      <c r="D198" s="38">
        <v>297.94099999999997</v>
      </c>
      <c r="E198" s="44">
        <v>729.47900000000004</v>
      </c>
      <c r="F198" s="38">
        <v>1150</v>
      </c>
      <c r="G198" s="38">
        <v>100</v>
      </c>
      <c r="H198" s="46">
        <v>600</v>
      </c>
      <c r="I198" s="38">
        <v>695</v>
      </c>
      <c r="J198" s="38">
        <v>50</v>
      </c>
      <c r="K198" s="39"/>
      <c r="L198" s="39"/>
      <c r="M198" s="39"/>
      <c r="N198" s="39"/>
      <c r="O198" s="39"/>
      <c r="P198" s="39"/>
      <c r="Q198" s="39"/>
      <c r="R198" s="39"/>
      <c r="S198" s="39"/>
      <c r="T198" s="39"/>
    </row>
    <row r="199" spans="1:20" ht="15.75">
      <c r="A199" s="13">
        <v>47178</v>
      </c>
      <c r="B199" s="47">
        <v>31</v>
      </c>
      <c r="C199" s="38">
        <v>122.58</v>
      </c>
      <c r="D199" s="38">
        <v>297.94099999999997</v>
      </c>
      <c r="E199" s="44">
        <v>729.47900000000004</v>
      </c>
      <c r="F199" s="38">
        <v>1150</v>
      </c>
      <c r="G199" s="38">
        <v>100</v>
      </c>
      <c r="H199" s="46">
        <v>600</v>
      </c>
      <c r="I199" s="38">
        <v>695</v>
      </c>
      <c r="J199" s="38">
        <v>50</v>
      </c>
      <c r="K199" s="39"/>
      <c r="L199" s="39"/>
      <c r="M199" s="39"/>
      <c r="N199" s="39"/>
      <c r="O199" s="39"/>
      <c r="P199" s="39"/>
      <c r="Q199" s="39"/>
      <c r="R199" s="39"/>
      <c r="S199" s="39"/>
      <c r="T199" s="39"/>
    </row>
    <row r="200" spans="1:20" ht="15.75">
      <c r="A200" s="13">
        <v>47209</v>
      </c>
      <c r="B200" s="47">
        <v>30</v>
      </c>
      <c r="C200" s="38">
        <v>141.29300000000001</v>
      </c>
      <c r="D200" s="38">
        <v>267.99299999999999</v>
      </c>
      <c r="E200" s="44">
        <v>829.71400000000006</v>
      </c>
      <c r="F200" s="38">
        <v>1239</v>
      </c>
      <c r="G200" s="38">
        <v>100</v>
      </c>
      <c r="H200" s="46">
        <v>600</v>
      </c>
      <c r="I200" s="38">
        <v>695</v>
      </c>
      <c r="J200" s="38">
        <v>50</v>
      </c>
      <c r="K200" s="39"/>
      <c r="L200" s="39"/>
      <c r="M200" s="39"/>
      <c r="N200" s="39"/>
      <c r="O200" s="39"/>
      <c r="P200" s="39"/>
      <c r="Q200" s="39"/>
      <c r="R200" s="39"/>
      <c r="S200" s="39"/>
      <c r="T200" s="39"/>
    </row>
    <row r="201" spans="1:20" ht="15.75">
      <c r="A201" s="13">
        <v>47239</v>
      </c>
      <c r="B201" s="47">
        <v>31</v>
      </c>
      <c r="C201" s="38">
        <v>194.20500000000001</v>
      </c>
      <c r="D201" s="38">
        <v>267.46600000000001</v>
      </c>
      <c r="E201" s="44">
        <v>812.32899999999995</v>
      </c>
      <c r="F201" s="38">
        <v>1274</v>
      </c>
      <c r="G201" s="38">
        <v>75</v>
      </c>
      <c r="H201" s="46">
        <v>600</v>
      </c>
      <c r="I201" s="38">
        <v>695</v>
      </c>
      <c r="J201" s="38">
        <v>50</v>
      </c>
      <c r="K201" s="39"/>
      <c r="L201" s="39"/>
      <c r="M201" s="39"/>
      <c r="N201" s="39"/>
      <c r="O201" s="39"/>
      <c r="P201" s="39"/>
      <c r="Q201" s="39"/>
      <c r="R201" s="39"/>
      <c r="S201" s="39"/>
      <c r="T201" s="39"/>
    </row>
    <row r="202" spans="1:20" ht="15.75">
      <c r="A202" s="13">
        <v>47270</v>
      </c>
      <c r="B202" s="47">
        <v>30</v>
      </c>
      <c r="C202" s="38">
        <v>194.20500000000001</v>
      </c>
      <c r="D202" s="38">
        <v>267.46600000000001</v>
      </c>
      <c r="E202" s="44">
        <v>812.32899999999995</v>
      </c>
      <c r="F202" s="38">
        <v>1274</v>
      </c>
      <c r="G202" s="38">
        <v>50</v>
      </c>
      <c r="H202" s="46">
        <v>600</v>
      </c>
      <c r="I202" s="38">
        <v>695</v>
      </c>
      <c r="J202" s="38">
        <v>50</v>
      </c>
      <c r="K202" s="39"/>
      <c r="L202" s="39"/>
      <c r="M202" s="39"/>
      <c r="N202" s="39"/>
      <c r="O202" s="39"/>
      <c r="P202" s="39"/>
      <c r="Q202" s="39"/>
      <c r="R202" s="39"/>
      <c r="S202" s="39"/>
      <c r="T202" s="39"/>
    </row>
    <row r="203" spans="1:20" ht="15.75">
      <c r="A203" s="13">
        <v>47300</v>
      </c>
      <c r="B203" s="47">
        <v>31</v>
      </c>
      <c r="C203" s="38">
        <v>194.20500000000001</v>
      </c>
      <c r="D203" s="38">
        <v>267.46600000000001</v>
      </c>
      <c r="E203" s="44">
        <v>812.32899999999995</v>
      </c>
      <c r="F203" s="38">
        <v>1274</v>
      </c>
      <c r="G203" s="38">
        <v>50</v>
      </c>
      <c r="H203" s="46">
        <v>600</v>
      </c>
      <c r="I203" s="38">
        <v>695</v>
      </c>
      <c r="J203" s="38">
        <v>0</v>
      </c>
      <c r="K203" s="39"/>
      <c r="L203" s="39"/>
      <c r="M203" s="39"/>
      <c r="N203" s="39"/>
      <c r="O203" s="39"/>
      <c r="P203" s="39"/>
      <c r="Q203" s="39"/>
      <c r="R203" s="39"/>
      <c r="S203" s="39"/>
      <c r="T203" s="39"/>
    </row>
    <row r="204" spans="1:20" ht="15.75">
      <c r="A204" s="13">
        <v>47331</v>
      </c>
      <c r="B204" s="47">
        <v>31</v>
      </c>
      <c r="C204" s="38">
        <v>194.20500000000001</v>
      </c>
      <c r="D204" s="38">
        <v>267.46600000000001</v>
      </c>
      <c r="E204" s="44">
        <v>812.32899999999995</v>
      </c>
      <c r="F204" s="38">
        <v>1274</v>
      </c>
      <c r="G204" s="38">
        <v>50</v>
      </c>
      <c r="H204" s="46">
        <v>600</v>
      </c>
      <c r="I204" s="38">
        <v>695</v>
      </c>
      <c r="J204" s="38">
        <v>0</v>
      </c>
      <c r="K204" s="39"/>
      <c r="L204" s="39"/>
      <c r="M204" s="39"/>
      <c r="N204" s="39"/>
      <c r="O204" s="39"/>
      <c r="P204" s="39"/>
      <c r="Q204" s="39"/>
      <c r="R204" s="39"/>
      <c r="S204" s="39"/>
      <c r="T204" s="39"/>
    </row>
    <row r="205" spans="1:20" ht="15.75">
      <c r="A205" s="13">
        <v>47362</v>
      </c>
      <c r="B205" s="47">
        <v>30</v>
      </c>
      <c r="C205" s="38">
        <v>194.20500000000001</v>
      </c>
      <c r="D205" s="38">
        <v>267.46600000000001</v>
      </c>
      <c r="E205" s="44">
        <v>812.32899999999995</v>
      </c>
      <c r="F205" s="38">
        <v>1274</v>
      </c>
      <c r="G205" s="38">
        <v>50</v>
      </c>
      <c r="H205" s="46">
        <v>600</v>
      </c>
      <c r="I205" s="38">
        <v>695</v>
      </c>
      <c r="J205" s="38">
        <v>0</v>
      </c>
      <c r="K205" s="39"/>
      <c r="L205" s="39"/>
      <c r="M205" s="39"/>
      <c r="N205" s="39"/>
      <c r="O205" s="39"/>
      <c r="P205" s="39"/>
      <c r="Q205" s="39"/>
      <c r="R205" s="39"/>
      <c r="S205" s="39"/>
      <c r="T205" s="39"/>
    </row>
    <row r="206" spans="1:20" ht="15.75">
      <c r="A206" s="13">
        <v>47392</v>
      </c>
      <c r="B206" s="47">
        <v>31</v>
      </c>
      <c r="C206" s="38">
        <v>131.881</v>
      </c>
      <c r="D206" s="38">
        <v>277.16699999999997</v>
      </c>
      <c r="E206" s="44">
        <v>829.952</v>
      </c>
      <c r="F206" s="38">
        <v>1239</v>
      </c>
      <c r="G206" s="38">
        <v>75</v>
      </c>
      <c r="H206" s="46">
        <v>600</v>
      </c>
      <c r="I206" s="38">
        <v>695</v>
      </c>
      <c r="J206" s="38">
        <v>0</v>
      </c>
      <c r="K206" s="39"/>
      <c r="L206" s="39"/>
      <c r="M206" s="39"/>
      <c r="N206" s="39"/>
      <c r="O206" s="39"/>
      <c r="P206" s="39"/>
      <c r="Q206" s="39"/>
      <c r="R206" s="39"/>
      <c r="S206" s="39"/>
      <c r="T206" s="39"/>
    </row>
    <row r="207" spans="1:20" ht="15.75">
      <c r="A207" s="13">
        <v>47423</v>
      </c>
      <c r="B207" s="47">
        <v>30</v>
      </c>
      <c r="C207" s="38">
        <v>122.58</v>
      </c>
      <c r="D207" s="38">
        <v>297.94099999999997</v>
      </c>
      <c r="E207" s="44">
        <v>729.47900000000004</v>
      </c>
      <c r="F207" s="38">
        <v>1150</v>
      </c>
      <c r="G207" s="38">
        <v>100</v>
      </c>
      <c r="H207" s="46">
        <v>600</v>
      </c>
      <c r="I207" s="38">
        <v>695</v>
      </c>
      <c r="J207" s="38">
        <v>50</v>
      </c>
      <c r="K207" s="39"/>
      <c r="L207" s="39"/>
      <c r="M207" s="39"/>
      <c r="N207" s="39"/>
      <c r="O207" s="39"/>
      <c r="P207" s="39"/>
      <c r="Q207" s="39"/>
      <c r="R207" s="39"/>
      <c r="S207" s="39"/>
      <c r="T207" s="39"/>
    </row>
    <row r="208" spans="1:20" ht="15.75">
      <c r="A208" s="13">
        <v>47453</v>
      </c>
      <c r="B208" s="47">
        <v>31</v>
      </c>
      <c r="C208" s="38">
        <v>122.58</v>
      </c>
      <c r="D208" s="38">
        <v>297.94099999999997</v>
      </c>
      <c r="E208" s="44">
        <v>729.47900000000004</v>
      </c>
      <c r="F208" s="38">
        <v>1150</v>
      </c>
      <c r="G208" s="38">
        <v>100</v>
      </c>
      <c r="H208" s="46">
        <v>600</v>
      </c>
      <c r="I208" s="38">
        <v>695</v>
      </c>
      <c r="J208" s="38">
        <v>50</v>
      </c>
      <c r="K208" s="39"/>
      <c r="L208" s="39"/>
      <c r="M208" s="39"/>
      <c r="N208" s="39"/>
      <c r="O208" s="39"/>
      <c r="P208" s="39"/>
      <c r="Q208" s="39"/>
      <c r="R208" s="39"/>
      <c r="S208" s="39"/>
      <c r="T208" s="39"/>
    </row>
    <row r="209" spans="1:20" ht="15.75">
      <c r="A209" s="13">
        <v>47484</v>
      </c>
      <c r="B209" s="47">
        <v>31</v>
      </c>
      <c r="C209" s="38">
        <v>122.58</v>
      </c>
      <c r="D209" s="38">
        <v>297.94099999999997</v>
      </c>
      <c r="E209" s="44">
        <v>729.47900000000004</v>
      </c>
      <c r="F209" s="38">
        <v>1150</v>
      </c>
      <c r="G209" s="38">
        <v>100</v>
      </c>
      <c r="H209" s="46">
        <v>600</v>
      </c>
      <c r="I209" s="38">
        <v>695</v>
      </c>
      <c r="J209" s="38">
        <v>50</v>
      </c>
      <c r="K209" s="39"/>
      <c r="L209" s="39"/>
      <c r="M209" s="39"/>
      <c r="N209" s="39"/>
      <c r="O209" s="39"/>
      <c r="P209" s="39"/>
      <c r="Q209" s="39"/>
      <c r="R209" s="39"/>
      <c r="S209" s="39"/>
      <c r="T209" s="39"/>
    </row>
    <row r="210" spans="1:20" ht="15.75">
      <c r="A210" s="13">
        <v>47515</v>
      </c>
      <c r="B210" s="47">
        <v>28</v>
      </c>
      <c r="C210" s="38">
        <v>122.58</v>
      </c>
      <c r="D210" s="38">
        <v>297.94099999999997</v>
      </c>
      <c r="E210" s="44">
        <v>729.47900000000004</v>
      </c>
      <c r="F210" s="38">
        <v>1150</v>
      </c>
      <c r="G210" s="38">
        <v>100</v>
      </c>
      <c r="H210" s="46">
        <v>600</v>
      </c>
      <c r="I210" s="38">
        <v>695</v>
      </c>
      <c r="J210" s="38">
        <v>50</v>
      </c>
      <c r="K210" s="39"/>
      <c r="L210" s="39"/>
      <c r="M210" s="39"/>
      <c r="N210" s="39"/>
      <c r="O210" s="39"/>
      <c r="P210" s="39"/>
      <c r="Q210" s="39"/>
      <c r="R210" s="39"/>
      <c r="S210" s="39"/>
      <c r="T210" s="39"/>
    </row>
    <row r="211" spans="1:20" ht="15.75">
      <c r="A211" s="13">
        <v>47543</v>
      </c>
      <c r="B211" s="47">
        <v>31</v>
      </c>
      <c r="C211" s="38">
        <v>122.58</v>
      </c>
      <c r="D211" s="38">
        <v>297.94099999999997</v>
      </c>
      <c r="E211" s="44">
        <v>729.47900000000004</v>
      </c>
      <c r="F211" s="38">
        <v>1150</v>
      </c>
      <c r="G211" s="38">
        <v>100</v>
      </c>
      <c r="H211" s="46">
        <v>600</v>
      </c>
      <c r="I211" s="38">
        <v>695</v>
      </c>
      <c r="J211" s="38">
        <v>50</v>
      </c>
      <c r="K211" s="39"/>
      <c r="L211" s="39"/>
      <c r="M211" s="39"/>
      <c r="N211" s="39"/>
      <c r="O211" s="39"/>
      <c r="P211" s="39"/>
      <c r="Q211" s="39"/>
      <c r="R211" s="39"/>
      <c r="S211" s="39"/>
      <c r="T211" s="39"/>
    </row>
    <row r="212" spans="1:20" ht="15.75">
      <c r="A212" s="13">
        <v>47574</v>
      </c>
      <c r="B212" s="47">
        <v>30</v>
      </c>
      <c r="C212" s="38">
        <v>141.29300000000001</v>
      </c>
      <c r="D212" s="38">
        <v>267.99299999999999</v>
      </c>
      <c r="E212" s="44">
        <v>829.71400000000006</v>
      </c>
      <c r="F212" s="38">
        <v>1239</v>
      </c>
      <c r="G212" s="38">
        <v>100</v>
      </c>
      <c r="H212" s="46">
        <v>600</v>
      </c>
      <c r="I212" s="38">
        <v>695</v>
      </c>
      <c r="J212" s="38">
        <v>50</v>
      </c>
      <c r="K212" s="39"/>
      <c r="L212" s="39"/>
      <c r="M212" s="39"/>
      <c r="N212" s="39"/>
      <c r="O212" s="39"/>
      <c r="P212" s="39"/>
      <c r="Q212" s="39"/>
      <c r="R212" s="39"/>
      <c r="S212" s="39"/>
      <c r="T212" s="39"/>
    </row>
    <row r="213" spans="1:20" ht="15.75">
      <c r="A213" s="13">
        <v>47604</v>
      </c>
      <c r="B213" s="47">
        <v>31</v>
      </c>
      <c r="C213" s="38">
        <v>194.20500000000001</v>
      </c>
      <c r="D213" s="38">
        <v>267.46600000000001</v>
      </c>
      <c r="E213" s="44">
        <v>812.32899999999995</v>
      </c>
      <c r="F213" s="38">
        <v>1274</v>
      </c>
      <c r="G213" s="38">
        <v>75</v>
      </c>
      <c r="H213" s="46">
        <v>600</v>
      </c>
      <c r="I213" s="38">
        <v>695</v>
      </c>
      <c r="J213" s="38">
        <v>50</v>
      </c>
      <c r="K213" s="39"/>
      <c r="L213" s="39"/>
      <c r="M213" s="39"/>
      <c r="N213" s="39"/>
      <c r="O213" s="39"/>
      <c r="P213" s="39"/>
      <c r="Q213" s="39"/>
      <c r="R213" s="39"/>
      <c r="S213" s="39"/>
      <c r="T213" s="39"/>
    </row>
    <row r="214" spans="1:20" ht="15.75">
      <c r="A214" s="13">
        <v>47635</v>
      </c>
      <c r="B214" s="47">
        <v>30</v>
      </c>
      <c r="C214" s="38">
        <v>194.20500000000001</v>
      </c>
      <c r="D214" s="38">
        <v>267.46600000000001</v>
      </c>
      <c r="E214" s="44">
        <v>812.32899999999995</v>
      </c>
      <c r="F214" s="38">
        <v>1274</v>
      </c>
      <c r="G214" s="38">
        <v>50</v>
      </c>
      <c r="H214" s="46">
        <v>600</v>
      </c>
      <c r="I214" s="38">
        <v>695</v>
      </c>
      <c r="J214" s="38">
        <v>50</v>
      </c>
      <c r="K214" s="39"/>
      <c r="L214" s="39"/>
      <c r="M214" s="39"/>
      <c r="N214" s="39"/>
      <c r="O214" s="39"/>
      <c r="P214" s="39"/>
      <c r="Q214" s="39"/>
      <c r="R214" s="39"/>
      <c r="S214" s="39"/>
      <c r="T214" s="39"/>
    </row>
    <row r="215" spans="1:20" ht="15.75">
      <c r="A215" s="13">
        <v>47665</v>
      </c>
      <c r="B215" s="47">
        <v>31</v>
      </c>
      <c r="C215" s="38">
        <v>194.20500000000001</v>
      </c>
      <c r="D215" s="38">
        <v>267.46600000000001</v>
      </c>
      <c r="E215" s="44">
        <v>812.32899999999995</v>
      </c>
      <c r="F215" s="38">
        <v>1274</v>
      </c>
      <c r="G215" s="38">
        <v>50</v>
      </c>
      <c r="H215" s="46">
        <v>600</v>
      </c>
      <c r="I215" s="38">
        <v>695</v>
      </c>
      <c r="J215" s="38">
        <v>0</v>
      </c>
      <c r="K215" s="39"/>
      <c r="L215" s="39"/>
      <c r="M215" s="39"/>
      <c r="N215" s="39"/>
      <c r="O215" s="39"/>
      <c r="P215" s="39"/>
      <c r="Q215" s="39"/>
      <c r="R215" s="39"/>
      <c r="S215" s="39"/>
      <c r="T215" s="39"/>
    </row>
    <row r="216" spans="1:20" ht="15.75">
      <c r="A216" s="13">
        <v>47696</v>
      </c>
      <c r="B216" s="47">
        <v>31</v>
      </c>
      <c r="C216" s="38">
        <v>194.20500000000001</v>
      </c>
      <c r="D216" s="38">
        <v>267.46600000000001</v>
      </c>
      <c r="E216" s="44">
        <v>812.32899999999995</v>
      </c>
      <c r="F216" s="38">
        <v>1274</v>
      </c>
      <c r="G216" s="38">
        <v>50</v>
      </c>
      <c r="H216" s="46">
        <v>600</v>
      </c>
      <c r="I216" s="38">
        <v>695</v>
      </c>
      <c r="J216" s="38">
        <v>0</v>
      </c>
      <c r="K216" s="39"/>
      <c r="L216" s="39"/>
      <c r="M216" s="39"/>
      <c r="N216" s="39"/>
      <c r="O216" s="39"/>
      <c r="P216" s="39"/>
      <c r="Q216" s="39"/>
      <c r="R216" s="39"/>
      <c r="S216" s="39"/>
      <c r="T216" s="39"/>
    </row>
    <row r="217" spans="1:20" ht="15.75">
      <c r="A217" s="13">
        <v>47727</v>
      </c>
      <c r="B217" s="47">
        <v>30</v>
      </c>
      <c r="C217" s="38">
        <v>194.20500000000001</v>
      </c>
      <c r="D217" s="38">
        <v>267.46600000000001</v>
      </c>
      <c r="E217" s="44">
        <v>812.32899999999995</v>
      </c>
      <c r="F217" s="38">
        <v>1274</v>
      </c>
      <c r="G217" s="38">
        <v>50</v>
      </c>
      <c r="H217" s="46">
        <v>600</v>
      </c>
      <c r="I217" s="38">
        <v>695</v>
      </c>
      <c r="J217" s="38">
        <v>0</v>
      </c>
      <c r="K217" s="39"/>
      <c r="L217" s="39"/>
      <c r="M217" s="39"/>
      <c r="N217" s="39"/>
      <c r="O217" s="39"/>
      <c r="P217" s="39"/>
      <c r="Q217" s="39"/>
      <c r="R217" s="39"/>
      <c r="S217" s="39"/>
      <c r="T217" s="39"/>
    </row>
    <row r="218" spans="1:20" ht="15.75">
      <c r="A218" s="13">
        <v>47757</v>
      </c>
      <c r="B218" s="47">
        <v>31</v>
      </c>
      <c r="C218" s="38">
        <v>131.881</v>
      </c>
      <c r="D218" s="38">
        <v>277.16699999999997</v>
      </c>
      <c r="E218" s="44">
        <v>829.952</v>
      </c>
      <c r="F218" s="38">
        <v>1239</v>
      </c>
      <c r="G218" s="38">
        <v>75</v>
      </c>
      <c r="H218" s="46">
        <v>600</v>
      </c>
      <c r="I218" s="38">
        <v>695</v>
      </c>
      <c r="J218" s="38">
        <v>0</v>
      </c>
      <c r="K218" s="39"/>
      <c r="L218" s="39"/>
      <c r="M218" s="39"/>
      <c r="N218" s="39"/>
      <c r="O218" s="39"/>
      <c r="P218" s="39"/>
      <c r="Q218" s="39"/>
      <c r="R218" s="39"/>
      <c r="S218" s="39"/>
      <c r="T218" s="39"/>
    </row>
    <row r="219" spans="1:20" ht="15.75">
      <c r="A219" s="13">
        <v>47788</v>
      </c>
      <c r="B219" s="47">
        <v>30</v>
      </c>
      <c r="C219" s="38">
        <v>122.58</v>
      </c>
      <c r="D219" s="38">
        <v>297.94099999999997</v>
      </c>
      <c r="E219" s="44">
        <v>729.47900000000004</v>
      </c>
      <c r="F219" s="38">
        <v>1150</v>
      </c>
      <c r="G219" s="38">
        <v>100</v>
      </c>
      <c r="H219" s="46">
        <v>600</v>
      </c>
      <c r="I219" s="38">
        <v>695</v>
      </c>
      <c r="J219" s="38">
        <v>50</v>
      </c>
      <c r="K219" s="39"/>
      <c r="L219" s="39"/>
      <c r="M219" s="39"/>
      <c r="N219" s="39"/>
      <c r="O219" s="39"/>
      <c r="P219" s="39"/>
      <c r="Q219" s="39"/>
      <c r="R219" s="39"/>
      <c r="S219" s="39"/>
      <c r="T219" s="39"/>
    </row>
    <row r="220" spans="1:20" ht="15.75">
      <c r="A220" s="13">
        <v>47818</v>
      </c>
      <c r="B220" s="47">
        <v>31</v>
      </c>
      <c r="C220" s="38">
        <v>122.58</v>
      </c>
      <c r="D220" s="38">
        <v>297.94099999999997</v>
      </c>
      <c r="E220" s="44">
        <v>729.47900000000004</v>
      </c>
      <c r="F220" s="38">
        <v>1150</v>
      </c>
      <c r="G220" s="38">
        <v>100</v>
      </c>
      <c r="H220" s="46">
        <v>600</v>
      </c>
      <c r="I220" s="38">
        <v>695</v>
      </c>
      <c r="J220" s="38">
        <v>50</v>
      </c>
      <c r="K220" s="39"/>
      <c r="L220" s="39"/>
      <c r="M220" s="39"/>
      <c r="N220" s="39"/>
      <c r="O220" s="39"/>
      <c r="P220" s="39"/>
      <c r="Q220" s="39"/>
      <c r="R220" s="39"/>
      <c r="S220" s="39"/>
      <c r="T220" s="39"/>
    </row>
    <row r="221" spans="1:20" ht="15.75">
      <c r="A221" s="13">
        <v>47849</v>
      </c>
      <c r="B221" s="47">
        <v>31</v>
      </c>
      <c r="C221" s="38">
        <v>122.58</v>
      </c>
      <c r="D221" s="38">
        <v>297.94099999999997</v>
      </c>
      <c r="E221" s="44">
        <v>729.47900000000004</v>
      </c>
      <c r="F221" s="38">
        <v>1150</v>
      </c>
      <c r="G221" s="38">
        <v>100</v>
      </c>
      <c r="H221" s="46">
        <v>600</v>
      </c>
      <c r="I221" s="38">
        <v>695</v>
      </c>
      <c r="J221" s="38">
        <v>50</v>
      </c>
      <c r="K221" s="39"/>
      <c r="L221" s="39"/>
      <c r="M221" s="39"/>
      <c r="N221" s="39"/>
      <c r="O221" s="39"/>
      <c r="P221" s="39"/>
      <c r="Q221" s="39"/>
      <c r="R221" s="39"/>
      <c r="S221" s="39"/>
      <c r="T221" s="39"/>
    </row>
    <row r="222" spans="1:20" ht="15.75">
      <c r="A222" s="13">
        <v>47880</v>
      </c>
      <c r="B222" s="47">
        <v>28</v>
      </c>
      <c r="C222" s="38">
        <v>122.58</v>
      </c>
      <c r="D222" s="38">
        <v>297.94099999999997</v>
      </c>
      <c r="E222" s="44">
        <v>729.47900000000004</v>
      </c>
      <c r="F222" s="38">
        <v>1150</v>
      </c>
      <c r="G222" s="38">
        <v>100</v>
      </c>
      <c r="H222" s="46">
        <v>600</v>
      </c>
      <c r="I222" s="38">
        <v>695</v>
      </c>
      <c r="J222" s="38">
        <v>50</v>
      </c>
      <c r="K222" s="39"/>
      <c r="L222" s="39"/>
      <c r="M222" s="39"/>
      <c r="N222" s="39"/>
      <c r="O222" s="39"/>
      <c r="P222" s="39"/>
      <c r="Q222" s="39"/>
      <c r="R222" s="39"/>
      <c r="S222" s="39"/>
      <c r="T222" s="39"/>
    </row>
    <row r="223" spans="1:20" ht="15.75">
      <c r="A223" s="13">
        <v>47908</v>
      </c>
      <c r="B223" s="47">
        <v>31</v>
      </c>
      <c r="C223" s="38">
        <v>122.58</v>
      </c>
      <c r="D223" s="38">
        <v>297.94099999999997</v>
      </c>
      <c r="E223" s="44">
        <v>729.47900000000004</v>
      </c>
      <c r="F223" s="38">
        <v>1150</v>
      </c>
      <c r="G223" s="38">
        <v>100</v>
      </c>
      <c r="H223" s="46">
        <v>600</v>
      </c>
      <c r="I223" s="38">
        <v>695</v>
      </c>
      <c r="J223" s="38">
        <v>50</v>
      </c>
      <c r="K223" s="39"/>
      <c r="L223" s="39"/>
      <c r="M223" s="39"/>
      <c r="N223" s="39"/>
      <c r="O223" s="39"/>
      <c r="P223" s="39"/>
      <c r="Q223" s="39"/>
      <c r="R223" s="39"/>
      <c r="S223" s="39"/>
      <c r="T223" s="39"/>
    </row>
    <row r="224" spans="1:20" ht="15.75">
      <c r="A224" s="13">
        <v>47939</v>
      </c>
      <c r="B224" s="47">
        <v>30</v>
      </c>
      <c r="C224" s="38">
        <v>141.29300000000001</v>
      </c>
      <c r="D224" s="38">
        <v>267.99299999999999</v>
      </c>
      <c r="E224" s="44">
        <v>829.71400000000006</v>
      </c>
      <c r="F224" s="38">
        <v>1239</v>
      </c>
      <c r="G224" s="38">
        <v>100</v>
      </c>
      <c r="H224" s="46">
        <v>600</v>
      </c>
      <c r="I224" s="38">
        <v>695</v>
      </c>
      <c r="J224" s="38">
        <v>50</v>
      </c>
      <c r="K224" s="39"/>
      <c r="L224" s="39"/>
      <c r="M224" s="39"/>
      <c r="N224" s="39"/>
      <c r="O224" s="39"/>
      <c r="P224" s="39"/>
      <c r="Q224" s="39"/>
      <c r="R224" s="39"/>
      <c r="S224" s="39"/>
      <c r="T224" s="39"/>
    </row>
    <row r="225" spans="1:20" ht="15.75">
      <c r="A225" s="13">
        <v>47969</v>
      </c>
      <c r="B225" s="47">
        <v>31</v>
      </c>
      <c r="C225" s="38">
        <v>194.20500000000001</v>
      </c>
      <c r="D225" s="38">
        <v>267.46600000000001</v>
      </c>
      <c r="E225" s="44">
        <v>812.32899999999995</v>
      </c>
      <c r="F225" s="38">
        <v>1274</v>
      </c>
      <c r="G225" s="38">
        <v>75</v>
      </c>
      <c r="H225" s="46">
        <v>600</v>
      </c>
      <c r="I225" s="38">
        <v>695</v>
      </c>
      <c r="J225" s="38">
        <v>50</v>
      </c>
      <c r="K225" s="39"/>
      <c r="L225" s="39"/>
      <c r="M225" s="39"/>
      <c r="N225" s="39"/>
      <c r="O225" s="39"/>
      <c r="P225" s="39"/>
      <c r="Q225" s="39"/>
      <c r="R225" s="39"/>
      <c r="S225" s="39"/>
      <c r="T225" s="39"/>
    </row>
    <row r="226" spans="1:20" ht="15.75">
      <c r="A226" s="13">
        <v>48000</v>
      </c>
      <c r="B226" s="47">
        <v>30</v>
      </c>
      <c r="C226" s="38">
        <v>194.20500000000001</v>
      </c>
      <c r="D226" s="38">
        <v>267.46600000000001</v>
      </c>
      <c r="E226" s="44">
        <v>812.32899999999995</v>
      </c>
      <c r="F226" s="38">
        <v>1274</v>
      </c>
      <c r="G226" s="38">
        <v>50</v>
      </c>
      <c r="H226" s="46">
        <v>600</v>
      </c>
      <c r="I226" s="38">
        <v>695</v>
      </c>
      <c r="J226" s="38">
        <v>50</v>
      </c>
      <c r="K226" s="39"/>
      <c r="L226" s="39"/>
      <c r="M226" s="39"/>
      <c r="N226" s="39"/>
      <c r="O226" s="39"/>
      <c r="P226" s="39"/>
      <c r="Q226" s="39"/>
      <c r="R226" s="39"/>
      <c r="S226" s="39"/>
      <c r="T226" s="39"/>
    </row>
    <row r="227" spans="1:20" ht="15.75">
      <c r="A227" s="13">
        <v>48030</v>
      </c>
      <c r="B227" s="47">
        <v>31</v>
      </c>
      <c r="C227" s="38">
        <v>194.20500000000001</v>
      </c>
      <c r="D227" s="38">
        <v>267.46600000000001</v>
      </c>
      <c r="E227" s="44">
        <v>812.32899999999995</v>
      </c>
      <c r="F227" s="38">
        <v>1274</v>
      </c>
      <c r="G227" s="38">
        <v>50</v>
      </c>
      <c r="H227" s="46">
        <v>600</v>
      </c>
      <c r="I227" s="38">
        <v>695</v>
      </c>
      <c r="J227" s="38">
        <v>0</v>
      </c>
      <c r="K227" s="39"/>
      <c r="L227" s="39"/>
      <c r="M227" s="39"/>
      <c r="N227" s="39"/>
      <c r="O227" s="39"/>
      <c r="P227" s="39"/>
      <c r="Q227" s="39"/>
      <c r="R227" s="39"/>
      <c r="S227" s="39"/>
      <c r="T227" s="39"/>
    </row>
    <row r="228" spans="1:20" ht="15.75">
      <c r="A228" s="13">
        <v>48061</v>
      </c>
      <c r="B228" s="47">
        <v>31</v>
      </c>
      <c r="C228" s="38">
        <v>194.20500000000001</v>
      </c>
      <c r="D228" s="38">
        <v>267.46600000000001</v>
      </c>
      <c r="E228" s="44">
        <v>812.32899999999995</v>
      </c>
      <c r="F228" s="38">
        <v>1274</v>
      </c>
      <c r="G228" s="38">
        <v>50</v>
      </c>
      <c r="H228" s="46">
        <v>600</v>
      </c>
      <c r="I228" s="38">
        <v>695</v>
      </c>
      <c r="J228" s="38">
        <v>0</v>
      </c>
      <c r="K228" s="39"/>
      <c r="L228" s="39"/>
      <c r="M228" s="39"/>
      <c r="N228" s="39"/>
      <c r="O228" s="39"/>
      <c r="P228" s="39"/>
      <c r="Q228" s="39"/>
      <c r="R228" s="39"/>
      <c r="S228" s="39"/>
      <c r="T228" s="39"/>
    </row>
    <row r="229" spans="1:20" ht="15.75">
      <c r="A229" s="13">
        <v>48092</v>
      </c>
      <c r="B229" s="47">
        <v>30</v>
      </c>
      <c r="C229" s="38">
        <v>194.20500000000001</v>
      </c>
      <c r="D229" s="38">
        <v>267.46600000000001</v>
      </c>
      <c r="E229" s="44">
        <v>812.32899999999995</v>
      </c>
      <c r="F229" s="38">
        <v>1274</v>
      </c>
      <c r="G229" s="38">
        <v>50</v>
      </c>
      <c r="H229" s="46">
        <v>600</v>
      </c>
      <c r="I229" s="38">
        <v>695</v>
      </c>
      <c r="J229" s="38">
        <v>0</v>
      </c>
      <c r="K229" s="39"/>
      <c r="L229" s="39"/>
      <c r="M229" s="39"/>
      <c r="N229" s="39"/>
      <c r="O229" s="39"/>
      <c r="P229" s="39"/>
      <c r="Q229" s="39"/>
      <c r="R229" s="39"/>
      <c r="S229" s="39"/>
      <c r="T229" s="39"/>
    </row>
    <row r="230" spans="1:20" ht="15.75">
      <c r="A230" s="13">
        <v>48122</v>
      </c>
      <c r="B230" s="47">
        <v>31</v>
      </c>
      <c r="C230" s="38">
        <v>131.881</v>
      </c>
      <c r="D230" s="38">
        <v>277.16699999999997</v>
      </c>
      <c r="E230" s="44">
        <v>829.952</v>
      </c>
      <c r="F230" s="38">
        <v>1239</v>
      </c>
      <c r="G230" s="38">
        <v>75</v>
      </c>
      <c r="H230" s="46">
        <v>600</v>
      </c>
      <c r="I230" s="38">
        <v>695</v>
      </c>
      <c r="J230" s="38">
        <v>0</v>
      </c>
      <c r="K230" s="39"/>
      <c r="L230" s="39"/>
      <c r="M230" s="39"/>
      <c r="N230" s="39"/>
      <c r="O230" s="39"/>
      <c r="P230" s="39"/>
      <c r="Q230" s="39"/>
      <c r="R230" s="39"/>
      <c r="S230" s="39"/>
      <c r="T230" s="39"/>
    </row>
    <row r="231" spans="1:20" ht="15.75">
      <c r="A231" s="13">
        <v>48153</v>
      </c>
      <c r="B231" s="47">
        <v>30</v>
      </c>
      <c r="C231" s="38">
        <v>122.58</v>
      </c>
      <c r="D231" s="38">
        <v>297.94099999999997</v>
      </c>
      <c r="E231" s="44">
        <v>729.47900000000004</v>
      </c>
      <c r="F231" s="38">
        <v>1150</v>
      </c>
      <c r="G231" s="38">
        <v>100</v>
      </c>
      <c r="H231" s="46">
        <v>600</v>
      </c>
      <c r="I231" s="38">
        <v>695</v>
      </c>
      <c r="J231" s="38">
        <v>50</v>
      </c>
      <c r="K231" s="39"/>
      <c r="L231" s="39"/>
      <c r="M231" s="39"/>
      <c r="N231" s="39"/>
      <c r="O231" s="39"/>
      <c r="P231" s="39"/>
      <c r="Q231" s="39"/>
      <c r="R231" s="39"/>
      <c r="S231" s="39"/>
      <c r="T231" s="39"/>
    </row>
    <row r="232" spans="1:20" ht="15.75">
      <c r="A232" s="13">
        <v>48183</v>
      </c>
      <c r="B232" s="47">
        <v>31</v>
      </c>
      <c r="C232" s="38">
        <v>122.58</v>
      </c>
      <c r="D232" s="38">
        <v>297.94099999999997</v>
      </c>
      <c r="E232" s="44">
        <v>729.47900000000004</v>
      </c>
      <c r="F232" s="38">
        <v>1150</v>
      </c>
      <c r="G232" s="38">
        <v>100</v>
      </c>
      <c r="H232" s="46">
        <v>600</v>
      </c>
      <c r="I232" s="38">
        <v>695</v>
      </c>
      <c r="J232" s="38">
        <v>50</v>
      </c>
      <c r="K232" s="39"/>
      <c r="L232" s="39"/>
      <c r="M232" s="39"/>
      <c r="N232" s="39"/>
      <c r="O232" s="39"/>
      <c r="P232" s="39"/>
      <c r="Q232" s="39"/>
      <c r="R232" s="39"/>
      <c r="S232" s="39"/>
      <c r="T232" s="39"/>
    </row>
    <row r="233" spans="1:20" ht="15.75">
      <c r="A233" s="13">
        <v>48214</v>
      </c>
      <c r="B233" s="47">
        <v>31</v>
      </c>
      <c r="C233" s="38">
        <v>122.58</v>
      </c>
      <c r="D233" s="38">
        <v>297.94099999999997</v>
      </c>
      <c r="E233" s="44">
        <v>729.47900000000004</v>
      </c>
      <c r="F233" s="38">
        <v>1150</v>
      </c>
      <c r="G233" s="38">
        <v>100</v>
      </c>
      <c r="H233" s="46">
        <v>600</v>
      </c>
      <c r="I233" s="38">
        <v>695</v>
      </c>
      <c r="J233" s="38">
        <v>50</v>
      </c>
      <c r="K233" s="39"/>
      <c r="L233" s="39"/>
      <c r="M233" s="39"/>
      <c r="N233" s="39"/>
      <c r="O233" s="39"/>
      <c r="P233" s="39"/>
      <c r="Q233" s="39"/>
      <c r="R233" s="39"/>
      <c r="S233" s="39"/>
      <c r="T233" s="39"/>
    </row>
    <row r="234" spans="1:20" ht="15.75">
      <c r="A234" s="13">
        <v>48245</v>
      </c>
      <c r="B234" s="47">
        <v>29</v>
      </c>
      <c r="C234" s="38">
        <v>122.58</v>
      </c>
      <c r="D234" s="38">
        <v>297.94099999999997</v>
      </c>
      <c r="E234" s="44">
        <v>729.47900000000004</v>
      </c>
      <c r="F234" s="38">
        <v>1150</v>
      </c>
      <c r="G234" s="38">
        <v>100</v>
      </c>
      <c r="H234" s="46">
        <v>600</v>
      </c>
      <c r="I234" s="38">
        <v>695</v>
      </c>
      <c r="J234" s="38">
        <v>50</v>
      </c>
      <c r="K234" s="39"/>
      <c r="L234" s="39"/>
      <c r="M234" s="39"/>
      <c r="N234" s="39"/>
      <c r="O234" s="39"/>
      <c r="P234" s="39"/>
      <c r="Q234" s="39"/>
      <c r="R234" s="39"/>
      <c r="S234" s="39"/>
      <c r="T234" s="39"/>
    </row>
    <row r="235" spans="1:20" ht="15.75">
      <c r="A235" s="13">
        <v>48274</v>
      </c>
      <c r="B235" s="47">
        <v>31</v>
      </c>
      <c r="C235" s="38">
        <v>122.58</v>
      </c>
      <c r="D235" s="38">
        <v>297.94099999999997</v>
      </c>
      <c r="E235" s="44">
        <v>729.47900000000004</v>
      </c>
      <c r="F235" s="38">
        <v>1150</v>
      </c>
      <c r="G235" s="38">
        <v>100</v>
      </c>
      <c r="H235" s="46">
        <v>600</v>
      </c>
      <c r="I235" s="38">
        <v>695</v>
      </c>
      <c r="J235" s="38">
        <v>50</v>
      </c>
      <c r="K235" s="39"/>
      <c r="L235" s="39"/>
      <c r="M235" s="39"/>
      <c r="N235" s="39"/>
      <c r="O235" s="39"/>
      <c r="P235" s="39"/>
      <c r="Q235" s="39"/>
      <c r="R235" s="39"/>
      <c r="S235" s="39"/>
      <c r="T235" s="39"/>
    </row>
    <row r="236" spans="1:20" ht="15.75">
      <c r="A236" s="13">
        <v>48305</v>
      </c>
      <c r="B236" s="47">
        <v>30</v>
      </c>
      <c r="C236" s="38">
        <v>141.29300000000001</v>
      </c>
      <c r="D236" s="38">
        <v>267.99299999999999</v>
      </c>
      <c r="E236" s="44">
        <v>829.71400000000006</v>
      </c>
      <c r="F236" s="38">
        <v>1239</v>
      </c>
      <c r="G236" s="38">
        <v>100</v>
      </c>
      <c r="H236" s="46">
        <v>600</v>
      </c>
      <c r="I236" s="38">
        <v>695</v>
      </c>
      <c r="J236" s="38">
        <v>50</v>
      </c>
      <c r="K236" s="39"/>
      <c r="L236" s="39"/>
      <c r="M236" s="39"/>
      <c r="N236" s="39"/>
      <c r="O236" s="39"/>
      <c r="P236" s="39"/>
      <c r="Q236" s="39"/>
      <c r="R236" s="39"/>
      <c r="S236" s="39"/>
      <c r="T236" s="39"/>
    </row>
    <row r="237" spans="1:20" ht="15.75">
      <c r="A237" s="13">
        <v>48335</v>
      </c>
      <c r="B237" s="47">
        <v>31</v>
      </c>
      <c r="C237" s="38">
        <v>194.20500000000001</v>
      </c>
      <c r="D237" s="38">
        <v>267.46600000000001</v>
      </c>
      <c r="E237" s="44">
        <v>812.32899999999995</v>
      </c>
      <c r="F237" s="38">
        <v>1274</v>
      </c>
      <c r="G237" s="38">
        <v>75</v>
      </c>
      <c r="H237" s="46">
        <v>600</v>
      </c>
      <c r="I237" s="38">
        <v>695</v>
      </c>
      <c r="J237" s="38">
        <v>50</v>
      </c>
      <c r="K237" s="39"/>
      <c r="L237" s="39"/>
      <c r="M237" s="39"/>
      <c r="N237" s="39"/>
      <c r="O237" s="39"/>
      <c r="P237" s="39"/>
      <c r="Q237" s="39"/>
      <c r="R237" s="39"/>
      <c r="S237" s="39"/>
      <c r="T237" s="39"/>
    </row>
    <row r="238" spans="1:20" ht="15.75">
      <c r="A238" s="13">
        <v>48366</v>
      </c>
      <c r="B238" s="47">
        <v>30</v>
      </c>
      <c r="C238" s="38">
        <v>194.20500000000001</v>
      </c>
      <c r="D238" s="38">
        <v>267.46600000000001</v>
      </c>
      <c r="E238" s="44">
        <v>812.32899999999995</v>
      </c>
      <c r="F238" s="38">
        <v>1274</v>
      </c>
      <c r="G238" s="38">
        <v>50</v>
      </c>
      <c r="H238" s="46">
        <v>600</v>
      </c>
      <c r="I238" s="38">
        <v>695</v>
      </c>
      <c r="J238" s="38">
        <v>50</v>
      </c>
      <c r="K238" s="39"/>
      <c r="L238" s="39"/>
      <c r="M238" s="39"/>
      <c r="N238" s="39"/>
      <c r="O238" s="39"/>
      <c r="P238" s="39"/>
      <c r="Q238" s="39"/>
      <c r="R238" s="39"/>
      <c r="S238" s="39"/>
      <c r="T238" s="39"/>
    </row>
    <row r="239" spans="1:20" ht="15.75">
      <c r="A239" s="13">
        <v>48396</v>
      </c>
      <c r="B239" s="47">
        <v>31</v>
      </c>
      <c r="C239" s="38">
        <v>194.20500000000001</v>
      </c>
      <c r="D239" s="38">
        <v>267.46600000000001</v>
      </c>
      <c r="E239" s="44">
        <v>812.32899999999995</v>
      </c>
      <c r="F239" s="38">
        <v>1274</v>
      </c>
      <c r="G239" s="38">
        <v>50</v>
      </c>
      <c r="H239" s="46">
        <v>600</v>
      </c>
      <c r="I239" s="38">
        <v>695</v>
      </c>
      <c r="J239" s="38">
        <v>0</v>
      </c>
      <c r="K239" s="39"/>
      <c r="L239" s="39"/>
      <c r="M239" s="39"/>
      <c r="N239" s="39"/>
      <c r="O239" s="39"/>
      <c r="P239" s="39"/>
      <c r="Q239" s="39"/>
      <c r="R239" s="39"/>
      <c r="S239" s="39"/>
      <c r="T239" s="39"/>
    </row>
    <row r="240" spans="1:20" ht="15.75">
      <c r="A240" s="13">
        <v>48427</v>
      </c>
      <c r="B240" s="47">
        <v>31</v>
      </c>
      <c r="C240" s="38">
        <v>194.20500000000001</v>
      </c>
      <c r="D240" s="38">
        <v>267.46600000000001</v>
      </c>
      <c r="E240" s="44">
        <v>812.32899999999995</v>
      </c>
      <c r="F240" s="38">
        <v>1274</v>
      </c>
      <c r="G240" s="38">
        <v>50</v>
      </c>
      <c r="H240" s="46">
        <v>600</v>
      </c>
      <c r="I240" s="38">
        <v>695</v>
      </c>
      <c r="J240" s="38">
        <v>0</v>
      </c>
      <c r="K240" s="39"/>
      <c r="L240" s="39"/>
      <c r="M240" s="39"/>
      <c r="N240" s="39"/>
      <c r="O240" s="39"/>
      <c r="P240" s="39"/>
      <c r="Q240" s="39"/>
      <c r="R240" s="39"/>
      <c r="S240" s="39"/>
      <c r="T240" s="39"/>
    </row>
    <row r="241" spans="1:20" ht="15.75">
      <c r="A241" s="13">
        <v>48458</v>
      </c>
      <c r="B241" s="47">
        <v>30</v>
      </c>
      <c r="C241" s="38">
        <v>194.20500000000001</v>
      </c>
      <c r="D241" s="38">
        <v>267.46600000000001</v>
      </c>
      <c r="E241" s="44">
        <v>812.32899999999995</v>
      </c>
      <c r="F241" s="38">
        <v>1274</v>
      </c>
      <c r="G241" s="38">
        <v>50</v>
      </c>
      <c r="H241" s="46">
        <v>600</v>
      </c>
      <c r="I241" s="38">
        <v>695</v>
      </c>
      <c r="J241" s="38">
        <v>0</v>
      </c>
      <c r="K241" s="39"/>
      <c r="L241" s="39"/>
      <c r="M241" s="39"/>
      <c r="N241" s="39"/>
      <c r="O241" s="39"/>
      <c r="P241" s="39"/>
      <c r="Q241" s="39"/>
      <c r="R241" s="39"/>
      <c r="S241" s="39"/>
      <c r="T241" s="39"/>
    </row>
    <row r="242" spans="1:20" ht="15.75">
      <c r="A242" s="13">
        <v>48488</v>
      </c>
      <c r="B242" s="47">
        <v>31</v>
      </c>
      <c r="C242" s="38">
        <v>131.881</v>
      </c>
      <c r="D242" s="38">
        <v>277.16699999999997</v>
      </c>
      <c r="E242" s="44">
        <v>829.952</v>
      </c>
      <c r="F242" s="38">
        <v>1239</v>
      </c>
      <c r="G242" s="38">
        <v>75</v>
      </c>
      <c r="H242" s="46">
        <v>600</v>
      </c>
      <c r="I242" s="38">
        <v>695</v>
      </c>
      <c r="J242" s="38">
        <v>0</v>
      </c>
      <c r="K242" s="39"/>
      <c r="L242" s="39"/>
      <c r="M242" s="39"/>
      <c r="N242" s="39"/>
      <c r="O242" s="39"/>
      <c r="P242" s="39"/>
      <c r="Q242" s="39"/>
      <c r="R242" s="39"/>
      <c r="S242" s="39"/>
      <c r="T242" s="39"/>
    </row>
    <row r="243" spans="1:20" ht="15.75">
      <c r="A243" s="13">
        <v>48519</v>
      </c>
      <c r="B243" s="47">
        <v>30</v>
      </c>
      <c r="C243" s="38">
        <v>122.58</v>
      </c>
      <c r="D243" s="38">
        <v>297.94099999999997</v>
      </c>
      <c r="E243" s="44">
        <v>729.47900000000004</v>
      </c>
      <c r="F243" s="38">
        <v>1150</v>
      </c>
      <c r="G243" s="38">
        <v>100</v>
      </c>
      <c r="H243" s="46">
        <v>600</v>
      </c>
      <c r="I243" s="38">
        <v>695</v>
      </c>
      <c r="J243" s="38">
        <v>50</v>
      </c>
      <c r="K243" s="39"/>
      <c r="L243" s="39"/>
      <c r="M243" s="39"/>
      <c r="N243" s="39"/>
      <c r="O243" s="39"/>
      <c r="P243" s="39"/>
      <c r="Q243" s="39"/>
      <c r="R243" s="39"/>
      <c r="S243" s="39"/>
      <c r="T243" s="39"/>
    </row>
    <row r="244" spans="1:20" ht="15.75">
      <c r="A244" s="13">
        <v>48549</v>
      </c>
      <c r="B244" s="47">
        <v>31</v>
      </c>
      <c r="C244" s="38">
        <v>122.58</v>
      </c>
      <c r="D244" s="38">
        <v>297.94099999999997</v>
      </c>
      <c r="E244" s="44">
        <v>729.47900000000004</v>
      </c>
      <c r="F244" s="38">
        <v>1150</v>
      </c>
      <c r="G244" s="38">
        <v>100</v>
      </c>
      <c r="H244" s="46">
        <v>600</v>
      </c>
      <c r="I244" s="38">
        <v>695</v>
      </c>
      <c r="J244" s="38">
        <v>50</v>
      </c>
      <c r="K244" s="39"/>
      <c r="L244" s="39"/>
      <c r="M244" s="39"/>
      <c r="N244" s="39"/>
      <c r="O244" s="39"/>
      <c r="P244" s="39"/>
      <c r="Q244" s="39"/>
      <c r="R244" s="39"/>
      <c r="S244" s="39"/>
      <c r="T244" s="39"/>
    </row>
    <row r="245" spans="1:20" ht="15.75">
      <c r="A245" s="13">
        <v>48580</v>
      </c>
      <c r="B245" s="47">
        <v>31</v>
      </c>
      <c r="C245" s="38">
        <v>122.58</v>
      </c>
      <c r="D245" s="38">
        <v>297.94099999999997</v>
      </c>
      <c r="E245" s="44">
        <v>729.47900000000004</v>
      </c>
      <c r="F245" s="38">
        <v>1150</v>
      </c>
      <c r="G245" s="38">
        <v>100</v>
      </c>
      <c r="H245" s="46">
        <v>600</v>
      </c>
      <c r="I245" s="38">
        <v>695</v>
      </c>
      <c r="J245" s="38">
        <v>50</v>
      </c>
      <c r="K245" s="39"/>
      <c r="L245" s="39"/>
      <c r="M245" s="39"/>
      <c r="N245" s="39"/>
      <c r="O245" s="39"/>
      <c r="P245" s="39"/>
      <c r="Q245" s="39"/>
      <c r="R245" s="39"/>
      <c r="S245" s="39"/>
      <c r="T245" s="39"/>
    </row>
    <row r="246" spans="1:20" ht="15.75">
      <c r="A246" s="13">
        <v>48611</v>
      </c>
      <c r="B246" s="47">
        <v>28</v>
      </c>
      <c r="C246" s="38">
        <v>122.58</v>
      </c>
      <c r="D246" s="38">
        <v>297.94099999999997</v>
      </c>
      <c r="E246" s="44">
        <v>729.47900000000004</v>
      </c>
      <c r="F246" s="38">
        <v>1150</v>
      </c>
      <c r="G246" s="38">
        <v>100</v>
      </c>
      <c r="H246" s="46">
        <v>600</v>
      </c>
      <c r="I246" s="38">
        <v>695</v>
      </c>
      <c r="J246" s="38">
        <v>50</v>
      </c>
      <c r="K246" s="39"/>
      <c r="L246" s="39"/>
      <c r="M246" s="39"/>
      <c r="N246" s="39"/>
      <c r="O246" s="39"/>
      <c r="P246" s="39"/>
      <c r="Q246" s="39"/>
      <c r="R246" s="39"/>
      <c r="S246" s="39"/>
      <c r="T246" s="39"/>
    </row>
    <row r="247" spans="1:20" ht="15.75">
      <c r="A247" s="13">
        <v>48639</v>
      </c>
      <c r="B247" s="47">
        <v>31</v>
      </c>
      <c r="C247" s="38">
        <v>122.58</v>
      </c>
      <c r="D247" s="38">
        <v>297.94099999999997</v>
      </c>
      <c r="E247" s="44">
        <v>729.47900000000004</v>
      </c>
      <c r="F247" s="38">
        <v>1150</v>
      </c>
      <c r="G247" s="38">
        <v>100</v>
      </c>
      <c r="H247" s="46">
        <v>600</v>
      </c>
      <c r="I247" s="38">
        <v>695</v>
      </c>
      <c r="J247" s="38">
        <v>50</v>
      </c>
      <c r="K247" s="39"/>
      <c r="L247" s="39"/>
      <c r="M247" s="39"/>
      <c r="N247" s="39"/>
      <c r="O247" s="39"/>
      <c r="P247" s="39"/>
      <c r="Q247" s="39"/>
      <c r="R247" s="39"/>
      <c r="S247" s="39"/>
      <c r="T247" s="39"/>
    </row>
    <row r="248" spans="1:20" ht="15.75">
      <c r="A248" s="13">
        <v>48670</v>
      </c>
      <c r="B248" s="47">
        <v>30</v>
      </c>
      <c r="C248" s="38">
        <v>141.29300000000001</v>
      </c>
      <c r="D248" s="38">
        <v>267.99299999999999</v>
      </c>
      <c r="E248" s="44">
        <v>829.71400000000006</v>
      </c>
      <c r="F248" s="38">
        <v>1239</v>
      </c>
      <c r="G248" s="38">
        <v>100</v>
      </c>
      <c r="H248" s="46">
        <v>600</v>
      </c>
      <c r="I248" s="38">
        <v>695</v>
      </c>
      <c r="J248" s="38">
        <v>50</v>
      </c>
      <c r="K248" s="39"/>
      <c r="L248" s="39"/>
      <c r="M248" s="39"/>
      <c r="N248" s="39"/>
      <c r="O248" s="39"/>
      <c r="P248" s="39"/>
      <c r="Q248" s="39"/>
      <c r="R248" s="39"/>
      <c r="S248" s="39"/>
      <c r="T248" s="39"/>
    </row>
    <row r="249" spans="1:20" ht="15.75">
      <c r="A249" s="13">
        <v>48700</v>
      </c>
      <c r="B249" s="47">
        <v>31</v>
      </c>
      <c r="C249" s="38">
        <v>194.20500000000001</v>
      </c>
      <c r="D249" s="38">
        <v>267.46600000000001</v>
      </c>
      <c r="E249" s="44">
        <v>812.32899999999995</v>
      </c>
      <c r="F249" s="38">
        <v>1274</v>
      </c>
      <c r="G249" s="38">
        <v>75</v>
      </c>
      <c r="H249" s="46">
        <v>600</v>
      </c>
      <c r="I249" s="38">
        <v>695</v>
      </c>
      <c r="J249" s="38">
        <v>50</v>
      </c>
      <c r="K249" s="39"/>
      <c r="L249" s="39"/>
      <c r="M249" s="39"/>
      <c r="N249" s="39"/>
      <c r="O249" s="39"/>
      <c r="P249" s="39"/>
      <c r="Q249" s="39"/>
      <c r="R249" s="39"/>
      <c r="S249" s="39"/>
      <c r="T249" s="39"/>
    </row>
    <row r="250" spans="1:20" ht="15.75">
      <c r="A250" s="13">
        <v>48731</v>
      </c>
      <c r="B250" s="47">
        <v>30</v>
      </c>
      <c r="C250" s="38">
        <v>194.20500000000001</v>
      </c>
      <c r="D250" s="38">
        <v>267.46600000000001</v>
      </c>
      <c r="E250" s="44">
        <v>812.32899999999995</v>
      </c>
      <c r="F250" s="38">
        <v>1274</v>
      </c>
      <c r="G250" s="38">
        <v>50</v>
      </c>
      <c r="H250" s="46">
        <v>600</v>
      </c>
      <c r="I250" s="38">
        <v>695</v>
      </c>
      <c r="J250" s="38">
        <v>50</v>
      </c>
      <c r="K250" s="39"/>
      <c r="L250" s="39"/>
      <c r="M250" s="39"/>
      <c r="N250" s="39"/>
      <c r="O250" s="39"/>
      <c r="P250" s="39"/>
      <c r="Q250" s="39"/>
      <c r="R250" s="39"/>
      <c r="S250" s="39"/>
      <c r="T250" s="39"/>
    </row>
    <row r="251" spans="1:20" ht="15.75">
      <c r="A251" s="13">
        <v>48761</v>
      </c>
      <c r="B251" s="47">
        <v>31</v>
      </c>
      <c r="C251" s="38">
        <v>194.20500000000001</v>
      </c>
      <c r="D251" s="38">
        <v>267.46600000000001</v>
      </c>
      <c r="E251" s="44">
        <v>812.32899999999995</v>
      </c>
      <c r="F251" s="38">
        <v>1274</v>
      </c>
      <c r="G251" s="38">
        <v>50</v>
      </c>
      <c r="H251" s="46">
        <v>600</v>
      </c>
      <c r="I251" s="38">
        <v>695</v>
      </c>
      <c r="J251" s="38">
        <v>0</v>
      </c>
      <c r="K251" s="39"/>
      <c r="L251" s="39"/>
      <c r="M251" s="39"/>
      <c r="N251" s="39"/>
      <c r="O251" s="39"/>
      <c r="P251" s="39"/>
      <c r="Q251" s="39"/>
      <c r="R251" s="39"/>
      <c r="S251" s="39"/>
      <c r="T251" s="39"/>
    </row>
    <row r="252" spans="1:20" ht="15.75">
      <c r="A252" s="13">
        <v>48792</v>
      </c>
      <c r="B252" s="47">
        <v>31</v>
      </c>
      <c r="C252" s="38">
        <v>194.20500000000001</v>
      </c>
      <c r="D252" s="38">
        <v>267.46600000000001</v>
      </c>
      <c r="E252" s="44">
        <v>812.32899999999995</v>
      </c>
      <c r="F252" s="38">
        <v>1274</v>
      </c>
      <c r="G252" s="38">
        <v>50</v>
      </c>
      <c r="H252" s="46">
        <v>600</v>
      </c>
      <c r="I252" s="38">
        <v>695</v>
      </c>
      <c r="J252" s="38">
        <v>0</v>
      </c>
      <c r="K252" s="39"/>
      <c r="L252" s="39"/>
      <c r="M252" s="39"/>
      <c r="N252" s="39"/>
      <c r="O252" s="39"/>
      <c r="P252" s="39"/>
      <c r="Q252" s="39"/>
      <c r="R252" s="39"/>
      <c r="S252" s="39"/>
      <c r="T252" s="39"/>
    </row>
    <row r="253" spans="1:20" ht="15.75">
      <c r="A253" s="13">
        <v>48823</v>
      </c>
      <c r="B253" s="47">
        <v>30</v>
      </c>
      <c r="C253" s="38">
        <v>194.20500000000001</v>
      </c>
      <c r="D253" s="38">
        <v>267.46600000000001</v>
      </c>
      <c r="E253" s="44">
        <v>812.32899999999995</v>
      </c>
      <c r="F253" s="38">
        <v>1274</v>
      </c>
      <c r="G253" s="38">
        <v>50</v>
      </c>
      <c r="H253" s="46">
        <v>600</v>
      </c>
      <c r="I253" s="38">
        <v>695</v>
      </c>
      <c r="J253" s="38">
        <v>0</v>
      </c>
      <c r="K253" s="39"/>
      <c r="L253" s="39"/>
      <c r="M253" s="39"/>
      <c r="N253" s="39"/>
      <c r="O253" s="39"/>
      <c r="P253" s="39"/>
      <c r="Q253" s="39"/>
      <c r="R253" s="39"/>
      <c r="S253" s="39"/>
      <c r="T253" s="39"/>
    </row>
    <row r="254" spans="1:20" ht="15.75">
      <c r="A254" s="13">
        <v>48853</v>
      </c>
      <c r="B254" s="47">
        <v>31</v>
      </c>
      <c r="C254" s="38">
        <v>131.881</v>
      </c>
      <c r="D254" s="38">
        <v>277.16699999999997</v>
      </c>
      <c r="E254" s="44">
        <v>829.952</v>
      </c>
      <c r="F254" s="38">
        <v>1239</v>
      </c>
      <c r="G254" s="38">
        <v>75</v>
      </c>
      <c r="H254" s="46">
        <v>600</v>
      </c>
      <c r="I254" s="38">
        <v>695</v>
      </c>
      <c r="J254" s="38">
        <v>0</v>
      </c>
      <c r="K254" s="39"/>
      <c r="L254" s="39"/>
      <c r="M254" s="39"/>
      <c r="N254" s="39"/>
      <c r="O254" s="39"/>
      <c r="P254" s="39"/>
      <c r="Q254" s="39"/>
      <c r="R254" s="39"/>
      <c r="S254" s="39"/>
      <c r="T254" s="39"/>
    </row>
    <row r="255" spans="1:20" ht="15.75">
      <c r="A255" s="13">
        <v>48884</v>
      </c>
      <c r="B255" s="47">
        <v>30</v>
      </c>
      <c r="C255" s="38">
        <v>122.58</v>
      </c>
      <c r="D255" s="38">
        <v>297.94099999999997</v>
      </c>
      <c r="E255" s="44">
        <v>729.47900000000004</v>
      </c>
      <c r="F255" s="38">
        <v>1150</v>
      </c>
      <c r="G255" s="38">
        <v>100</v>
      </c>
      <c r="H255" s="46">
        <v>600</v>
      </c>
      <c r="I255" s="38">
        <v>695</v>
      </c>
      <c r="J255" s="38">
        <v>50</v>
      </c>
      <c r="K255" s="39"/>
      <c r="L255" s="39"/>
      <c r="M255" s="39"/>
      <c r="N255" s="39"/>
      <c r="O255" s="39"/>
      <c r="P255" s="39"/>
      <c r="Q255" s="39"/>
      <c r="R255" s="39"/>
      <c r="S255" s="39"/>
      <c r="T255" s="39"/>
    </row>
    <row r="256" spans="1:20" ht="15.75">
      <c r="A256" s="13">
        <v>48914</v>
      </c>
      <c r="B256" s="47">
        <v>31</v>
      </c>
      <c r="C256" s="38">
        <v>122.58</v>
      </c>
      <c r="D256" s="38">
        <v>297.94099999999997</v>
      </c>
      <c r="E256" s="44">
        <v>729.47900000000004</v>
      </c>
      <c r="F256" s="38">
        <v>1150</v>
      </c>
      <c r="G256" s="38">
        <v>100</v>
      </c>
      <c r="H256" s="46">
        <v>600</v>
      </c>
      <c r="I256" s="38">
        <v>695</v>
      </c>
      <c r="J256" s="38">
        <v>50</v>
      </c>
      <c r="K256" s="39"/>
      <c r="L256" s="39"/>
      <c r="M256" s="39"/>
      <c r="N256" s="39"/>
      <c r="O256" s="39"/>
      <c r="P256" s="39"/>
      <c r="Q256" s="39"/>
      <c r="R256" s="39"/>
      <c r="S256" s="39"/>
      <c r="T256" s="39"/>
    </row>
    <row r="257" spans="1:20" ht="15.75">
      <c r="A257" s="13">
        <v>48945</v>
      </c>
      <c r="B257" s="47">
        <v>31</v>
      </c>
      <c r="C257" s="38">
        <v>122.58</v>
      </c>
      <c r="D257" s="38">
        <v>297.94099999999997</v>
      </c>
      <c r="E257" s="44">
        <v>729.47900000000004</v>
      </c>
      <c r="F257" s="38">
        <v>1150</v>
      </c>
      <c r="G257" s="38">
        <v>100</v>
      </c>
      <c r="H257" s="46">
        <v>600</v>
      </c>
      <c r="I257" s="38">
        <v>695</v>
      </c>
      <c r="J257" s="38">
        <v>50</v>
      </c>
      <c r="K257" s="39"/>
      <c r="L257" s="39"/>
      <c r="M257" s="39"/>
      <c r="N257" s="39"/>
      <c r="O257" s="39"/>
      <c r="P257" s="39"/>
      <c r="Q257" s="39"/>
      <c r="R257" s="39"/>
      <c r="S257" s="39"/>
      <c r="T257" s="39"/>
    </row>
    <row r="258" spans="1:20" ht="15.75">
      <c r="A258" s="13">
        <v>48976</v>
      </c>
      <c r="B258" s="47">
        <v>28</v>
      </c>
      <c r="C258" s="38">
        <v>122.58</v>
      </c>
      <c r="D258" s="38">
        <v>297.94099999999997</v>
      </c>
      <c r="E258" s="44">
        <v>729.47900000000004</v>
      </c>
      <c r="F258" s="38">
        <v>1150</v>
      </c>
      <c r="G258" s="38">
        <v>100</v>
      </c>
      <c r="H258" s="46">
        <v>600</v>
      </c>
      <c r="I258" s="38">
        <v>695</v>
      </c>
      <c r="J258" s="38">
        <v>50</v>
      </c>
      <c r="K258" s="39"/>
      <c r="L258" s="39"/>
      <c r="M258" s="39"/>
      <c r="N258" s="39"/>
      <c r="O258" s="39"/>
      <c r="P258" s="39"/>
      <c r="Q258" s="39"/>
      <c r="R258" s="39"/>
      <c r="S258" s="39"/>
      <c r="T258" s="39"/>
    </row>
    <row r="259" spans="1:20" ht="15.75">
      <c r="A259" s="13">
        <v>49004</v>
      </c>
      <c r="B259" s="47">
        <v>31</v>
      </c>
      <c r="C259" s="38">
        <v>122.58</v>
      </c>
      <c r="D259" s="38">
        <v>297.94099999999997</v>
      </c>
      <c r="E259" s="44">
        <v>729.47900000000004</v>
      </c>
      <c r="F259" s="38">
        <v>1150</v>
      </c>
      <c r="G259" s="38">
        <v>100</v>
      </c>
      <c r="H259" s="46">
        <v>600</v>
      </c>
      <c r="I259" s="38">
        <v>695</v>
      </c>
      <c r="J259" s="38">
        <v>50</v>
      </c>
      <c r="K259" s="39"/>
      <c r="L259" s="39"/>
      <c r="M259" s="39"/>
      <c r="N259" s="39"/>
      <c r="O259" s="39"/>
      <c r="P259" s="39"/>
      <c r="Q259" s="39"/>
      <c r="R259" s="39"/>
      <c r="S259" s="39"/>
      <c r="T259" s="39"/>
    </row>
    <row r="260" spans="1:20" ht="15.75">
      <c r="A260" s="13">
        <v>49035</v>
      </c>
      <c r="B260" s="47">
        <v>30</v>
      </c>
      <c r="C260" s="38">
        <v>141.29300000000001</v>
      </c>
      <c r="D260" s="38">
        <v>267.99299999999999</v>
      </c>
      <c r="E260" s="44">
        <v>829.71400000000006</v>
      </c>
      <c r="F260" s="38">
        <v>1239</v>
      </c>
      <c r="G260" s="38">
        <v>100</v>
      </c>
      <c r="H260" s="46">
        <v>600</v>
      </c>
      <c r="I260" s="38">
        <v>695</v>
      </c>
      <c r="J260" s="38">
        <v>50</v>
      </c>
      <c r="K260" s="39"/>
      <c r="L260" s="39"/>
      <c r="M260" s="39"/>
      <c r="N260" s="39"/>
      <c r="O260" s="39"/>
      <c r="P260" s="39"/>
      <c r="Q260" s="39"/>
      <c r="R260" s="39"/>
      <c r="S260" s="39"/>
      <c r="T260" s="39"/>
    </row>
    <row r="261" spans="1:20" ht="15.75">
      <c r="A261" s="13">
        <v>49065</v>
      </c>
      <c r="B261" s="47">
        <v>31</v>
      </c>
      <c r="C261" s="38">
        <v>194.20500000000001</v>
      </c>
      <c r="D261" s="38">
        <v>267.46600000000001</v>
      </c>
      <c r="E261" s="44">
        <v>812.32899999999995</v>
      </c>
      <c r="F261" s="38">
        <v>1274</v>
      </c>
      <c r="G261" s="38">
        <v>75</v>
      </c>
      <c r="H261" s="46">
        <v>600</v>
      </c>
      <c r="I261" s="38">
        <v>695</v>
      </c>
      <c r="J261" s="38">
        <v>50</v>
      </c>
      <c r="K261" s="39"/>
      <c r="L261" s="39"/>
      <c r="M261" s="39"/>
      <c r="N261" s="39"/>
      <c r="O261" s="39"/>
      <c r="P261" s="39"/>
      <c r="Q261" s="39"/>
      <c r="R261" s="39"/>
      <c r="S261" s="39"/>
      <c r="T261" s="39"/>
    </row>
    <row r="262" spans="1:20" ht="15.75">
      <c r="A262" s="13">
        <v>49096</v>
      </c>
      <c r="B262" s="47">
        <v>30</v>
      </c>
      <c r="C262" s="38">
        <v>194.20500000000001</v>
      </c>
      <c r="D262" s="38">
        <v>267.46600000000001</v>
      </c>
      <c r="E262" s="44">
        <v>812.32899999999995</v>
      </c>
      <c r="F262" s="38">
        <v>1274</v>
      </c>
      <c r="G262" s="38">
        <v>50</v>
      </c>
      <c r="H262" s="46">
        <v>600</v>
      </c>
      <c r="I262" s="38">
        <v>695</v>
      </c>
      <c r="J262" s="38">
        <v>50</v>
      </c>
      <c r="K262" s="39"/>
      <c r="L262" s="39"/>
      <c r="M262" s="39"/>
      <c r="N262" s="39"/>
      <c r="O262" s="39"/>
      <c r="P262" s="39"/>
      <c r="Q262" s="39"/>
      <c r="R262" s="39"/>
      <c r="S262" s="39"/>
      <c r="T262" s="39"/>
    </row>
    <row r="263" spans="1:20" ht="15.75">
      <c r="A263" s="13">
        <v>49126</v>
      </c>
      <c r="B263" s="47">
        <v>31</v>
      </c>
      <c r="C263" s="38">
        <v>194.20500000000001</v>
      </c>
      <c r="D263" s="38">
        <v>267.46600000000001</v>
      </c>
      <c r="E263" s="44">
        <v>812.32899999999995</v>
      </c>
      <c r="F263" s="38">
        <v>1274</v>
      </c>
      <c r="G263" s="38">
        <v>50</v>
      </c>
      <c r="H263" s="46">
        <v>600</v>
      </c>
      <c r="I263" s="38">
        <v>695</v>
      </c>
      <c r="J263" s="38">
        <v>0</v>
      </c>
      <c r="K263" s="39"/>
      <c r="L263" s="39"/>
      <c r="M263" s="39"/>
      <c r="N263" s="39"/>
      <c r="O263" s="39"/>
      <c r="P263" s="39"/>
      <c r="Q263" s="39"/>
      <c r="R263" s="39"/>
      <c r="S263" s="39"/>
      <c r="T263" s="39"/>
    </row>
    <row r="264" spans="1:20" ht="15.75">
      <c r="A264" s="13">
        <v>49157</v>
      </c>
      <c r="B264" s="47">
        <v>31</v>
      </c>
      <c r="C264" s="38">
        <v>194.20500000000001</v>
      </c>
      <c r="D264" s="38">
        <v>267.46600000000001</v>
      </c>
      <c r="E264" s="44">
        <v>812.32899999999995</v>
      </c>
      <c r="F264" s="38">
        <v>1274</v>
      </c>
      <c r="G264" s="38">
        <v>50</v>
      </c>
      <c r="H264" s="46">
        <v>600</v>
      </c>
      <c r="I264" s="38">
        <v>695</v>
      </c>
      <c r="J264" s="38">
        <v>0</v>
      </c>
      <c r="K264" s="39"/>
      <c r="L264" s="39"/>
      <c r="M264" s="39"/>
      <c r="N264" s="39"/>
      <c r="O264" s="39"/>
      <c r="P264" s="39"/>
      <c r="Q264" s="39"/>
      <c r="R264" s="39"/>
      <c r="S264" s="39"/>
      <c r="T264" s="39"/>
    </row>
    <row r="265" spans="1:20" ht="15.75">
      <c r="A265" s="13">
        <v>49188</v>
      </c>
      <c r="B265" s="47">
        <v>30</v>
      </c>
      <c r="C265" s="38">
        <v>194.20500000000001</v>
      </c>
      <c r="D265" s="38">
        <v>267.46600000000001</v>
      </c>
      <c r="E265" s="44">
        <v>812.32899999999995</v>
      </c>
      <c r="F265" s="38">
        <v>1274</v>
      </c>
      <c r="G265" s="38">
        <v>50</v>
      </c>
      <c r="H265" s="46">
        <v>600</v>
      </c>
      <c r="I265" s="38">
        <v>695</v>
      </c>
      <c r="J265" s="38">
        <v>0</v>
      </c>
      <c r="K265" s="39"/>
      <c r="L265" s="39"/>
      <c r="M265" s="39"/>
      <c r="N265" s="39"/>
      <c r="O265" s="39"/>
      <c r="P265" s="39"/>
      <c r="Q265" s="39"/>
      <c r="R265" s="39"/>
      <c r="S265" s="39"/>
      <c r="T265" s="39"/>
    </row>
    <row r="266" spans="1:20" ht="15.75">
      <c r="A266" s="13">
        <v>49218</v>
      </c>
      <c r="B266" s="47">
        <v>31</v>
      </c>
      <c r="C266" s="38">
        <v>131.881</v>
      </c>
      <c r="D266" s="38">
        <v>277.16699999999997</v>
      </c>
      <c r="E266" s="44">
        <v>829.952</v>
      </c>
      <c r="F266" s="38">
        <v>1239</v>
      </c>
      <c r="G266" s="38">
        <v>75</v>
      </c>
      <c r="H266" s="46">
        <v>600</v>
      </c>
      <c r="I266" s="38">
        <v>695</v>
      </c>
      <c r="J266" s="38">
        <v>0</v>
      </c>
      <c r="K266" s="39"/>
      <c r="L266" s="39"/>
      <c r="M266" s="39"/>
      <c r="N266" s="39"/>
      <c r="O266" s="39"/>
      <c r="P266" s="39"/>
      <c r="Q266" s="39"/>
      <c r="R266" s="39"/>
      <c r="S266" s="39"/>
      <c r="T266" s="39"/>
    </row>
    <row r="267" spans="1:20" ht="15.75">
      <c r="A267" s="13">
        <v>49249</v>
      </c>
      <c r="B267" s="47">
        <v>30</v>
      </c>
      <c r="C267" s="38">
        <v>122.58</v>
      </c>
      <c r="D267" s="38">
        <v>297.94099999999997</v>
      </c>
      <c r="E267" s="44">
        <v>729.47900000000004</v>
      </c>
      <c r="F267" s="38">
        <v>1150</v>
      </c>
      <c r="G267" s="38">
        <v>100</v>
      </c>
      <c r="H267" s="46">
        <v>600</v>
      </c>
      <c r="I267" s="38">
        <v>695</v>
      </c>
      <c r="J267" s="38">
        <v>50</v>
      </c>
      <c r="K267" s="39"/>
      <c r="L267" s="39"/>
      <c r="M267" s="39"/>
      <c r="N267" s="39"/>
      <c r="O267" s="39"/>
      <c r="P267" s="39"/>
      <c r="Q267" s="39"/>
      <c r="R267" s="39"/>
      <c r="S267" s="39"/>
      <c r="T267" s="39"/>
    </row>
    <row r="268" spans="1:20" ht="15.75">
      <c r="A268" s="13">
        <v>49279</v>
      </c>
      <c r="B268" s="47">
        <v>31</v>
      </c>
      <c r="C268" s="38">
        <v>122.58</v>
      </c>
      <c r="D268" s="38">
        <v>297.94099999999997</v>
      </c>
      <c r="E268" s="44">
        <v>729.47900000000004</v>
      </c>
      <c r="F268" s="38">
        <v>1150</v>
      </c>
      <c r="G268" s="38">
        <v>100</v>
      </c>
      <c r="H268" s="46">
        <v>600</v>
      </c>
      <c r="I268" s="38">
        <v>695</v>
      </c>
      <c r="J268" s="38">
        <v>50</v>
      </c>
      <c r="K268" s="39"/>
      <c r="L268" s="39"/>
      <c r="M268" s="39"/>
      <c r="N268" s="39"/>
      <c r="O268" s="39"/>
      <c r="P268" s="39"/>
      <c r="Q268" s="39"/>
      <c r="R268" s="39"/>
      <c r="S268" s="39"/>
      <c r="T268" s="39"/>
    </row>
    <row r="269" spans="1:20" ht="15.75">
      <c r="A269" s="13">
        <v>49310</v>
      </c>
      <c r="B269" s="47">
        <v>31</v>
      </c>
      <c r="C269" s="38">
        <v>122.58</v>
      </c>
      <c r="D269" s="38">
        <v>297.94099999999997</v>
      </c>
      <c r="E269" s="44">
        <v>729.47900000000004</v>
      </c>
      <c r="F269" s="38">
        <v>1150</v>
      </c>
      <c r="G269" s="38">
        <v>100</v>
      </c>
      <c r="H269" s="46">
        <v>600</v>
      </c>
      <c r="I269" s="38">
        <v>695</v>
      </c>
      <c r="J269" s="38">
        <v>50</v>
      </c>
      <c r="K269" s="39"/>
      <c r="L269" s="39"/>
      <c r="M269" s="39"/>
      <c r="N269" s="39"/>
      <c r="O269" s="39"/>
      <c r="P269" s="39"/>
      <c r="Q269" s="39"/>
      <c r="R269" s="39"/>
      <c r="S269" s="39"/>
      <c r="T269" s="39"/>
    </row>
    <row r="270" spans="1:20" ht="15.75">
      <c r="A270" s="13">
        <v>49341</v>
      </c>
      <c r="B270" s="47">
        <v>28</v>
      </c>
      <c r="C270" s="38">
        <v>122.58</v>
      </c>
      <c r="D270" s="38">
        <v>297.94099999999997</v>
      </c>
      <c r="E270" s="44">
        <v>729.47900000000004</v>
      </c>
      <c r="F270" s="38">
        <v>1150</v>
      </c>
      <c r="G270" s="38">
        <v>100</v>
      </c>
      <c r="H270" s="46">
        <v>600</v>
      </c>
      <c r="I270" s="38">
        <v>695</v>
      </c>
      <c r="J270" s="38">
        <v>50</v>
      </c>
      <c r="K270" s="39"/>
      <c r="L270" s="39"/>
      <c r="M270" s="39"/>
      <c r="N270" s="39"/>
      <c r="O270" s="39"/>
      <c r="P270" s="39"/>
      <c r="Q270" s="39"/>
      <c r="R270" s="39"/>
      <c r="S270" s="39"/>
      <c r="T270" s="39"/>
    </row>
    <row r="271" spans="1:20" ht="15.75">
      <c r="A271" s="13">
        <v>49369</v>
      </c>
      <c r="B271" s="47">
        <v>31</v>
      </c>
      <c r="C271" s="38">
        <v>122.58</v>
      </c>
      <c r="D271" s="38">
        <v>297.94099999999997</v>
      </c>
      <c r="E271" s="44">
        <v>729.47900000000004</v>
      </c>
      <c r="F271" s="38">
        <v>1150</v>
      </c>
      <c r="G271" s="38">
        <v>100</v>
      </c>
      <c r="H271" s="46">
        <v>600</v>
      </c>
      <c r="I271" s="38">
        <v>695</v>
      </c>
      <c r="J271" s="38">
        <v>50</v>
      </c>
      <c r="K271" s="39"/>
      <c r="L271" s="39"/>
      <c r="M271" s="39"/>
      <c r="N271" s="39"/>
      <c r="O271" s="39"/>
      <c r="P271" s="39"/>
      <c r="Q271" s="39"/>
      <c r="R271" s="39"/>
      <c r="S271" s="39"/>
      <c r="T271" s="39"/>
    </row>
    <row r="272" spans="1:20" ht="15.75">
      <c r="A272" s="13">
        <v>49400</v>
      </c>
      <c r="B272" s="47">
        <v>30</v>
      </c>
      <c r="C272" s="38">
        <v>141.29300000000001</v>
      </c>
      <c r="D272" s="38">
        <v>267.99299999999999</v>
      </c>
      <c r="E272" s="44">
        <v>829.71400000000006</v>
      </c>
      <c r="F272" s="38">
        <v>1239</v>
      </c>
      <c r="G272" s="38">
        <v>100</v>
      </c>
      <c r="H272" s="46">
        <v>600</v>
      </c>
      <c r="I272" s="38">
        <v>695</v>
      </c>
      <c r="J272" s="38">
        <v>50</v>
      </c>
      <c r="K272" s="39"/>
      <c r="L272" s="39"/>
      <c r="M272" s="39"/>
      <c r="N272" s="39"/>
      <c r="O272" s="39"/>
      <c r="P272" s="39"/>
      <c r="Q272" s="39"/>
      <c r="R272" s="39"/>
      <c r="S272" s="39"/>
      <c r="T272" s="39"/>
    </row>
    <row r="273" spans="1:20" ht="15.75">
      <c r="A273" s="13">
        <v>49430</v>
      </c>
      <c r="B273" s="47">
        <v>31</v>
      </c>
      <c r="C273" s="38">
        <v>194.20500000000001</v>
      </c>
      <c r="D273" s="38">
        <v>267.46600000000001</v>
      </c>
      <c r="E273" s="44">
        <v>812.32899999999995</v>
      </c>
      <c r="F273" s="38">
        <v>1274</v>
      </c>
      <c r="G273" s="38">
        <v>75</v>
      </c>
      <c r="H273" s="46">
        <v>600</v>
      </c>
      <c r="I273" s="38">
        <v>695</v>
      </c>
      <c r="J273" s="38">
        <v>50</v>
      </c>
      <c r="K273" s="39"/>
      <c r="L273" s="39"/>
      <c r="M273" s="39"/>
      <c r="N273" s="39"/>
      <c r="O273" s="39"/>
      <c r="P273" s="39"/>
      <c r="Q273" s="39"/>
      <c r="R273" s="39"/>
      <c r="S273" s="39"/>
      <c r="T273" s="39"/>
    </row>
    <row r="274" spans="1:20" ht="15.75">
      <c r="A274" s="14">
        <v>49461</v>
      </c>
      <c r="B274" s="47">
        <v>30</v>
      </c>
      <c r="C274" s="38">
        <v>194.20500000000001</v>
      </c>
      <c r="D274" s="38">
        <v>267.46600000000001</v>
      </c>
      <c r="E274" s="44">
        <v>812.32899999999995</v>
      </c>
      <c r="F274" s="38">
        <v>1274</v>
      </c>
      <c r="G274" s="38">
        <v>50</v>
      </c>
      <c r="H274" s="46">
        <v>600</v>
      </c>
      <c r="I274" s="38">
        <v>695</v>
      </c>
      <c r="J274" s="38">
        <v>50</v>
      </c>
      <c r="K274" s="39"/>
      <c r="L274" s="39"/>
      <c r="M274" s="39"/>
      <c r="N274" s="39"/>
      <c r="O274" s="39"/>
      <c r="P274" s="39"/>
      <c r="Q274" s="39"/>
      <c r="R274" s="39"/>
      <c r="S274" s="39"/>
      <c r="T274" s="39"/>
    </row>
    <row r="275" spans="1:20" ht="15.75">
      <c r="A275" s="14">
        <v>49491</v>
      </c>
      <c r="B275" s="47">
        <v>31</v>
      </c>
      <c r="C275" s="38">
        <v>194.20500000000001</v>
      </c>
      <c r="D275" s="38">
        <v>267.46600000000001</v>
      </c>
      <c r="E275" s="44">
        <v>812.32899999999995</v>
      </c>
      <c r="F275" s="38">
        <v>1274</v>
      </c>
      <c r="G275" s="38">
        <v>50</v>
      </c>
      <c r="H275" s="46">
        <v>600</v>
      </c>
      <c r="I275" s="38">
        <v>695</v>
      </c>
      <c r="J275" s="38">
        <v>0</v>
      </c>
      <c r="K275" s="39"/>
      <c r="L275" s="39"/>
      <c r="M275" s="39"/>
      <c r="N275" s="39"/>
      <c r="O275" s="39"/>
      <c r="P275" s="39"/>
      <c r="Q275" s="39"/>
      <c r="R275" s="39"/>
      <c r="S275" s="39"/>
      <c r="T275" s="39"/>
    </row>
    <row r="276" spans="1:20" ht="15.75">
      <c r="A276" s="14">
        <v>49522</v>
      </c>
      <c r="B276" s="47">
        <v>31</v>
      </c>
      <c r="C276" s="38">
        <v>194.20500000000001</v>
      </c>
      <c r="D276" s="38">
        <v>267.46600000000001</v>
      </c>
      <c r="E276" s="44">
        <v>812.32899999999995</v>
      </c>
      <c r="F276" s="38">
        <v>1274</v>
      </c>
      <c r="G276" s="38">
        <v>50</v>
      </c>
      <c r="H276" s="46">
        <v>600</v>
      </c>
      <c r="I276" s="38">
        <v>695</v>
      </c>
      <c r="J276" s="38">
        <v>0</v>
      </c>
      <c r="K276" s="39"/>
      <c r="L276" s="39"/>
      <c r="M276" s="39"/>
      <c r="N276" s="39"/>
      <c r="O276" s="39"/>
      <c r="P276" s="39"/>
      <c r="Q276" s="39"/>
      <c r="R276" s="39"/>
      <c r="S276" s="39"/>
      <c r="T276" s="39"/>
    </row>
    <row r="277" spans="1:20" ht="15.75">
      <c r="A277" s="14">
        <v>49553</v>
      </c>
      <c r="B277" s="47">
        <v>30</v>
      </c>
      <c r="C277" s="38">
        <v>194.20500000000001</v>
      </c>
      <c r="D277" s="38">
        <v>267.46600000000001</v>
      </c>
      <c r="E277" s="44">
        <v>812.32899999999995</v>
      </c>
      <c r="F277" s="38">
        <v>1274</v>
      </c>
      <c r="G277" s="38">
        <v>50</v>
      </c>
      <c r="H277" s="46">
        <v>600</v>
      </c>
      <c r="I277" s="38">
        <v>695</v>
      </c>
      <c r="J277" s="38">
        <v>0</v>
      </c>
      <c r="K277" s="39"/>
      <c r="L277" s="39"/>
      <c r="M277" s="39"/>
      <c r="N277" s="39"/>
      <c r="O277" s="39"/>
      <c r="P277" s="39"/>
      <c r="Q277" s="39"/>
      <c r="R277" s="39"/>
      <c r="S277" s="39"/>
      <c r="T277" s="39"/>
    </row>
    <row r="278" spans="1:20" ht="15.75">
      <c r="A278" s="14">
        <v>49583</v>
      </c>
      <c r="B278" s="47">
        <v>31</v>
      </c>
      <c r="C278" s="38">
        <v>131.881</v>
      </c>
      <c r="D278" s="38">
        <v>277.16699999999997</v>
      </c>
      <c r="E278" s="44">
        <v>829.952</v>
      </c>
      <c r="F278" s="38">
        <v>1239</v>
      </c>
      <c r="G278" s="38">
        <v>75</v>
      </c>
      <c r="H278" s="46">
        <v>600</v>
      </c>
      <c r="I278" s="38">
        <v>695</v>
      </c>
      <c r="J278" s="38">
        <v>0</v>
      </c>
      <c r="K278" s="39"/>
      <c r="L278" s="39"/>
      <c r="M278" s="39"/>
      <c r="N278" s="39"/>
      <c r="O278" s="39"/>
      <c r="P278" s="39"/>
      <c r="Q278" s="39"/>
      <c r="R278" s="39"/>
      <c r="S278" s="39"/>
      <c r="T278" s="39"/>
    </row>
    <row r="279" spans="1:20" ht="15.75">
      <c r="A279" s="14">
        <v>49614</v>
      </c>
      <c r="B279" s="47">
        <v>30</v>
      </c>
      <c r="C279" s="38">
        <v>122.58</v>
      </c>
      <c r="D279" s="38">
        <v>297.94099999999997</v>
      </c>
      <c r="E279" s="44">
        <v>729.47900000000004</v>
      </c>
      <c r="F279" s="38">
        <v>1150</v>
      </c>
      <c r="G279" s="38">
        <v>100</v>
      </c>
      <c r="H279" s="46">
        <v>600</v>
      </c>
      <c r="I279" s="38">
        <v>695</v>
      </c>
      <c r="J279" s="38">
        <v>50</v>
      </c>
      <c r="K279" s="39"/>
      <c r="L279" s="39"/>
      <c r="M279" s="39"/>
      <c r="N279" s="39"/>
      <c r="O279" s="39"/>
      <c r="P279" s="39"/>
      <c r="Q279" s="39"/>
      <c r="R279" s="39"/>
      <c r="S279" s="39"/>
      <c r="T279" s="39"/>
    </row>
    <row r="280" spans="1:20" ht="15.75">
      <c r="A280" s="14">
        <v>49644</v>
      </c>
      <c r="B280" s="47">
        <v>31</v>
      </c>
      <c r="C280" s="38">
        <v>122.58</v>
      </c>
      <c r="D280" s="38">
        <v>297.94099999999997</v>
      </c>
      <c r="E280" s="44">
        <v>729.47900000000004</v>
      </c>
      <c r="F280" s="38">
        <v>1150</v>
      </c>
      <c r="G280" s="38">
        <v>100</v>
      </c>
      <c r="H280" s="46">
        <v>600</v>
      </c>
      <c r="I280" s="38">
        <v>695</v>
      </c>
      <c r="J280" s="38">
        <v>50</v>
      </c>
      <c r="K280" s="39"/>
      <c r="L280" s="39"/>
      <c r="M280" s="39"/>
      <c r="N280" s="39"/>
      <c r="O280" s="39"/>
      <c r="P280" s="39"/>
      <c r="Q280" s="39"/>
      <c r="R280" s="39"/>
      <c r="S280" s="39"/>
      <c r="T280" s="39"/>
    </row>
    <row r="281" spans="1:20" ht="15.75">
      <c r="A281" s="14">
        <v>49675</v>
      </c>
      <c r="B281" s="47">
        <v>31</v>
      </c>
      <c r="C281" s="38">
        <v>122.58</v>
      </c>
      <c r="D281" s="38">
        <v>297.94099999999997</v>
      </c>
      <c r="E281" s="44">
        <v>729.47900000000004</v>
      </c>
      <c r="F281" s="38">
        <v>1150</v>
      </c>
      <c r="G281" s="38">
        <v>100</v>
      </c>
      <c r="H281" s="46">
        <v>600</v>
      </c>
      <c r="I281" s="38">
        <v>695</v>
      </c>
      <c r="J281" s="38">
        <v>50</v>
      </c>
      <c r="K281" s="39"/>
      <c r="L281" s="39"/>
      <c r="M281" s="39"/>
      <c r="N281" s="39"/>
      <c r="O281" s="39"/>
      <c r="P281" s="39"/>
      <c r="Q281" s="39"/>
      <c r="R281" s="39"/>
      <c r="S281" s="39"/>
      <c r="T281" s="39"/>
    </row>
    <row r="282" spans="1:20" ht="15.75">
      <c r="A282" s="14">
        <v>49706</v>
      </c>
      <c r="B282" s="47">
        <v>29</v>
      </c>
      <c r="C282" s="38">
        <v>122.58</v>
      </c>
      <c r="D282" s="38">
        <v>297.94099999999997</v>
      </c>
      <c r="E282" s="44">
        <v>729.47900000000004</v>
      </c>
      <c r="F282" s="38">
        <v>1150</v>
      </c>
      <c r="G282" s="38">
        <v>100</v>
      </c>
      <c r="H282" s="46">
        <v>600</v>
      </c>
      <c r="I282" s="38">
        <v>695</v>
      </c>
      <c r="J282" s="38">
        <v>50</v>
      </c>
      <c r="K282" s="39"/>
      <c r="L282" s="39"/>
      <c r="M282" s="39"/>
      <c r="N282" s="39"/>
      <c r="O282" s="39"/>
      <c r="P282" s="39"/>
      <c r="Q282" s="39"/>
      <c r="R282" s="39"/>
      <c r="S282" s="39"/>
      <c r="T282" s="39"/>
    </row>
    <row r="283" spans="1:20" ht="15.75">
      <c r="A283" s="14">
        <v>49735</v>
      </c>
      <c r="B283" s="47">
        <v>31</v>
      </c>
      <c r="C283" s="38">
        <v>122.58</v>
      </c>
      <c r="D283" s="38">
        <v>297.94099999999997</v>
      </c>
      <c r="E283" s="44">
        <v>729.47900000000004</v>
      </c>
      <c r="F283" s="38">
        <v>1150</v>
      </c>
      <c r="G283" s="38">
        <v>100</v>
      </c>
      <c r="H283" s="46">
        <v>600</v>
      </c>
      <c r="I283" s="38">
        <v>695</v>
      </c>
      <c r="J283" s="38">
        <v>50</v>
      </c>
      <c r="K283" s="39"/>
      <c r="L283" s="39"/>
      <c r="M283" s="39"/>
      <c r="N283" s="39"/>
      <c r="O283" s="39"/>
      <c r="P283" s="39"/>
      <c r="Q283" s="39"/>
      <c r="R283" s="39"/>
      <c r="S283" s="39"/>
      <c r="T283" s="39"/>
    </row>
    <row r="284" spans="1:20" ht="15.75">
      <c r="A284" s="14">
        <v>49766</v>
      </c>
      <c r="B284" s="47">
        <v>30</v>
      </c>
      <c r="C284" s="38">
        <v>141.29300000000001</v>
      </c>
      <c r="D284" s="38">
        <v>267.99299999999999</v>
      </c>
      <c r="E284" s="44">
        <v>829.71400000000006</v>
      </c>
      <c r="F284" s="38">
        <v>1239</v>
      </c>
      <c r="G284" s="38">
        <v>100</v>
      </c>
      <c r="H284" s="46">
        <v>600</v>
      </c>
      <c r="I284" s="38">
        <v>695</v>
      </c>
      <c r="J284" s="38">
        <v>50</v>
      </c>
      <c r="K284" s="39"/>
      <c r="L284" s="39"/>
      <c r="M284" s="39"/>
      <c r="N284" s="39"/>
      <c r="O284" s="39"/>
      <c r="P284" s="39"/>
      <c r="Q284" s="39"/>
      <c r="R284" s="39"/>
      <c r="S284" s="39"/>
      <c r="T284" s="39"/>
    </row>
    <row r="285" spans="1:20" ht="15.75">
      <c r="A285" s="14">
        <v>49796</v>
      </c>
      <c r="B285" s="47">
        <v>31</v>
      </c>
      <c r="C285" s="38">
        <v>194.20500000000001</v>
      </c>
      <c r="D285" s="38">
        <v>267.46600000000001</v>
      </c>
      <c r="E285" s="44">
        <v>812.32899999999995</v>
      </c>
      <c r="F285" s="38">
        <v>1274</v>
      </c>
      <c r="G285" s="38">
        <v>75</v>
      </c>
      <c r="H285" s="46">
        <v>600</v>
      </c>
      <c r="I285" s="38">
        <v>695</v>
      </c>
      <c r="J285" s="38">
        <v>50</v>
      </c>
      <c r="K285" s="39"/>
      <c r="L285" s="39"/>
      <c r="M285" s="39"/>
      <c r="N285" s="39"/>
      <c r="O285" s="39"/>
      <c r="P285" s="39"/>
      <c r="Q285" s="39"/>
      <c r="R285" s="39"/>
      <c r="S285" s="39"/>
      <c r="T285" s="39"/>
    </row>
    <row r="286" spans="1:20" ht="15.75">
      <c r="A286" s="14">
        <v>49827</v>
      </c>
      <c r="B286" s="47">
        <v>30</v>
      </c>
      <c r="C286" s="38">
        <v>194.20500000000001</v>
      </c>
      <c r="D286" s="38">
        <v>267.46600000000001</v>
      </c>
      <c r="E286" s="44">
        <v>812.32899999999995</v>
      </c>
      <c r="F286" s="38">
        <v>1274</v>
      </c>
      <c r="G286" s="38">
        <v>50</v>
      </c>
      <c r="H286" s="46">
        <v>600</v>
      </c>
      <c r="I286" s="38">
        <v>695</v>
      </c>
      <c r="J286" s="38">
        <v>50</v>
      </c>
      <c r="K286" s="39"/>
      <c r="L286" s="39"/>
      <c r="M286" s="39"/>
      <c r="N286" s="39"/>
      <c r="O286" s="39"/>
      <c r="P286" s="39"/>
      <c r="Q286" s="39"/>
      <c r="R286" s="39"/>
      <c r="S286" s="39"/>
      <c r="T286" s="39"/>
    </row>
    <row r="287" spans="1:20" ht="15.75">
      <c r="A287" s="14">
        <v>49857</v>
      </c>
      <c r="B287" s="47">
        <v>31</v>
      </c>
      <c r="C287" s="38">
        <v>194.20500000000001</v>
      </c>
      <c r="D287" s="38">
        <v>267.46600000000001</v>
      </c>
      <c r="E287" s="44">
        <v>812.32899999999995</v>
      </c>
      <c r="F287" s="38">
        <v>1274</v>
      </c>
      <c r="G287" s="38">
        <v>50</v>
      </c>
      <c r="H287" s="46">
        <v>600</v>
      </c>
      <c r="I287" s="38">
        <v>695</v>
      </c>
      <c r="J287" s="38">
        <v>0</v>
      </c>
      <c r="K287" s="39"/>
      <c r="L287" s="39"/>
      <c r="M287" s="39"/>
      <c r="N287" s="39"/>
      <c r="O287" s="39"/>
      <c r="P287" s="39"/>
      <c r="Q287" s="39"/>
      <c r="R287" s="39"/>
      <c r="S287" s="39"/>
      <c r="T287" s="39"/>
    </row>
    <row r="288" spans="1:20" ht="15.75">
      <c r="A288" s="14">
        <v>49888</v>
      </c>
      <c r="B288" s="47">
        <v>31</v>
      </c>
      <c r="C288" s="38">
        <v>194.20500000000001</v>
      </c>
      <c r="D288" s="38">
        <v>267.46600000000001</v>
      </c>
      <c r="E288" s="44">
        <v>812.32899999999995</v>
      </c>
      <c r="F288" s="38">
        <v>1274</v>
      </c>
      <c r="G288" s="38">
        <v>50</v>
      </c>
      <c r="H288" s="46">
        <v>600</v>
      </c>
      <c r="I288" s="38">
        <v>695</v>
      </c>
      <c r="J288" s="38">
        <v>0</v>
      </c>
      <c r="K288" s="39"/>
      <c r="L288" s="39"/>
      <c r="M288" s="39"/>
      <c r="N288" s="39"/>
      <c r="O288" s="39"/>
      <c r="P288" s="39"/>
      <c r="Q288" s="39"/>
      <c r="R288" s="39"/>
      <c r="S288" s="39"/>
      <c r="T288" s="39"/>
    </row>
    <row r="289" spans="1:20" ht="15.75">
      <c r="A289" s="14">
        <v>49919</v>
      </c>
      <c r="B289" s="47">
        <v>30</v>
      </c>
      <c r="C289" s="38">
        <v>194.20500000000001</v>
      </c>
      <c r="D289" s="38">
        <v>267.46600000000001</v>
      </c>
      <c r="E289" s="44">
        <v>812.32899999999995</v>
      </c>
      <c r="F289" s="38">
        <v>1274</v>
      </c>
      <c r="G289" s="38">
        <v>50</v>
      </c>
      <c r="H289" s="46">
        <v>600</v>
      </c>
      <c r="I289" s="38">
        <v>695</v>
      </c>
      <c r="J289" s="38">
        <v>0</v>
      </c>
      <c r="K289" s="39"/>
      <c r="L289" s="39"/>
      <c r="M289" s="39"/>
      <c r="N289" s="39"/>
      <c r="O289" s="39"/>
      <c r="P289" s="39"/>
      <c r="Q289" s="39"/>
      <c r="R289" s="39"/>
      <c r="S289" s="39"/>
      <c r="T289" s="39"/>
    </row>
    <row r="290" spans="1:20" ht="15.75">
      <c r="A290" s="14">
        <v>49949</v>
      </c>
      <c r="B290" s="47">
        <v>31</v>
      </c>
      <c r="C290" s="38">
        <v>131.881</v>
      </c>
      <c r="D290" s="38">
        <v>277.16699999999997</v>
      </c>
      <c r="E290" s="44">
        <v>829.952</v>
      </c>
      <c r="F290" s="38">
        <v>1239</v>
      </c>
      <c r="G290" s="38">
        <v>75</v>
      </c>
      <c r="H290" s="46">
        <v>600</v>
      </c>
      <c r="I290" s="38">
        <v>695</v>
      </c>
      <c r="J290" s="38">
        <v>0</v>
      </c>
      <c r="K290" s="39"/>
      <c r="L290" s="39"/>
      <c r="M290" s="39"/>
      <c r="N290" s="39"/>
      <c r="O290" s="39"/>
      <c r="P290" s="39"/>
      <c r="Q290" s="39"/>
      <c r="R290" s="39"/>
      <c r="S290" s="39"/>
      <c r="T290" s="39"/>
    </row>
    <row r="291" spans="1:20" ht="15.75">
      <c r="A291" s="14">
        <v>49980</v>
      </c>
      <c r="B291" s="47">
        <v>30</v>
      </c>
      <c r="C291" s="38">
        <v>122.58</v>
      </c>
      <c r="D291" s="38">
        <v>297.94099999999997</v>
      </c>
      <c r="E291" s="44">
        <v>729.47900000000004</v>
      </c>
      <c r="F291" s="38">
        <v>1150</v>
      </c>
      <c r="G291" s="38">
        <v>100</v>
      </c>
      <c r="H291" s="46">
        <v>600</v>
      </c>
      <c r="I291" s="38">
        <v>695</v>
      </c>
      <c r="J291" s="38">
        <v>50</v>
      </c>
      <c r="K291" s="39"/>
      <c r="L291" s="39"/>
      <c r="M291" s="39"/>
      <c r="N291" s="39"/>
      <c r="O291" s="39"/>
      <c r="P291" s="39"/>
      <c r="Q291" s="39"/>
      <c r="R291" s="39"/>
      <c r="S291" s="39"/>
      <c r="T291" s="39"/>
    </row>
    <row r="292" spans="1:20" ht="15.75">
      <c r="A292" s="14">
        <v>50010</v>
      </c>
      <c r="B292" s="47">
        <v>31</v>
      </c>
      <c r="C292" s="38">
        <v>122.58</v>
      </c>
      <c r="D292" s="38">
        <v>297.94099999999997</v>
      </c>
      <c r="E292" s="44">
        <v>729.47900000000004</v>
      </c>
      <c r="F292" s="38">
        <v>1150</v>
      </c>
      <c r="G292" s="38">
        <v>100</v>
      </c>
      <c r="H292" s="46">
        <v>600</v>
      </c>
      <c r="I292" s="38">
        <v>695</v>
      </c>
      <c r="J292" s="38">
        <v>50</v>
      </c>
      <c r="K292" s="39"/>
      <c r="L292" s="39"/>
      <c r="M292" s="39"/>
      <c r="N292" s="39"/>
      <c r="O292" s="39"/>
      <c r="P292" s="39"/>
      <c r="Q292" s="39"/>
      <c r="R292" s="39"/>
      <c r="S292" s="39"/>
      <c r="T292" s="39"/>
    </row>
    <row r="293" spans="1:20" ht="15.75">
      <c r="A293" s="14">
        <v>50041</v>
      </c>
      <c r="B293" s="47">
        <v>31</v>
      </c>
      <c r="C293" s="38">
        <v>122.58</v>
      </c>
      <c r="D293" s="38">
        <v>297.94099999999997</v>
      </c>
      <c r="E293" s="44">
        <v>729.47900000000004</v>
      </c>
      <c r="F293" s="38">
        <v>1150</v>
      </c>
      <c r="G293" s="38">
        <v>100</v>
      </c>
      <c r="H293" s="46">
        <v>600</v>
      </c>
      <c r="I293" s="38">
        <v>695</v>
      </c>
      <c r="J293" s="38">
        <v>50</v>
      </c>
      <c r="K293" s="39"/>
      <c r="L293" s="39"/>
      <c r="M293" s="39"/>
      <c r="N293" s="39"/>
      <c r="O293" s="39"/>
      <c r="P293" s="39"/>
      <c r="Q293" s="39"/>
      <c r="R293" s="39"/>
      <c r="S293" s="39"/>
      <c r="T293" s="39"/>
    </row>
    <row r="294" spans="1:20" ht="15.75">
      <c r="A294" s="14">
        <v>50072</v>
      </c>
      <c r="B294" s="47">
        <v>28</v>
      </c>
      <c r="C294" s="38">
        <v>122.58</v>
      </c>
      <c r="D294" s="38">
        <v>297.94099999999997</v>
      </c>
      <c r="E294" s="44">
        <v>729.47900000000004</v>
      </c>
      <c r="F294" s="38">
        <v>1150</v>
      </c>
      <c r="G294" s="38">
        <v>100</v>
      </c>
      <c r="H294" s="46">
        <v>600</v>
      </c>
      <c r="I294" s="38">
        <v>695</v>
      </c>
      <c r="J294" s="38">
        <v>50</v>
      </c>
      <c r="K294" s="39"/>
      <c r="L294" s="39"/>
      <c r="M294" s="39"/>
      <c r="N294" s="39"/>
      <c r="O294" s="39"/>
      <c r="P294" s="39"/>
      <c r="Q294" s="39"/>
      <c r="R294" s="39"/>
      <c r="S294" s="39"/>
      <c r="T294" s="39"/>
    </row>
    <row r="295" spans="1:20" ht="15.75">
      <c r="A295" s="14">
        <v>50100</v>
      </c>
      <c r="B295" s="47">
        <v>31</v>
      </c>
      <c r="C295" s="38">
        <v>122.58</v>
      </c>
      <c r="D295" s="38">
        <v>297.94099999999997</v>
      </c>
      <c r="E295" s="44">
        <v>729.47900000000004</v>
      </c>
      <c r="F295" s="38">
        <v>1150</v>
      </c>
      <c r="G295" s="38">
        <v>100</v>
      </c>
      <c r="H295" s="46">
        <v>600</v>
      </c>
      <c r="I295" s="38">
        <v>695</v>
      </c>
      <c r="J295" s="38">
        <v>50</v>
      </c>
      <c r="K295" s="39"/>
      <c r="L295" s="39"/>
      <c r="M295" s="39"/>
      <c r="N295" s="39"/>
      <c r="O295" s="39"/>
      <c r="P295" s="39"/>
      <c r="Q295" s="39"/>
      <c r="R295" s="39"/>
      <c r="S295" s="39"/>
      <c r="T295" s="39"/>
    </row>
    <row r="296" spans="1:20" ht="15.75">
      <c r="A296" s="14">
        <v>50131</v>
      </c>
      <c r="B296" s="47">
        <v>30</v>
      </c>
      <c r="C296" s="38">
        <v>141.29300000000001</v>
      </c>
      <c r="D296" s="38">
        <v>267.99299999999999</v>
      </c>
      <c r="E296" s="44">
        <v>829.71400000000006</v>
      </c>
      <c r="F296" s="38">
        <v>1239</v>
      </c>
      <c r="G296" s="38">
        <v>100</v>
      </c>
      <c r="H296" s="46">
        <v>600</v>
      </c>
      <c r="I296" s="38">
        <v>695</v>
      </c>
      <c r="J296" s="38">
        <v>50</v>
      </c>
      <c r="K296" s="39"/>
      <c r="L296" s="39"/>
      <c r="M296" s="39"/>
      <c r="N296" s="39"/>
      <c r="O296" s="39"/>
      <c r="P296" s="39"/>
      <c r="Q296" s="39"/>
      <c r="R296" s="39"/>
      <c r="S296" s="39"/>
      <c r="T296" s="39"/>
    </row>
    <row r="297" spans="1:20" ht="15.75">
      <c r="A297" s="14">
        <v>50161</v>
      </c>
      <c r="B297" s="47">
        <v>31</v>
      </c>
      <c r="C297" s="38">
        <v>194.20500000000001</v>
      </c>
      <c r="D297" s="38">
        <v>267.46600000000001</v>
      </c>
      <c r="E297" s="44">
        <v>812.32899999999995</v>
      </c>
      <c r="F297" s="38">
        <v>1274</v>
      </c>
      <c r="G297" s="38">
        <v>75</v>
      </c>
      <c r="H297" s="46">
        <v>600</v>
      </c>
      <c r="I297" s="38">
        <v>695</v>
      </c>
      <c r="J297" s="38">
        <v>50</v>
      </c>
      <c r="K297" s="39"/>
      <c r="L297" s="39"/>
      <c r="M297" s="39"/>
      <c r="N297" s="39"/>
      <c r="O297" s="39"/>
      <c r="P297" s="39"/>
      <c r="Q297" s="39"/>
      <c r="R297" s="39"/>
      <c r="S297" s="39"/>
      <c r="T297" s="39"/>
    </row>
    <row r="298" spans="1:20" ht="15.75">
      <c r="A298" s="14">
        <v>50192</v>
      </c>
      <c r="B298" s="47">
        <v>30</v>
      </c>
      <c r="C298" s="38">
        <v>194.20500000000001</v>
      </c>
      <c r="D298" s="38">
        <v>267.46600000000001</v>
      </c>
      <c r="E298" s="44">
        <v>812.32899999999995</v>
      </c>
      <c r="F298" s="38">
        <v>1274</v>
      </c>
      <c r="G298" s="38">
        <v>50</v>
      </c>
      <c r="H298" s="46">
        <v>600</v>
      </c>
      <c r="I298" s="38">
        <v>695</v>
      </c>
      <c r="J298" s="38">
        <v>50</v>
      </c>
      <c r="K298" s="39"/>
      <c r="L298" s="39"/>
      <c r="M298" s="39"/>
      <c r="N298" s="39"/>
      <c r="O298" s="39"/>
      <c r="P298" s="39"/>
      <c r="Q298" s="39"/>
      <c r="R298" s="39"/>
      <c r="S298" s="39"/>
      <c r="T298" s="39"/>
    </row>
    <row r="299" spans="1:20" ht="15.75">
      <c r="A299" s="14">
        <v>50222</v>
      </c>
      <c r="B299" s="47">
        <v>31</v>
      </c>
      <c r="C299" s="38">
        <v>194.20500000000001</v>
      </c>
      <c r="D299" s="38">
        <v>267.46600000000001</v>
      </c>
      <c r="E299" s="44">
        <v>812.32899999999995</v>
      </c>
      <c r="F299" s="38">
        <v>1274</v>
      </c>
      <c r="G299" s="38">
        <v>50</v>
      </c>
      <c r="H299" s="46">
        <v>600</v>
      </c>
      <c r="I299" s="38">
        <v>695</v>
      </c>
      <c r="J299" s="38">
        <v>0</v>
      </c>
      <c r="K299" s="39"/>
      <c r="L299" s="39"/>
      <c r="M299" s="39"/>
      <c r="N299" s="39"/>
      <c r="O299" s="39"/>
      <c r="P299" s="39"/>
      <c r="Q299" s="39"/>
      <c r="R299" s="39"/>
      <c r="S299" s="39"/>
      <c r="T299" s="39"/>
    </row>
    <row r="300" spans="1:20" ht="15.75">
      <c r="A300" s="14">
        <v>50253</v>
      </c>
      <c r="B300" s="47">
        <v>31</v>
      </c>
      <c r="C300" s="38">
        <v>194.20500000000001</v>
      </c>
      <c r="D300" s="38">
        <v>267.46600000000001</v>
      </c>
      <c r="E300" s="44">
        <v>812.32899999999995</v>
      </c>
      <c r="F300" s="38">
        <v>1274</v>
      </c>
      <c r="G300" s="38">
        <v>50</v>
      </c>
      <c r="H300" s="46">
        <v>600</v>
      </c>
      <c r="I300" s="38">
        <v>695</v>
      </c>
      <c r="J300" s="38">
        <v>0</v>
      </c>
      <c r="K300" s="39"/>
      <c r="L300" s="39"/>
      <c r="M300" s="39"/>
      <c r="N300" s="39"/>
      <c r="O300" s="39"/>
      <c r="P300" s="39"/>
      <c r="Q300" s="39"/>
      <c r="R300" s="39"/>
      <c r="S300" s="39"/>
      <c r="T300" s="39"/>
    </row>
    <row r="301" spans="1:20" ht="15.75">
      <c r="A301" s="14">
        <v>50284</v>
      </c>
      <c r="B301" s="47">
        <v>30</v>
      </c>
      <c r="C301" s="38">
        <v>194.20500000000001</v>
      </c>
      <c r="D301" s="38">
        <v>267.46600000000001</v>
      </c>
      <c r="E301" s="44">
        <v>812.32899999999995</v>
      </c>
      <c r="F301" s="38">
        <v>1274</v>
      </c>
      <c r="G301" s="38">
        <v>50</v>
      </c>
      <c r="H301" s="46">
        <v>600</v>
      </c>
      <c r="I301" s="38">
        <v>695</v>
      </c>
      <c r="J301" s="38">
        <v>0</v>
      </c>
      <c r="K301" s="39"/>
      <c r="L301" s="39"/>
      <c r="M301" s="39"/>
      <c r="N301" s="39"/>
      <c r="O301" s="39"/>
      <c r="P301" s="39"/>
      <c r="Q301" s="39"/>
      <c r="R301" s="39"/>
      <c r="S301" s="39"/>
      <c r="T301" s="39"/>
    </row>
    <row r="302" spans="1:20" ht="15.75">
      <c r="A302" s="14">
        <v>50314</v>
      </c>
      <c r="B302" s="47">
        <v>31</v>
      </c>
      <c r="C302" s="38">
        <v>131.881</v>
      </c>
      <c r="D302" s="38">
        <v>277.16699999999997</v>
      </c>
      <c r="E302" s="44">
        <v>829.952</v>
      </c>
      <c r="F302" s="38">
        <v>1239</v>
      </c>
      <c r="G302" s="38">
        <v>75</v>
      </c>
      <c r="H302" s="46">
        <v>600</v>
      </c>
      <c r="I302" s="38">
        <v>695</v>
      </c>
      <c r="J302" s="38">
        <v>0</v>
      </c>
      <c r="K302" s="39"/>
      <c r="L302" s="39"/>
      <c r="M302" s="39"/>
      <c r="N302" s="39"/>
      <c r="O302" s="39"/>
      <c r="P302" s="39"/>
      <c r="Q302" s="39"/>
      <c r="R302" s="39"/>
      <c r="S302" s="39"/>
      <c r="T302" s="39"/>
    </row>
    <row r="303" spans="1:20" ht="15.75">
      <c r="A303" s="14">
        <v>50345</v>
      </c>
      <c r="B303" s="47">
        <v>30</v>
      </c>
      <c r="C303" s="38">
        <v>122.58</v>
      </c>
      <c r="D303" s="38">
        <v>297.94099999999997</v>
      </c>
      <c r="E303" s="44">
        <v>729.47900000000004</v>
      </c>
      <c r="F303" s="38">
        <v>1150</v>
      </c>
      <c r="G303" s="38">
        <v>100</v>
      </c>
      <c r="H303" s="46">
        <v>600</v>
      </c>
      <c r="I303" s="38">
        <v>695</v>
      </c>
      <c r="J303" s="38">
        <v>50</v>
      </c>
      <c r="K303" s="39"/>
      <c r="L303" s="39"/>
      <c r="M303" s="39"/>
      <c r="N303" s="39"/>
      <c r="O303" s="39"/>
      <c r="P303" s="39"/>
      <c r="Q303" s="39"/>
      <c r="R303" s="39"/>
      <c r="S303" s="39"/>
      <c r="T303" s="39"/>
    </row>
    <row r="304" spans="1:20" ht="15.75">
      <c r="A304" s="14">
        <v>50375</v>
      </c>
      <c r="B304" s="47">
        <v>31</v>
      </c>
      <c r="C304" s="38">
        <v>122.58</v>
      </c>
      <c r="D304" s="38">
        <v>297.94099999999997</v>
      </c>
      <c r="E304" s="44">
        <v>729.47900000000004</v>
      </c>
      <c r="F304" s="38">
        <v>1150</v>
      </c>
      <c r="G304" s="38">
        <v>100</v>
      </c>
      <c r="H304" s="46">
        <v>600</v>
      </c>
      <c r="I304" s="38">
        <v>695</v>
      </c>
      <c r="J304" s="38">
        <v>50</v>
      </c>
      <c r="K304" s="39"/>
      <c r="L304" s="39"/>
      <c r="M304" s="39"/>
      <c r="N304" s="39"/>
      <c r="O304" s="39"/>
      <c r="P304" s="39"/>
      <c r="Q304" s="39"/>
      <c r="R304" s="39"/>
      <c r="S304" s="39"/>
      <c r="T304" s="39"/>
    </row>
    <row r="305" spans="1:20" ht="15.75">
      <c r="A305" s="13">
        <v>50436</v>
      </c>
      <c r="B305" s="47">
        <v>31</v>
      </c>
      <c r="C305" s="38">
        <v>122.58</v>
      </c>
      <c r="D305" s="38">
        <v>297.94099999999997</v>
      </c>
      <c r="E305" s="44">
        <v>729.47900000000004</v>
      </c>
      <c r="F305" s="38">
        <v>1150</v>
      </c>
      <c r="G305" s="38">
        <v>100</v>
      </c>
      <c r="H305" s="46">
        <v>600</v>
      </c>
      <c r="I305" s="38">
        <v>695</v>
      </c>
      <c r="J305" s="38">
        <v>50</v>
      </c>
      <c r="K305" s="39"/>
      <c r="L305" s="39"/>
      <c r="M305" s="39"/>
      <c r="N305" s="39"/>
      <c r="O305" s="39"/>
      <c r="P305" s="39"/>
      <c r="Q305" s="39"/>
      <c r="R305" s="39"/>
      <c r="S305" s="39"/>
      <c r="T305" s="39"/>
    </row>
    <row r="306" spans="1:20" ht="15.75">
      <c r="A306" s="13">
        <v>50464</v>
      </c>
      <c r="B306" s="47">
        <v>28</v>
      </c>
      <c r="C306" s="38">
        <v>122.58</v>
      </c>
      <c r="D306" s="38">
        <v>297.94099999999997</v>
      </c>
      <c r="E306" s="44">
        <v>729.47900000000004</v>
      </c>
      <c r="F306" s="38">
        <v>1150</v>
      </c>
      <c r="G306" s="38">
        <v>100</v>
      </c>
      <c r="H306" s="46">
        <v>600</v>
      </c>
      <c r="I306" s="38">
        <v>695</v>
      </c>
      <c r="J306" s="38">
        <v>50</v>
      </c>
      <c r="K306" s="39"/>
      <c r="L306" s="39"/>
      <c r="M306" s="39"/>
      <c r="N306" s="39"/>
      <c r="O306" s="39"/>
      <c r="P306" s="39"/>
      <c r="Q306" s="39"/>
      <c r="R306" s="39"/>
      <c r="S306" s="39"/>
      <c r="T306" s="39"/>
    </row>
    <row r="307" spans="1:20" ht="15.75">
      <c r="A307" s="13">
        <v>50495</v>
      </c>
      <c r="B307" s="47">
        <v>31</v>
      </c>
      <c r="C307" s="38">
        <v>122.58</v>
      </c>
      <c r="D307" s="38">
        <v>297.94099999999997</v>
      </c>
      <c r="E307" s="44">
        <v>729.47900000000004</v>
      </c>
      <c r="F307" s="38">
        <v>1150</v>
      </c>
      <c r="G307" s="38">
        <v>100</v>
      </c>
      <c r="H307" s="46">
        <v>600</v>
      </c>
      <c r="I307" s="38">
        <v>695</v>
      </c>
      <c r="J307" s="38">
        <v>50</v>
      </c>
      <c r="K307" s="39"/>
      <c r="L307" s="39"/>
      <c r="M307" s="39"/>
      <c r="N307" s="39"/>
      <c r="O307" s="39"/>
      <c r="P307" s="39"/>
      <c r="Q307" s="39"/>
      <c r="R307" s="39"/>
      <c r="S307" s="39"/>
      <c r="T307" s="39"/>
    </row>
    <row r="308" spans="1:20" ht="15.75">
      <c r="A308" s="13">
        <v>50525</v>
      </c>
      <c r="B308" s="47">
        <v>30</v>
      </c>
      <c r="C308" s="38">
        <v>141.29300000000001</v>
      </c>
      <c r="D308" s="38">
        <v>267.99299999999999</v>
      </c>
      <c r="E308" s="44">
        <v>829.71400000000006</v>
      </c>
      <c r="F308" s="38">
        <v>1239</v>
      </c>
      <c r="G308" s="38">
        <v>100</v>
      </c>
      <c r="H308" s="46">
        <v>600</v>
      </c>
      <c r="I308" s="38">
        <v>695</v>
      </c>
      <c r="J308" s="38">
        <v>50</v>
      </c>
      <c r="K308" s="39"/>
      <c r="L308" s="39"/>
      <c r="M308" s="39"/>
      <c r="N308" s="39"/>
      <c r="O308" s="39"/>
      <c r="P308" s="39"/>
      <c r="Q308" s="39"/>
      <c r="R308" s="39"/>
      <c r="S308" s="39"/>
      <c r="T308" s="39"/>
    </row>
    <row r="309" spans="1:20" ht="15.75">
      <c r="A309" s="13">
        <v>50556</v>
      </c>
      <c r="B309" s="47">
        <v>31</v>
      </c>
      <c r="C309" s="38">
        <v>194.20500000000001</v>
      </c>
      <c r="D309" s="38">
        <v>267.46600000000001</v>
      </c>
      <c r="E309" s="44">
        <v>812.32899999999995</v>
      </c>
      <c r="F309" s="38">
        <v>1274</v>
      </c>
      <c r="G309" s="38">
        <v>75</v>
      </c>
      <c r="H309" s="46">
        <v>600</v>
      </c>
      <c r="I309" s="38">
        <v>695</v>
      </c>
      <c r="J309" s="38">
        <v>50</v>
      </c>
      <c r="K309" s="39"/>
      <c r="L309" s="39"/>
      <c r="M309" s="39"/>
      <c r="N309" s="39"/>
      <c r="O309" s="39"/>
      <c r="P309" s="39"/>
      <c r="Q309" s="39"/>
      <c r="R309" s="39"/>
      <c r="S309" s="39"/>
      <c r="T309" s="39"/>
    </row>
    <row r="310" spans="1:20" ht="15.75">
      <c r="A310" s="13">
        <v>50586</v>
      </c>
      <c r="B310" s="47">
        <v>30</v>
      </c>
      <c r="C310" s="38">
        <v>194.20500000000001</v>
      </c>
      <c r="D310" s="38">
        <v>267.46600000000001</v>
      </c>
      <c r="E310" s="44">
        <v>812.32899999999995</v>
      </c>
      <c r="F310" s="38">
        <v>1274</v>
      </c>
      <c r="G310" s="38">
        <v>50</v>
      </c>
      <c r="H310" s="46">
        <v>600</v>
      </c>
      <c r="I310" s="38">
        <v>695</v>
      </c>
      <c r="J310" s="38">
        <v>50</v>
      </c>
      <c r="K310" s="39"/>
      <c r="L310" s="39"/>
      <c r="M310" s="39"/>
      <c r="N310" s="39"/>
      <c r="O310" s="39"/>
      <c r="P310" s="39"/>
      <c r="Q310" s="39"/>
      <c r="R310" s="39"/>
      <c r="S310" s="39"/>
      <c r="T310" s="39"/>
    </row>
    <row r="311" spans="1:20" ht="15.75">
      <c r="A311" s="13">
        <v>50617</v>
      </c>
      <c r="B311" s="47">
        <v>31</v>
      </c>
      <c r="C311" s="38">
        <v>194.20500000000001</v>
      </c>
      <c r="D311" s="38">
        <v>267.46600000000001</v>
      </c>
      <c r="E311" s="44">
        <v>812.32899999999995</v>
      </c>
      <c r="F311" s="38">
        <v>1274</v>
      </c>
      <c r="G311" s="38">
        <v>50</v>
      </c>
      <c r="H311" s="46">
        <v>600</v>
      </c>
      <c r="I311" s="38">
        <v>695</v>
      </c>
      <c r="J311" s="38">
        <v>0</v>
      </c>
      <c r="K311" s="39"/>
      <c r="L311" s="39"/>
      <c r="M311" s="39"/>
      <c r="N311" s="39"/>
      <c r="O311" s="39"/>
      <c r="P311" s="39"/>
      <c r="Q311" s="39"/>
      <c r="R311" s="39"/>
      <c r="S311" s="39"/>
      <c r="T311" s="39"/>
    </row>
    <row r="312" spans="1:20" ht="15.75">
      <c r="A312" s="13">
        <v>50648</v>
      </c>
      <c r="B312" s="47">
        <v>31</v>
      </c>
      <c r="C312" s="38">
        <v>194.20500000000001</v>
      </c>
      <c r="D312" s="38">
        <v>267.46600000000001</v>
      </c>
      <c r="E312" s="44">
        <v>812.32899999999995</v>
      </c>
      <c r="F312" s="38">
        <v>1274</v>
      </c>
      <c r="G312" s="38">
        <v>50</v>
      </c>
      <c r="H312" s="46">
        <v>600</v>
      </c>
      <c r="I312" s="38">
        <v>695</v>
      </c>
      <c r="J312" s="38">
        <v>0</v>
      </c>
      <c r="K312" s="39"/>
      <c r="L312" s="39"/>
      <c r="M312" s="39"/>
      <c r="N312" s="39"/>
      <c r="O312" s="39"/>
      <c r="P312" s="39"/>
      <c r="Q312" s="39"/>
      <c r="R312" s="39"/>
      <c r="S312" s="39"/>
      <c r="T312" s="39"/>
    </row>
    <row r="313" spans="1:20" ht="15.75">
      <c r="A313" s="13">
        <v>50678</v>
      </c>
      <c r="B313" s="47">
        <v>30</v>
      </c>
      <c r="C313" s="38">
        <v>194.20500000000001</v>
      </c>
      <c r="D313" s="38">
        <v>267.46600000000001</v>
      </c>
      <c r="E313" s="44">
        <v>812.32899999999995</v>
      </c>
      <c r="F313" s="38">
        <v>1274</v>
      </c>
      <c r="G313" s="38">
        <v>50</v>
      </c>
      <c r="H313" s="46">
        <v>600</v>
      </c>
      <c r="I313" s="38">
        <v>695</v>
      </c>
      <c r="J313" s="38">
        <v>0</v>
      </c>
      <c r="K313" s="39"/>
      <c r="L313" s="39"/>
      <c r="M313" s="39"/>
      <c r="N313" s="39"/>
      <c r="O313" s="39"/>
      <c r="P313" s="39"/>
      <c r="Q313" s="39"/>
      <c r="R313" s="39"/>
      <c r="S313" s="39"/>
      <c r="T313" s="39"/>
    </row>
    <row r="314" spans="1:20" ht="15.75">
      <c r="A314" s="13">
        <v>50709</v>
      </c>
      <c r="B314" s="47">
        <v>31</v>
      </c>
      <c r="C314" s="38">
        <v>131.881</v>
      </c>
      <c r="D314" s="38">
        <v>277.16699999999997</v>
      </c>
      <c r="E314" s="44">
        <v>829.952</v>
      </c>
      <c r="F314" s="38">
        <v>1239</v>
      </c>
      <c r="G314" s="38">
        <v>75</v>
      </c>
      <c r="H314" s="46">
        <v>600</v>
      </c>
      <c r="I314" s="38">
        <v>695</v>
      </c>
      <c r="J314" s="38">
        <v>0</v>
      </c>
      <c r="K314" s="39"/>
      <c r="L314" s="39"/>
      <c r="M314" s="39"/>
      <c r="N314" s="39"/>
      <c r="O314" s="39"/>
      <c r="P314" s="39"/>
      <c r="Q314" s="39"/>
      <c r="R314" s="39"/>
      <c r="S314" s="39"/>
      <c r="T314" s="39"/>
    </row>
    <row r="315" spans="1:20" ht="15.75">
      <c r="A315" s="13">
        <v>50739</v>
      </c>
      <c r="B315" s="47">
        <v>30</v>
      </c>
      <c r="C315" s="38">
        <v>122.58</v>
      </c>
      <c r="D315" s="38">
        <v>297.94099999999997</v>
      </c>
      <c r="E315" s="44">
        <v>729.47900000000004</v>
      </c>
      <c r="F315" s="38">
        <v>1150</v>
      </c>
      <c r="G315" s="38">
        <v>100</v>
      </c>
      <c r="H315" s="46">
        <v>600</v>
      </c>
      <c r="I315" s="38">
        <v>695</v>
      </c>
      <c r="J315" s="38">
        <v>50</v>
      </c>
      <c r="K315" s="39"/>
      <c r="L315" s="39"/>
      <c r="M315" s="39"/>
      <c r="N315" s="39"/>
      <c r="O315" s="39"/>
      <c r="P315" s="39"/>
      <c r="Q315" s="39"/>
      <c r="R315" s="39"/>
      <c r="S315" s="39"/>
      <c r="T315" s="39"/>
    </row>
    <row r="316" spans="1:20" ht="15.75">
      <c r="A316" s="13">
        <v>50770</v>
      </c>
      <c r="B316" s="47">
        <v>31</v>
      </c>
      <c r="C316" s="38">
        <v>122.58</v>
      </c>
      <c r="D316" s="38">
        <v>297.94099999999997</v>
      </c>
      <c r="E316" s="44">
        <v>729.47900000000004</v>
      </c>
      <c r="F316" s="38">
        <v>1150</v>
      </c>
      <c r="G316" s="38">
        <v>100</v>
      </c>
      <c r="H316" s="46">
        <v>600</v>
      </c>
      <c r="I316" s="38">
        <v>695</v>
      </c>
      <c r="J316" s="38">
        <v>50</v>
      </c>
      <c r="K316" s="39"/>
      <c r="L316" s="39"/>
      <c r="M316" s="39"/>
      <c r="N316" s="39"/>
      <c r="O316" s="39"/>
      <c r="P316" s="39"/>
      <c r="Q316" s="39"/>
      <c r="R316" s="39"/>
      <c r="S316" s="39"/>
      <c r="T316" s="39"/>
    </row>
    <row r="317" spans="1:20" ht="15.75">
      <c r="A317" s="13">
        <v>50801</v>
      </c>
      <c r="B317" s="47">
        <v>31</v>
      </c>
      <c r="C317" s="38">
        <v>122.58</v>
      </c>
      <c r="D317" s="38">
        <v>297.94099999999997</v>
      </c>
      <c r="E317" s="44">
        <v>729.47900000000004</v>
      </c>
      <c r="F317" s="38">
        <v>1150</v>
      </c>
      <c r="G317" s="38">
        <v>100</v>
      </c>
      <c r="H317" s="46">
        <v>600</v>
      </c>
      <c r="I317" s="38">
        <v>695</v>
      </c>
      <c r="J317" s="38">
        <v>50</v>
      </c>
      <c r="K317" s="39"/>
      <c r="L317" s="39"/>
      <c r="M317" s="39"/>
      <c r="N317" s="39"/>
      <c r="O317" s="39"/>
      <c r="P317" s="39"/>
      <c r="Q317" s="39"/>
      <c r="R317" s="39"/>
      <c r="S317" s="39"/>
      <c r="T317" s="39"/>
    </row>
    <row r="318" spans="1:20" ht="15.75">
      <c r="A318" s="13">
        <v>50829</v>
      </c>
      <c r="B318" s="47">
        <v>28</v>
      </c>
      <c r="C318" s="38">
        <v>122.58</v>
      </c>
      <c r="D318" s="38">
        <v>297.94099999999997</v>
      </c>
      <c r="E318" s="44">
        <v>729.47900000000004</v>
      </c>
      <c r="F318" s="38">
        <v>1150</v>
      </c>
      <c r="G318" s="38">
        <v>100</v>
      </c>
      <c r="H318" s="46">
        <v>600</v>
      </c>
      <c r="I318" s="38">
        <v>695</v>
      </c>
      <c r="J318" s="38">
        <v>50</v>
      </c>
      <c r="K318" s="39"/>
      <c r="L318" s="39"/>
      <c r="M318" s="39"/>
      <c r="N318" s="39"/>
      <c r="O318" s="39"/>
      <c r="P318" s="39"/>
      <c r="Q318" s="39"/>
      <c r="R318" s="39"/>
      <c r="S318" s="39"/>
      <c r="T318" s="39"/>
    </row>
    <row r="319" spans="1:20" ht="15.75">
      <c r="A319" s="13">
        <v>50860</v>
      </c>
      <c r="B319" s="47">
        <v>31</v>
      </c>
      <c r="C319" s="38">
        <v>122.58</v>
      </c>
      <c r="D319" s="38">
        <v>297.94099999999997</v>
      </c>
      <c r="E319" s="44">
        <v>729.47900000000004</v>
      </c>
      <c r="F319" s="38">
        <v>1150</v>
      </c>
      <c r="G319" s="38">
        <v>100</v>
      </c>
      <c r="H319" s="46">
        <v>600</v>
      </c>
      <c r="I319" s="38">
        <v>695</v>
      </c>
      <c r="J319" s="38">
        <v>50</v>
      </c>
      <c r="K319" s="39"/>
      <c r="L319" s="39"/>
      <c r="M319" s="39"/>
      <c r="N319" s="39"/>
      <c r="O319" s="39"/>
      <c r="P319" s="39"/>
      <c r="Q319" s="39"/>
      <c r="R319" s="39"/>
      <c r="S319" s="39"/>
      <c r="T319" s="39"/>
    </row>
    <row r="320" spans="1:20" ht="15.75">
      <c r="A320" s="13">
        <v>50890</v>
      </c>
      <c r="B320" s="47">
        <v>30</v>
      </c>
      <c r="C320" s="38">
        <v>141.29300000000001</v>
      </c>
      <c r="D320" s="38">
        <v>267.99299999999999</v>
      </c>
      <c r="E320" s="44">
        <v>829.71400000000006</v>
      </c>
      <c r="F320" s="38">
        <v>1239</v>
      </c>
      <c r="G320" s="38">
        <v>100</v>
      </c>
      <c r="H320" s="46">
        <v>600</v>
      </c>
      <c r="I320" s="38">
        <v>695</v>
      </c>
      <c r="J320" s="38">
        <v>50</v>
      </c>
      <c r="K320" s="39"/>
      <c r="L320" s="39"/>
      <c r="M320" s="39"/>
      <c r="N320" s="39"/>
      <c r="O320" s="39"/>
      <c r="P320" s="39"/>
      <c r="Q320" s="39"/>
      <c r="R320" s="39"/>
      <c r="S320" s="39"/>
      <c r="T320" s="39"/>
    </row>
    <row r="321" spans="1:20" ht="15.75">
      <c r="A321" s="13">
        <v>50921</v>
      </c>
      <c r="B321" s="47">
        <v>31</v>
      </c>
      <c r="C321" s="38">
        <v>194.20500000000001</v>
      </c>
      <c r="D321" s="38">
        <v>267.46600000000001</v>
      </c>
      <c r="E321" s="44">
        <v>812.32899999999995</v>
      </c>
      <c r="F321" s="38">
        <v>1274</v>
      </c>
      <c r="G321" s="38">
        <v>75</v>
      </c>
      <c r="H321" s="46">
        <v>600</v>
      </c>
      <c r="I321" s="38">
        <v>695</v>
      </c>
      <c r="J321" s="38">
        <v>50</v>
      </c>
      <c r="K321" s="39"/>
      <c r="L321" s="39"/>
      <c r="M321" s="39"/>
      <c r="N321" s="39"/>
      <c r="O321" s="39"/>
      <c r="P321" s="39"/>
      <c r="Q321" s="39"/>
      <c r="R321" s="39"/>
      <c r="S321" s="39"/>
      <c r="T321" s="39"/>
    </row>
    <row r="322" spans="1:20" ht="15.75">
      <c r="A322" s="13">
        <v>50951</v>
      </c>
      <c r="B322" s="47">
        <v>30</v>
      </c>
      <c r="C322" s="38">
        <v>194.20500000000001</v>
      </c>
      <c r="D322" s="38">
        <v>267.46600000000001</v>
      </c>
      <c r="E322" s="44">
        <v>812.32899999999995</v>
      </c>
      <c r="F322" s="38">
        <v>1274</v>
      </c>
      <c r="G322" s="38">
        <v>50</v>
      </c>
      <c r="H322" s="46">
        <v>600</v>
      </c>
      <c r="I322" s="38">
        <v>695</v>
      </c>
      <c r="J322" s="38">
        <v>50</v>
      </c>
      <c r="K322" s="39"/>
      <c r="L322" s="39"/>
      <c r="M322" s="39"/>
      <c r="N322" s="39"/>
      <c r="O322" s="39"/>
      <c r="P322" s="39"/>
      <c r="Q322" s="39"/>
      <c r="R322" s="39"/>
      <c r="S322" s="39"/>
      <c r="T322" s="39"/>
    </row>
    <row r="323" spans="1:20" ht="15.75">
      <c r="A323" s="13">
        <v>50982</v>
      </c>
      <c r="B323" s="47">
        <v>31</v>
      </c>
      <c r="C323" s="38">
        <v>194.20500000000001</v>
      </c>
      <c r="D323" s="38">
        <v>267.46600000000001</v>
      </c>
      <c r="E323" s="44">
        <v>812.32899999999995</v>
      </c>
      <c r="F323" s="38">
        <v>1274</v>
      </c>
      <c r="G323" s="38">
        <v>50</v>
      </c>
      <c r="H323" s="46">
        <v>600</v>
      </c>
      <c r="I323" s="38">
        <v>695</v>
      </c>
      <c r="J323" s="38">
        <v>0</v>
      </c>
      <c r="K323" s="39"/>
      <c r="L323" s="39"/>
      <c r="M323" s="39"/>
      <c r="N323" s="39"/>
      <c r="O323" s="39"/>
      <c r="P323" s="39"/>
      <c r="Q323" s="39"/>
      <c r="R323" s="39"/>
      <c r="S323" s="39"/>
      <c r="T323" s="39"/>
    </row>
    <row r="324" spans="1:20" ht="15.75">
      <c r="A324" s="13">
        <v>51013</v>
      </c>
      <c r="B324" s="47">
        <v>31</v>
      </c>
      <c r="C324" s="38">
        <v>194.20500000000001</v>
      </c>
      <c r="D324" s="38">
        <v>267.46600000000001</v>
      </c>
      <c r="E324" s="44">
        <v>812.32899999999995</v>
      </c>
      <c r="F324" s="38">
        <v>1274</v>
      </c>
      <c r="G324" s="38">
        <v>50</v>
      </c>
      <c r="H324" s="46">
        <v>600</v>
      </c>
      <c r="I324" s="38">
        <v>695</v>
      </c>
      <c r="J324" s="38">
        <v>0</v>
      </c>
      <c r="K324" s="39"/>
      <c r="L324" s="39"/>
      <c r="M324" s="39"/>
      <c r="N324" s="39"/>
      <c r="O324" s="39"/>
      <c r="P324" s="39"/>
      <c r="Q324" s="39"/>
      <c r="R324" s="39"/>
      <c r="S324" s="39"/>
      <c r="T324" s="39"/>
    </row>
    <row r="325" spans="1:20" ht="15.75">
      <c r="A325" s="13">
        <v>51043</v>
      </c>
      <c r="B325" s="47">
        <v>30</v>
      </c>
      <c r="C325" s="38">
        <v>194.20500000000001</v>
      </c>
      <c r="D325" s="38">
        <v>267.46600000000001</v>
      </c>
      <c r="E325" s="44">
        <v>812.32899999999995</v>
      </c>
      <c r="F325" s="38">
        <v>1274</v>
      </c>
      <c r="G325" s="38">
        <v>50</v>
      </c>
      <c r="H325" s="46">
        <v>600</v>
      </c>
      <c r="I325" s="38">
        <v>695</v>
      </c>
      <c r="J325" s="38">
        <v>0</v>
      </c>
      <c r="K325" s="39"/>
      <c r="L325" s="39"/>
      <c r="M325" s="39"/>
      <c r="N325" s="39"/>
      <c r="O325" s="39"/>
      <c r="P325" s="39"/>
      <c r="Q325" s="39"/>
      <c r="R325" s="39"/>
      <c r="S325" s="39"/>
      <c r="T325" s="39"/>
    </row>
    <row r="326" spans="1:20" ht="15.75">
      <c r="A326" s="13">
        <v>51074</v>
      </c>
      <c r="B326" s="47">
        <v>31</v>
      </c>
      <c r="C326" s="38">
        <v>131.881</v>
      </c>
      <c r="D326" s="38">
        <v>277.16699999999997</v>
      </c>
      <c r="E326" s="44">
        <v>829.952</v>
      </c>
      <c r="F326" s="38">
        <v>1239</v>
      </c>
      <c r="G326" s="38">
        <v>75</v>
      </c>
      <c r="H326" s="46">
        <v>600</v>
      </c>
      <c r="I326" s="38">
        <v>695</v>
      </c>
      <c r="J326" s="38">
        <v>0</v>
      </c>
      <c r="K326" s="39"/>
      <c r="L326" s="39"/>
      <c r="M326" s="39"/>
      <c r="N326" s="39"/>
      <c r="O326" s="39"/>
      <c r="P326" s="39"/>
      <c r="Q326" s="39"/>
      <c r="R326" s="39"/>
      <c r="S326" s="39"/>
      <c r="T326" s="39"/>
    </row>
    <row r="327" spans="1:20" ht="15.75">
      <c r="A327" s="13">
        <v>51104</v>
      </c>
      <c r="B327" s="47">
        <v>30</v>
      </c>
      <c r="C327" s="38">
        <v>122.58</v>
      </c>
      <c r="D327" s="38">
        <v>297.94099999999997</v>
      </c>
      <c r="E327" s="44">
        <v>729.47900000000004</v>
      </c>
      <c r="F327" s="38">
        <v>1150</v>
      </c>
      <c r="G327" s="38">
        <v>100</v>
      </c>
      <c r="H327" s="46">
        <v>600</v>
      </c>
      <c r="I327" s="38">
        <v>695</v>
      </c>
      <c r="J327" s="38">
        <v>50</v>
      </c>
      <c r="K327" s="39"/>
      <c r="L327" s="39"/>
      <c r="M327" s="39"/>
      <c r="N327" s="39"/>
      <c r="O327" s="39"/>
      <c r="P327" s="39"/>
      <c r="Q327" s="39"/>
      <c r="R327" s="39"/>
      <c r="S327" s="39"/>
      <c r="T327" s="39"/>
    </row>
    <row r="328" spans="1:20" ht="15.75">
      <c r="A328" s="13">
        <v>51135</v>
      </c>
      <c r="B328" s="47">
        <v>31</v>
      </c>
      <c r="C328" s="38">
        <v>122.58</v>
      </c>
      <c r="D328" s="38">
        <v>297.94099999999997</v>
      </c>
      <c r="E328" s="44">
        <v>729.47900000000004</v>
      </c>
      <c r="F328" s="38">
        <v>1150</v>
      </c>
      <c r="G328" s="38">
        <v>100</v>
      </c>
      <c r="H328" s="46">
        <v>600</v>
      </c>
      <c r="I328" s="38">
        <v>695</v>
      </c>
      <c r="J328" s="38">
        <v>50</v>
      </c>
      <c r="K328" s="39"/>
      <c r="L328" s="39"/>
      <c r="M328" s="39"/>
      <c r="N328" s="39"/>
      <c r="O328" s="39"/>
      <c r="P328" s="39"/>
      <c r="Q328" s="39"/>
      <c r="R328" s="39"/>
      <c r="S328" s="39"/>
      <c r="T328" s="39"/>
    </row>
    <row r="329" spans="1:20" ht="15.75">
      <c r="A329" s="13">
        <v>51166</v>
      </c>
      <c r="B329" s="47">
        <v>31</v>
      </c>
      <c r="C329" s="38">
        <v>122.58</v>
      </c>
      <c r="D329" s="38">
        <v>297.94099999999997</v>
      </c>
      <c r="E329" s="44">
        <v>729.47900000000004</v>
      </c>
      <c r="F329" s="38">
        <v>1150</v>
      </c>
      <c r="G329" s="38">
        <v>100</v>
      </c>
      <c r="H329" s="46">
        <v>600</v>
      </c>
      <c r="I329" s="38">
        <v>695</v>
      </c>
      <c r="J329" s="38">
        <v>50</v>
      </c>
      <c r="K329" s="39"/>
      <c r="L329" s="39"/>
      <c r="M329" s="39"/>
      <c r="N329" s="39"/>
      <c r="O329" s="39"/>
      <c r="P329" s="39"/>
      <c r="Q329" s="39"/>
      <c r="R329" s="39"/>
      <c r="S329" s="39"/>
      <c r="T329" s="39"/>
    </row>
    <row r="330" spans="1:20" ht="15.75">
      <c r="A330" s="13">
        <v>51194</v>
      </c>
      <c r="B330" s="47">
        <v>29</v>
      </c>
      <c r="C330" s="38">
        <v>122.58</v>
      </c>
      <c r="D330" s="38">
        <v>297.94099999999997</v>
      </c>
      <c r="E330" s="44">
        <v>729.47900000000004</v>
      </c>
      <c r="F330" s="38">
        <v>1150</v>
      </c>
      <c r="G330" s="38">
        <v>100</v>
      </c>
      <c r="H330" s="46">
        <v>600</v>
      </c>
      <c r="I330" s="38">
        <v>695</v>
      </c>
      <c r="J330" s="38">
        <v>50</v>
      </c>
      <c r="K330" s="39"/>
      <c r="L330" s="39"/>
      <c r="M330" s="39"/>
      <c r="N330" s="39"/>
      <c r="O330" s="39"/>
      <c r="P330" s="39"/>
      <c r="Q330" s="39"/>
      <c r="R330" s="39"/>
      <c r="S330" s="39"/>
      <c r="T330" s="39"/>
    </row>
    <row r="331" spans="1:20" ht="15.75">
      <c r="A331" s="13">
        <v>51226</v>
      </c>
      <c r="B331" s="47">
        <v>31</v>
      </c>
      <c r="C331" s="38">
        <v>122.58</v>
      </c>
      <c r="D331" s="38">
        <v>297.94099999999997</v>
      </c>
      <c r="E331" s="44">
        <v>729.47900000000004</v>
      </c>
      <c r="F331" s="38">
        <v>1150</v>
      </c>
      <c r="G331" s="38">
        <v>100</v>
      </c>
      <c r="H331" s="46">
        <v>600</v>
      </c>
      <c r="I331" s="38">
        <v>695</v>
      </c>
      <c r="J331" s="38">
        <v>50</v>
      </c>
      <c r="K331" s="39"/>
      <c r="L331" s="39"/>
      <c r="M331" s="39"/>
      <c r="N331" s="39"/>
      <c r="O331" s="39"/>
      <c r="P331" s="39"/>
      <c r="Q331" s="39"/>
      <c r="R331" s="39"/>
      <c r="S331" s="39"/>
      <c r="T331" s="39"/>
    </row>
    <row r="332" spans="1:20" ht="15.75">
      <c r="A332" s="13">
        <v>51256</v>
      </c>
      <c r="B332" s="47">
        <v>30</v>
      </c>
      <c r="C332" s="38">
        <v>141.29300000000001</v>
      </c>
      <c r="D332" s="38">
        <v>267.99299999999999</v>
      </c>
      <c r="E332" s="44">
        <v>829.71400000000006</v>
      </c>
      <c r="F332" s="38">
        <v>1239</v>
      </c>
      <c r="G332" s="38">
        <v>100</v>
      </c>
      <c r="H332" s="46">
        <v>600</v>
      </c>
      <c r="I332" s="38">
        <v>695</v>
      </c>
      <c r="J332" s="38">
        <v>50</v>
      </c>
      <c r="K332" s="39"/>
      <c r="L332" s="39"/>
      <c r="M332" s="39"/>
      <c r="N332" s="39"/>
      <c r="O332" s="39"/>
      <c r="P332" s="39"/>
      <c r="Q332" s="39"/>
      <c r="R332" s="39"/>
      <c r="S332" s="39"/>
      <c r="T332" s="39"/>
    </row>
    <row r="333" spans="1:20" ht="15.75">
      <c r="A333" s="13">
        <v>51287</v>
      </c>
      <c r="B333" s="47">
        <v>31</v>
      </c>
      <c r="C333" s="38">
        <v>194.20500000000001</v>
      </c>
      <c r="D333" s="38">
        <v>267.46600000000001</v>
      </c>
      <c r="E333" s="44">
        <v>812.32899999999995</v>
      </c>
      <c r="F333" s="38">
        <v>1274</v>
      </c>
      <c r="G333" s="38">
        <v>75</v>
      </c>
      <c r="H333" s="46">
        <v>600</v>
      </c>
      <c r="I333" s="38">
        <v>695</v>
      </c>
      <c r="J333" s="38">
        <v>50</v>
      </c>
      <c r="K333" s="39"/>
      <c r="L333" s="39"/>
      <c r="M333" s="39"/>
      <c r="N333" s="39"/>
      <c r="O333" s="39"/>
      <c r="P333" s="39"/>
      <c r="Q333" s="39"/>
      <c r="R333" s="39"/>
      <c r="S333" s="39"/>
      <c r="T333" s="39"/>
    </row>
    <row r="334" spans="1:20" ht="15.75">
      <c r="A334" s="13">
        <v>51317</v>
      </c>
      <c r="B334" s="47">
        <v>30</v>
      </c>
      <c r="C334" s="38">
        <v>194.20500000000001</v>
      </c>
      <c r="D334" s="38">
        <v>267.46600000000001</v>
      </c>
      <c r="E334" s="44">
        <v>812.32899999999995</v>
      </c>
      <c r="F334" s="38">
        <v>1274</v>
      </c>
      <c r="G334" s="38">
        <v>50</v>
      </c>
      <c r="H334" s="46">
        <v>600</v>
      </c>
      <c r="I334" s="38">
        <v>695</v>
      </c>
      <c r="J334" s="38">
        <v>50</v>
      </c>
      <c r="K334" s="39"/>
      <c r="L334" s="39"/>
      <c r="M334" s="39"/>
      <c r="N334" s="39"/>
      <c r="O334" s="39"/>
      <c r="P334" s="39"/>
      <c r="Q334" s="39"/>
      <c r="R334" s="39"/>
      <c r="S334" s="39"/>
      <c r="T334" s="39"/>
    </row>
    <row r="335" spans="1:20" ht="15.75">
      <c r="A335" s="13">
        <v>51348</v>
      </c>
      <c r="B335" s="47">
        <v>31</v>
      </c>
      <c r="C335" s="38">
        <v>194.20500000000001</v>
      </c>
      <c r="D335" s="38">
        <v>267.46600000000001</v>
      </c>
      <c r="E335" s="44">
        <v>812.32899999999995</v>
      </c>
      <c r="F335" s="38">
        <v>1274</v>
      </c>
      <c r="G335" s="38">
        <v>50</v>
      </c>
      <c r="H335" s="46">
        <v>600</v>
      </c>
      <c r="I335" s="38">
        <v>695</v>
      </c>
      <c r="J335" s="38">
        <v>0</v>
      </c>
      <c r="K335" s="39"/>
      <c r="L335" s="39"/>
      <c r="M335" s="39"/>
      <c r="N335" s="39"/>
      <c r="O335" s="39"/>
      <c r="P335" s="39"/>
      <c r="Q335" s="39"/>
      <c r="R335" s="39"/>
      <c r="S335" s="39"/>
      <c r="T335" s="39"/>
    </row>
    <row r="336" spans="1:20" ht="15.75">
      <c r="A336" s="13">
        <v>51379</v>
      </c>
      <c r="B336" s="47">
        <v>31</v>
      </c>
      <c r="C336" s="38">
        <v>194.20500000000001</v>
      </c>
      <c r="D336" s="38">
        <v>267.46600000000001</v>
      </c>
      <c r="E336" s="44">
        <v>812.32899999999995</v>
      </c>
      <c r="F336" s="38">
        <v>1274</v>
      </c>
      <c r="G336" s="38">
        <v>50</v>
      </c>
      <c r="H336" s="46">
        <v>600</v>
      </c>
      <c r="I336" s="38">
        <v>695</v>
      </c>
      <c r="J336" s="38">
        <v>0</v>
      </c>
      <c r="K336" s="39"/>
      <c r="L336" s="39"/>
      <c r="M336" s="39"/>
      <c r="N336" s="39"/>
      <c r="O336" s="39"/>
      <c r="P336" s="39"/>
      <c r="Q336" s="39"/>
      <c r="R336" s="39"/>
      <c r="S336" s="39"/>
      <c r="T336" s="39"/>
    </row>
    <row r="337" spans="1:20" ht="15.75">
      <c r="A337" s="13">
        <v>51409</v>
      </c>
      <c r="B337" s="47">
        <v>30</v>
      </c>
      <c r="C337" s="38">
        <v>194.20500000000001</v>
      </c>
      <c r="D337" s="38">
        <v>267.46600000000001</v>
      </c>
      <c r="E337" s="44">
        <v>812.32899999999995</v>
      </c>
      <c r="F337" s="38">
        <v>1274</v>
      </c>
      <c r="G337" s="38">
        <v>50</v>
      </c>
      <c r="H337" s="46">
        <v>600</v>
      </c>
      <c r="I337" s="38">
        <v>695</v>
      </c>
      <c r="J337" s="38">
        <v>0</v>
      </c>
      <c r="K337" s="39"/>
      <c r="L337" s="39"/>
      <c r="M337" s="39"/>
      <c r="N337" s="39"/>
      <c r="O337" s="39"/>
      <c r="P337" s="39"/>
      <c r="Q337" s="39"/>
      <c r="R337" s="39"/>
      <c r="S337" s="39"/>
      <c r="T337" s="39"/>
    </row>
    <row r="338" spans="1:20" ht="15.75">
      <c r="A338" s="13">
        <v>51440</v>
      </c>
      <c r="B338" s="47">
        <v>31</v>
      </c>
      <c r="C338" s="38">
        <v>131.881</v>
      </c>
      <c r="D338" s="38">
        <v>277.16699999999997</v>
      </c>
      <c r="E338" s="44">
        <v>829.952</v>
      </c>
      <c r="F338" s="38">
        <v>1239</v>
      </c>
      <c r="G338" s="38">
        <v>75</v>
      </c>
      <c r="H338" s="46">
        <v>600</v>
      </c>
      <c r="I338" s="38">
        <v>695</v>
      </c>
      <c r="J338" s="38">
        <v>0</v>
      </c>
      <c r="K338" s="39"/>
      <c r="L338" s="39"/>
      <c r="M338" s="39"/>
      <c r="N338" s="39"/>
      <c r="O338" s="39"/>
      <c r="P338" s="39"/>
      <c r="Q338" s="39"/>
      <c r="R338" s="39"/>
      <c r="S338" s="39"/>
      <c r="T338" s="39"/>
    </row>
    <row r="339" spans="1:20" ht="15.75">
      <c r="A339" s="13">
        <v>51470</v>
      </c>
      <c r="B339" s="47">
        <v>30</v>
      </c>
      <c r="C339" s="38">
        <v>122.58</v>
      </c>
      <c r="D339" s="38">
        <v>297.94099999999997</v>
      </c>
      <c r="E339" s="44">
        <v>729.47900000000004</v>
      </c>
      <c r="F339" s="38">
        <v>1150</v>
      </c>
      <c r="G339" s="38">
        <v>100</v>
      </c>
      <c r="H339" s="46">
        <v>600</v>
      </c>
      <c r="I339" s="38">
        <v>695</v>
      </c>
      <c r="J339" s="38">
        <v>50</v>
      </c>
      <c r="K339" s="39"/>
      <c r="L339" s="39"/>
      <c r="M339" s="39"/>
      <c r="N339" s="39"/>
      <c r="O339" s="39"/>
      <c r="P339" s="39"/>
      <c r="Q339" s="39"/>
      <c r="R339" s="39"/>
      <c r="S339" s="39"/>
      <c r="T339" s="39"/>
    </row>
    <row r="340" spans="1:20" ht="15.75">
      <c r="A340" s="13">
        <v>51501</v>
      </c>
      <c r="B340" s="47">
        <v>31</v>
      </c>
      <c r="C340" s="38">
        <v>122.58</v>
      </c>
      <c r="D340" s="38">
        <v>297.94099999999997</v>
      </c>
      <c r="E340" s="44">
        <v>729.47900000000004</v>
      </c>
      <c r="F340" s="38">
        <v>1150</v>
      </c>
      <c r="G340" s="38">
        <v>100</v>
      </c>
      <c r="H340" s="46">
        <v>600</v>
      </c>
      <c r="I340" s="38">
        <v>695</v>
      </c>
      <c r="J340" s="38">
        <v>50</v>
      </c>
      <c r="K340" s="39"/>
      <c r="L340" s="39"/>
      <c r="M340" s="39"/>
      <c r="N340" s="39"/>
      <c r="O340" s="39"/>
      <c r="P340" s="39"/>
      <c r="Q340" s="39"/>
      <c r="R340" s="39"/>
      <c r="S340" s="39"/>
      <c r="T340" s="39"/>
    </row>
    <row r="341" spans="1:20" ht="15.75">
      <c r="A341" s="13">
        <v>51532</v>
      </c>
      <c r="B341" s="47">
        <v>31</v>
      </c>
      <c r="C341" s="38">
        <v>122.58</v>
      </c>
      <c r="D341" s="38">
        <v>297.94099999999997</v>
      </c>
      <c r="E341" s="44">
        <v>729.47900000000004</v>
      </c>
      <c r="F341" s="38">
        <v>1150</v>
      </c>
      <c r="G341" s="38">
        <v>100</v>
      </c>
      <c r="H341" s="46">
        <v>600</v>
      </c>
      <c r="I341" s="38">
        <v>695</v>
      </c>
      <c r="J341" s="38">
        <v>50</v>
      </c>
      <c r="K341" s="39"/>
      <c r="L341" s="39"/>
      <c r="M341" s="39"/>
      <c r="N341" s="39"/>
      <c r="O341" s="39"/>
      <c r="P341" s="39"/>
      <c r="Q341" s="39"/>
      <c r="R341" s="39"/>
      <c r="S341" s="39"/>
      <c r="T341" s="39"/>
    </row>
    <row r="342" spans="1:20" ht="15.75">
      <c r="A342" s="13">
        <v>51560</v>
      </c>
      <c r="B342" s="47">
        <v>28</v>
      </c>
      <c r="C342" s="38">
        <v>122.58</v>
      </c>
      <c r="D342" s="38">
        <v>297.94099999999997</v>
      </c>
      <c r="E342" s="44">
        <v>729.47900000000004</v>
      </c>
      <c r="F342" s="38">
        <v>1150</v>
      </c>
      <c r="G342" s="38">
        <v>100</v>
      </c>
      <c r="H342" s="46">
        <v>600</v>
      </c>
      <c r="I342" s="38">
        <v>695</v>
      </c>
      <c r="J342" s="38">
        <v>50</v>
      </c>
      <c r="K342" s="39"/>
      <c r="L342" s="39"/>
      <c r="M342" s="39"/>
      <c r="N342" s="39"/>
      <c r="O342" s="39"/>
      <c r="P342" s="39"/>
      <c r="Q342" s="39"/>
      <c r="R342" s="39"/>
      <c r="S342" s="39"/>
      <c r="T342" s="39"/>
    </row>
    <row r="343" spans="1:20" ht="15.75">
      <c r="A343" s="13">
        <v>51591</v>
      </c>
      <c r="B343" s="47">
        <v>31</v>
      </c>
      <c r="C343" s="38">
        <v>122.58</v>
      </c>
      <c r="D343" s="38">
        <v>297.94099999999997</v>
      </c>
      <c r="E343" s="44">
        <v>729.47900000000004</v>
      </c>
      <c r="F343" s="38">
        <v>1150</v>
      </c>
      <c r="G343" s="38">
        <v>100</v>
      </c>
      <c r="H343" s="46">
        <v>600</v>
      </c>
      <c r="I343" s="38">
        <v>695</v>
      </c>
      <c r="J343" s="38">
        <v>50</v>
      </c>
      <c r="K343" s="39"/>
      <c r="L343" s="39"/>
      <c r="M343" s="39"/>
      <c r="N343" s="39"/>
      <c r="O343" s="39"/>
      <c r="P343" s="39"/>
      <c r="Q343" s="39"/>
      <c r="R343" s="39"/>
      <c r="S343" s="39"/>
      <c r="T343" s="39"/>
    </row>
    <row r="344" spans="1:20" ht="15.75">
      <c r="A344" s="13">
        <v>51621</v>
      </c>
      <c r="B344" s="47">
        <v>30</v>
      </c>
      <c r="C344" s="38">
        <v>141.29300000000001</v>
      </c>
      <c r="D344" s="38">
        <v>267.99299999999999</v>
      </c>
      <c r="E344" s="44">
        <v>829.71400000000006</v>
      </c>
      <c r="F344" s="38">
        <v>1239</v>
      </c>
      <c r="G344" s="38">
        <v>100</v>
      </c>
      <c r="H344" s="46">
        <v>600</v>
      </c>
      <c r="I344" s="38">
        <v>695</v>
      </c>
      <c r="J344" s="38">
        <v>50</v>
      </c>
      <c r="K344" s="39"/>
      <c r="L344" s="39"/>
      <c r="M344" s="39"/>
      <c r="N344" s="39"/>
      <c r="O344" s="39"/>
      <c r="P344" s="39"/>
      <c r="Q344" s="39"/>
      <c r="R344" s="39"/>
      <c r="S344" s="39"/>
      <c r="T344" s="39"/>
    </row>
    <row r="345" spans="1:20" ht="15.75">
      <c r="A345" s="13">
        <v>51652</v>
      </c>
      <c r="B345" s="47">
        <v>31</v>
      </c>
      <c r="C345" s="38">
        <v>194.20500000000001</v>
      </c>
      <c r="D345" s="38">
        <v>267.46600000000001</v>
      </c>
      <c r="E345" s="44">
        <v>812.32899999999995</v>
      </c>
      <c r="F345" s="38">
        <v>1274</v>
      </c>
      <c r="G345" s="38">
        <v>75</v>
      </c>
      <c r="H345" s="46">
        <v>600</v>
      </c>
      <c r="I345" s="38">
        <v>695</v>
      </c>
      <c r="J345" s="38">
        <v>50</v>
      </c>
      <c r="K345" s="39"/>
      <c r="L345" s="39"/>
      <c r="M345" s="39"/>
      <c r="N345" s="39"/>
      <c r="O345" s="39"/>
      <c r="P345" s="39"/>
      <c r="Q345" s="39"/>
      <c r="R345" s="39"/>
      <c r="S345" s="39"/>
      <c r="T345" s="39"/>
    </row>
    <row r="346" spans="1:20" ht="15.75">
      <c r="A346" s="13">
        <v>51682</v>
      </c>
      <c r="B346" s="47">
        <v>30</v>
      </c>
      <c r="C346" s="38">
        <v>194.20500000000001</v>
      </c>
      <c r="D346" s="38">
        <v>267.46600000000001</v>
      </c>
      <c r="E346" s="44">
        <v>812.32899999999995</v>
      </c>
      <c r="F346" s="38">
        <v>1274</v>
      </c>
      <c r="G346" s="38">
        <v>50</v>
      </c>
      <c r="H346" s="46">
        <v>600</v>
      </c>
      <c r="I346" s="38">
        <v>695</v>
      </c>
      <c r="J346" s="38">
        <v>50</v>
      </c>
      <c r="K346" s="39"/>
      <c r="L346" s="39"/>
      <c r="M346" s="39"/>
      <c r="N346" s="39"/>
      <c r="O346" s="39"/>
      <c r="P346" s="39"/>
      <c r="Q346" s="39"/>
      <c r="R346" s="39"/>
      <c r="S346" s="39"/>
      <c r="T346" s="39"/>
    </row>
    <row r="347" spans="1:20" ht="15.75">
      <c r="A347" s="13">
        <v>51713</v>
      </c>
      <c r="B347" s="47">
        <v>31</v>
      </c>
      <c r="C347" s="38">
        <v>194.20500000000001</v>
      </c>
      <c r="D347" s="38">
        <v>267.46600000000001</v>
      </c>
      <c r="E347" s="44">
        <v>812.32899999999995</v>
      </c>
      <c r="F347" s="38">
        <v>1274</v>
      </c>
      <c r="G347" s="38">
        <v>50</v>
      </c>
      <c r="H347" s="46">
        <v>600</v>
      </c>
      <c r="I347" s="38">
        <v>695</v>
      </c>
      <c r="J347" s="38">
        <v>0</v>
      </c>
      <c r="K347" s="39"/>
      <c r="L347" s="39"/>
      <c r="M347" s="39"/>
      <c r="N347" s="39"/>
      <c r="O347" s="39"/>
      <c r="P347" s="39"/>
      <c r="Q347" s="39"/>
      <c r="R347" s="39"/>
      <c r="S347" s="39"/>
      <c r="T347" s="39"/>
    </row>
    <row r="348" spans="1:20" ht="15.75">
      <c r="A348" s="13">
        <v>51744</v>
      </c>
      <c r="B348" s="47">
        <v>31</v>
      </c>
      <c r="C348" s="38">
        <v>194.20500000000001</v>
      </c>
      <c r="D348" s="38">
        <v>267.46600000000001</v>
      </c>
      <c r="E348" s="44">
        <v>812.32899999999995</v>
      </c>
      <c r="F348" s="38">
        <v>1274</v>
      </c>
      <c r="G348" s="38">
        <v>50</v>
      </c>
      <c r="H348" s="46">
        <v>600</v>
      </c>
      <c r="I348" s="38">
        <v>695</v>
      </c>
      <c r="J348" s="38">
        <v>0</v>
      </c>
      <c r="K348" s="39"/>
      <c r="L348" s="39"/>
      <c r="M348" s="39"/>
      <c r="N348" s="39"/>
      <c r="O348" s="39"/>
      <c r="P348" s="39"/>
      <c r="Q348" s="39"/>
      <c r="R348" s="39"/>
      <c r="S348" s="39"/>
      <c r="T348" s="39"/>
    </row>
    <row r="349" spans="1:20" ht="15.75">
      <c r="A349" s="13">
        <v>51774</v>
      </c>
      <c r="B349" s="47">
        <v>30</v>
      </c>
      <c r="C349" s="38">
        <v>194.20500000000001</v>
      </c>
      <c r="D349" s="38">
        <v>267.46600000000001</v>
      </c>
      <c r="E349" s="44">
        <v>812.32899999999995</v>
      </c>
      <c r="F349" s="38">
        <v>1274</v>
      </c>
      <c r="G349" s="38">
        <v>50</v>
      </c>
      <c r="H349" s="46">
        <v>600</v>
      </c>
      <c r="I349" s="38">
        <v>695</v>
      </c>
      <c r="J349" s="38">
        <v>0</v>
      </c>
      <c r="K349" s="39"/>
      <c r="L349" s="39"/>
      <c r="M349" s="39"/>
      <c r="N349" s="39"/>
      <c r="O349" s="39"/>
      <c r="P349" s="39"/>
      <c r="Q349" s="39"/>
      <c r="R349" s="39"/>
      <c r="S349" s="39"/>
      <c r="T349" s="39"/>
    </row>
    <row r="350" spans="1:20" ht="15.75">
      <c r="A350" s="13">
        <v>51805</v>
      </c>
      <c r="B350" s="47">
        <v>31</v>
      </c>
      <c r="C350" s="38">
        <v>131.881</v>
      </c>
      <c r="D350" s="38">
        <v>277.16699999999997</v>
      </c>
      <c r="E350" s="44">
        <v>829.952</v>
      </c>
      <c r="F350" s="38">
        <v>1239</v>
      </c>
      <c r="G350" s="38">
        <v>75</v>
      </c>
      <c r="H350" s="46">
        <v>600</v>
      </c>
      <c r="I350" s="38">
        <v>695</v>
      </c>
      <c r="J350" s="38">
        <v>0</v>
      </c>
      <c r="K350" s="39"/>
      <c r="L350" s="39"/>
      <c r="M350" s="39"/>
      <c r="N350" s="39"/>
      <c r="O350" s="39"/>
      <c r="P350" s="39"/>
      <c r="Q350" s="39"/>
      <c r="R350" s="39"/>
      <c r="S350" s="39"/>
      <c r="T350" s="39"/>
    </row>
    <row r="351" spans="1:20" ht="15.75">
      <c r="A351" s="13">
        <v>51835</v>
      </c>
      <c r="B351" s="47">
        <v>30</v>
      </c>
      <c r="C351" s="38">
        <v>122.58</v>
      </c>
      <c r="D351" s="38">
        <v>297.94099999999997</v>
      </c>
      <c r="E351" s="44">
        <v>729.47900000000004</v>
      </c>
      <c r="F351" s="38">
        <v>1150</v>
      </c>
      <c r="G351" s="38">
        <v>100</v>
      </c>
      <c r="H351" s="46">
        <v>600</v>
      </c>
      <c r="I351" s="38">
        <v>695</v>
      </c>
      <c r="J351" s="38">
        <v>50</v>
      </c>
      <c r="K351" s="39"/>
      <c r="L351" s="39"/>
      <c r="M351" s="39"/>
      <c r="N351" s="39"/>
      <c r="O351" s="39"/>
      <c r="P351" s="39"/>
      <c r="Q351" s="39"/>
      <c r="R351" s="39"/>
      <c r="S351" s="39"/>
      <c r="T351" s="39"/>
    </row>
    <row r="352" spans="1:20" ht="15.75">
      <c r="A352" s="13">
        <v>51866</v>
      </c>
      <c r="B352" s="47">
        <v>31</v>
      </c>
      <c r="C352" s="38">
        <v>122.58</v>
      </c>
      <c r="D352" s="38">
        <v>297.94099999999997</v>
      </c>
      <c r="E352" s="44">
        <v>729.47900000000004</v>
      </c>
      <c r="F352" s="38">
        <v>1150</v>
      </c>
      <c r="G352" s="38">
        <v>100</v>
      </c>
      <c r="H352" s="46">
        <v>600</v>
      </c>
      <c r="I352" s="38">
        <v>695</v>
      </c>
      <c r="J352" s="38">
        <v>50</v>
      </c>
      <c r="K352" s="39"/>
      <c r="L352" s="39"/>
      <c r="M352" s="39"/>
      <c r="N352" s="39"/>
      <c r="O352" s="39"/>
      <c r="P352" s="39"/>
      <c r="Q352" s="39"/>
      <c r="R352" s="39"/>
      <c r="S352" s="39"/>
      <c r="T352" s="39"/>
    </row>
    <row r="353" spans="1:20" ht="15.75">
      <c r="A353" s="13">
        <v>51897</v>
      </c>
      <c r="B353" s="47">
        <v>31</v>
      </c>
      <c r="C353" s="38">
        <v>122.58</v>
      </c>
      <c r="D353" s="38">
        <v>297.94099999999997</v>
      </c>
      <c r="E353" s="44">
        <v>729.47900000000004</v>
      </c>
      <c r="F353" s="38">
        <v>1150</v>
      </c>
      <c r="G353" s="38">
        <v>100</v>
      </c>
      <c r="H353" s="46">
        <v>600</v>
      </c>
      <c r="I353" s="38">
        <v>695</v>
      </c>
      <c r="J353" s="38">
        <v>50</v>
      </c>
      <c r="K353" s="39"/>
      <c r="L353" s="39"/>
      <c r="M353" s="39"/>
      <c r="N353" s="39"/>
      <c r="O353" s="39"/>
      <c r="P353" s="39"/>
      <c r="Q353" s="39"/>
      <c r="R353" s="39"/>
      <c r="S353" s="39"/>
      <c r="T353" s="39"/>
    </row>
    <row r="354" spans="1:20" ht="15.75">
      <c r="A354" s="13">
        <v>51925</v>
      </c>
      <c r="B354" s="47">
        <v>28</v>
      </c>
      <c r="C354" s="38">
        <v>122.58</v>
      </c>
      <c r="D354" s="38">
        <v>297.94099999999997</v>
      </c>
      <c r="E354" s="44">
        <v>729.47900000000004</v>
      </c>
      <c r="F354" s="38">
        <v>1150</v>
      </c>
      <c r="G354" s="38">
        <v>100</v>
      </c>
      <c r="H354" s="46">
        <v>600</v>
      </c>
      <c r="I354" s="38">
        <v>695</v>
      </c>
      <c r="J354" s="38">
        <v>50</v>
      </c>
      <c r="K354" s="39"/>
      <c r="L354" s="39"/>
      <c r="M354" s="39"/>
      <c r="N354" s="39"/>
      <c r="O354" s="39"/>
      <c r="P354" s="39"/>
      <c r="Q354" s="39"/>
      <c r="R354" s="39"/>
      <c r="S354" s="39"/>
      <c r="T354" s="39"/>
    </row>
    <row r="355" spans="1:20" ht="15.75">
      <c r="A355" s="13">
        <v>51956</v>
      </c>
      <c r="B355" s="47">
        <v>31</v>
      </c>
      <c r="C355" s="38">
        <v>122.58</v>
      </c>
      <c r="D355" s="38">
        <v>297.94099999999997</v>
      </c>
      <c r="E355" s="44">
        <v>729.47900000000004</v>
      </c>
      <c r="F355" s="38">
        <v>1150</v>
      </c>
      <c r="G355" s="38">
        <v>100</v>
      </c>
      <c r="H355" s="46">
        <v>600</v>
      </c>
      <c r="I355" s="38">
        <v>695</v>
      </c>
      <c r="J355" s="38">
        <v>50</v>
      </c>
      <c r="K355" s="39"/>
      <c r="L355" s="39"/>
      <c r="M355" s="39"/>
      <c r="N355" s="39"/>
      <c r="O355" s="39"/>
      <c r="P355" s="39"/>
      <c r="Q355" s="39"/>
      <c r="R355" s="39"/>
      <c r="S355" s="39"/>
      <c r="T355" s="39"/>
    </row>
    <row r="356" spans="1:20" ht="15.75">
      <c r="A356" s="13">
        <v>51986</v>
      </c>
      <c r="B356" s="47">
        <v>30</v>
      </c>
      <c r="C356" s="38">
        <v>141.29300000000001</v>
      </c>
      <c r="D356" s="38">
        <v>267.99299999999999</v>
      </c>
      <c r="E356" s="44">
        <v>829.71400000000006</v>
      </c>
      <c r="F356" s="38">
        <v>1239</v>
      </c>
      <c r="G356" s="38">
        <v>100</v>
      </c>
      <c r="H356" s="46">
        <v>600</v>
      </c>
      <c r="I356" s="38">
        <v>695</v>
      </c>
      <c r="J356" s="38">
        <v>50</v>
      </c>
      <c r="K356" s="39"/>
      <c r="L356" s="39"/>
      <c r="M356" s="39"/>
      <c r="N356" s="39"/>
      <c r="O356" s="39"/>
      <c r="P356" s="39"/>
      <c r="Q356" s="39"/>
      <c r="R356" s="39"/>
      <c r="S356" s="39"/>
      <c r="T356" s="39"/>
    </row>
    <row r="357" spans="1:20" ht="15.75">
      <c r="A357" s="13">
        <v>52017</v>
      </c>
      <c r="B357" s="47">
        <v>31</v>
      </c>
      <c r="C357" s="38">
        <v>194.20500000000001</v>
      </c>
      <c r="D357" s="38">
        <v>267.46600000000001</v>
      </c>
      <c r="E357" s="44">
        <v>812.32899999999995</v>
      </c>
      <c r="F357" s="38">
        <v>1274</v>
      </c>
      <c r="G357" s="38">
        <v>75</v>
      </c>
      <c r="H357" s="46">
        <v>600</v>
      </c>
      <c r="I357" s="38">
        <v>695</v>
      </c>
      <c r="J357" s="38">
        <v>50</v>
      </c>
      <c r="K357" s="39"/>
      <c r="L357" s="39"/>
      <c r="M357" s="39"/>
      <c r="N357" s="39"/>
      <c r="O357" s="39"/>
      <c r="P357" s="39"/>
      <c r="Q357" s="39"/>
      <c r="R357" s="39"/>
      <c r="S357" s="39"/>
      <c r="T357" s="39"/>
    </row>
    <row r="358" spans="1:20" ht="15.75">
      <c r="A358" s="13">
        <v>52047</v>
      </c>
      <c r="B358" s="47">
        <v>30</v>
      </c>
      <c r="C358" s="38">
        <v>194.20500000000001</v>
      </c>
      <c r="D358" s="38">
        <v>267.46600000000001</v>
      </c>
      <c r="E358" s="44">
        <v>812.32899999999995</v>
      </c>
      <c r="F358" s="38">
        <v>1274</v>
      </c>
      <c r="G358" s="38">
        <v>50</v>
      </c>
      <c r="H358" s="46">
        <v>600</v>
      </c>
      <c r="I358" s="38">
        <v>695</v>
      </c>
      <c r="J358" s="38">
        <v>50</v>
      </c>
      <c r="K358" s="39"/>
      <c r="L358" s="39"/>
      <c r="M358" s="39"/>
      <c r="N358" s="39"/>
      <c r="O358" s="39"/>
      <c r="P358" s="39"/>
      <c r="Q358" s="39"/>
      <c r="R358" s="39"/>
      <c r="S358" s="39"/>
      <c r="T358" s="39"/>
    </row>
    <row r="359" spans="1:20" ht="15.75">
      <c r="A359" s="13">
        <v>52078</v>
      </c>
      <c r="B359" s="47">
        <v>31</v>
      </c>
      <c r="C359" s="38">
        <v>194.20500000000001</v>
      </c>
      <c r="D359" s="38">
        <v>267.46600000000001</v>
      </c>
      <c r="E359" s="44">
        <v>812.32899999999995</v>
      </c>
      <c r="F359" s="38">
        <v>1274</v>
      </c>
      <c r="G359" s="38">
        <v>50</v>
      </c>
      <c r="H359" s="46">
        <v>600</v>
      </c>
      <c r="I359" s="38">
        <v>695</v>
      </c>
      <c r="J359" s="38">
        <v>0</v>
      </c>
      <c r="K359" s="39"/>
      <c r="L359" s="39"/>
      <c r="M359" s="39"/>
      <c r="N359" s="39"/>
      <c r="O359" s="39"/>
      <c r="P359" s="39"/>
      <c r="Q359" s="39"/>
      <c r="R359" s="39"/>
      <c r="S359" s="39"/>
      <c r="T359" s="39"/>
    </row>
    <row r="360" spans="1:20" ht="15.75">
      <c r="A360" s="13">
        <v>52109</v>
      </c>
      <c r="B360" s="47">
        <v>31</v>
      </c>
      <c r="C360" s="38">
        <v>194.20500000000001</v>
      </c>
      <c r="D360" s="38">
        <v>267.46600000000001</v>
      </c>
      <c r="E360" s="44">
        <v>812.32899999999995</v>
      </c>
      <c r="F360" s="38">
        <v>1274</v>
      </c>
      <c r="G360" s="38">
        <v>50</v>
      </c>
      <c r="H360" s="46">
        <v>600</v>
      </c>
      <c r="I360" s="38">
        <v>695</v>
      </c>
      <c r="J360" s="38">
        <v>0</v>
      </c>
      <c r="K360" s="39"/>
      <c r="L360" s="39"/>
      <c r="M360" s="39"/>
      <c r="N360" s="39"/>
      <c r="O360" s="39"/>
      <c r="P360" s="39"/>
      <c r="Q360" s="39"/>
      <c r="R360" s="39"/>
      <c r="S360" s="39"/>
      <c r="T360" s="39"/>
    </row>
    <row r="361" spans="1:20" ht="15.75">
      <c r="A361" s="13">
        <v>52139</v>
      </c>
      <c r="B361" s="47">
        <v>30</v>
      </c>
      <c r="C361" s="38">
        <v>194.20500000000001</v>
      </c>
      <c r="D361" s="38">
        <v>267.46600000000001</v>
      </c>
      <c r="E361" s="44">
        <v>812.32899999999995</v>
      </c>
      <c r="F361" s="38">
        <v>1274</v>
      </c>
      <c r="G361" s="38">
        <v>50</v>
      </c>
      <c r="H361" s="46">
        <v>600</v>
      </c>
      <c r="I361" s="38">
        <v>695</v>
      </c>
      <c r="J361" s="38">
        <v>0</v>
      </c>
      <c r="K361" s="39"/>
      <c r="L361" s="39"/>
      <c r="M361" s="39"/>
      <c r="N361" s="39"/>
      <c r="O361" s="39"/>
      <c r="P361" s="39"/>
      <c r="Q361" s="39"/>
      <c r="R361" s="39"/>
      <c r="S361" s="39"/>
      <c r="T361" s="39"/>
    </row>
    <row r="362" spans="1:20" ht="15.75">
      <c r="A362" s="13">
        <v>52170</v>
      </c>
      <c r="B362" s="47">
        <v>31</v>
      </c>
      <c r="C362" s="38">
        <v>131.881</v>
      </c>
      <c r="D362" s="38">
        <v>277.16699999999997</v>
      </c>
      <c r="E362" s="44">
        <v>829.952</v>
      </c>
      <c r="F362" s="38">
        <v>1239</v>
      </c>
      <c r="G362" s="38">
        <v>75</v>
      </c>
      <c r="H362" s="46">
        <v>600</v>
      </c>
      <c r="I362" s="38">
        <v>695</v>
      </c>
      <c r="J362" s="38">
        <v>0</v>
      </c>
      <c r="K362" s="39"/>
      <c r="L362" s="39"/>
      <c r="M362" s="39"/>
      <c r="N362" s="39"/>
      <c r="O362" s="39"/>
      <c r="P362" s="39"/>
      <c r="Q362" s="39"/>
      <c r="R362" s="39"/>
      <c r="S362" s="39"/>
      <c r="T362" s="39"/>
    </row>
    <row r="363" spans="1:20" ht="15.75">
      <c r="A363" s="13">
        <v>52200</v>
      </c>
      <c r="B363" s="47">
        <v>30</v>
      </c>
      <c r="C363" s="38">
        <v>122.58</v>
      </c>
      <c r="D363" s="38">
        <v>297.94099999999997</v>
      </c>
      <c r="E363" s="44">
        <v>729.47900000000004</v>
      </c>
      <c r="F363" s="38">
        <v>1150</v>
      </c>
      <c r="G363" s="38">
        <v>100</v>
      </c>
      <c r="H363" s="46">
        <v>600</v>
      </c>
      <c r="I363" s="38">
        <v>695</v>
      </c>
      <c r="J363" s="38">
        <v>50</v>
      </c>
      <c r="K363" s="39"/>
      <c r="L363" s="39"/>
      <c r="M363" s="39"/>
      <c r="N363" s="39"/>
      <c r="O363" s="39"/>
      <c r="P363" s="39"/>
      <c r="Q363" s="39"/>
      <c r="R363" s="39"/>
      <c r="S363" s="39"/>
      <c r="T363" s="39"/>
    </row>
    <row r="364" spans="1:20" ht="15.75">
      <c r="A364" s="13">
        <v>52231</v>
      </c>
      <c r="B364" s="47">
        <v>31</v>
      </c>
      <c r="C364" s="38">
        <v>122.58</v>
      </c>
      <c r="D364" s="38">
        <v>297.94099999999997</v>
      </c>
      <c r="E364" s="44">
        <v>729.47900000000004</v>
      </c>
      <c r="F364" s="38">
        <v>1150</v>
      </c>
      <c r="G364" s="38">
        <v>100</v>
      </c>
      <c r="H364" s="46">
        <v>600</v>
      </c>
      <c r="I364" s="38">
        <v>695</v>
      </c>
      <c r="J364" s="38">
        <v>50</v>
      </c>
      <c r="K364" s="39"/>
      <c r="L364" s="39"/>
      <c r="M364" s="39"/>
      <c r="N364" s="39"/>
      <c r="O364" s="39"/>
      <c r="P364" s="39"/>
      <c r="Q364" s="39"/>
      <c r="R364" s="39"/>
      <c r="S364" s="39"/>
      <c r="T364" s="39"/>
    </row>
    <row r="365" spans="1:20" ht="15.75">
      <c r="A365" s="13">
        <v>52262</v>
      </c>
      <c r="B365" s="47">
        <v>31</v>
      </c>
      <c r="C365" s="38">
        <v>122.58</v>
      </c>
      <c r="D365" s="38">
        <v>297.94099999999997</v>
      </c>
      <c r="E365" s="44">
        <v>729.47900000000004</v>
      </c>
      <c r="F365" s="38">
        <v>1150</v>
      </c>
      <c r="G365" s="38">
        <v>100</v>
      </c>
      <c r="H365" s="46">
        <v>600</v>
      </c>
      <c r="I365" s="38">
        <v>695</v>
      </c>
      <c r="J365" s="38">
        <v>50</v>
      </c>
      <c r="K365" s="39"/>
      <c r="L365" s="39"/>
      <c r="M365" s="39"/>
      <c r="N365" s="39"/>
      <c r="O365" s="39"/>
      <c r="P365" s="39"/>
      <c r="Q365" s="39"/>
      <c r="R365" s="39"/>
      <c r="S365" s="39"/>
      <c r="T365" s="39"/>
    </row>
    <row r="366" spans="1:20" ht="15.75">
      <c r="A366" s="13">
        <v>52290</v>
      </c>
      <c r="B366" s="47">
        <v>28</v>
      </c>
      <c r="C366" s="38">
        <v>122.58</v>
      </c>
      <c r="D366" s="38">
        <v>297.94099999999997</v>
      </c>
      <c r="E366" s="44">
        <v>729.47900000000004</v>
      </c>
      <c r="F366" s="38">
        <v>1150</v>
      </c>
      <c r="G366" s="38">
        <v>100</v>
      </c>
      <c r="H366" s="46">
        <v>600</v>
      </c>
      <c r="I366" s="38">
        <v>695</v>
      </c>
      <c r="J366" s="38">
        <v>50</v>
      </c>
      <c r="K366" s="39"/>
      <c r="L366" s="39"/>
      <c r="M366" s="39"/>
      <c r="N366" s="39"/>
      <c r="O366" s="39"/>
      <c r="P366" s="39"/>
      <c r="Q366" s="39"/>
      <c r="R366" s="39"/>
      <c r="S366" s="39"/>
      <c r="T366" s="39"/>
    </row>
    <row r="367" spans="1:20" ht="15.75">
      <c r="A367" s="13">
        <v>52321</v>
      </c>
      <c r="B367" s="47">
        <v>31</v>
      </c>
      <c r="C367" s="38">
        <v>122.58</v>
      </c>
      <c r="D367" s="38">
        <v>297.94099999999997</v>
      </c>
      <c r="E367" s="44">
        <v>729.47900000000004</v>
      </c>
      <c r="F367" s="38">
        <v>1150</v>
      </c>
      <c r="G367" s="38">
        <v>100</v>
      </c>
      <c r="H367" s="46">
        <v>600</v>
      </c>
      <c r="I367" s="38">
        <v>695</v>
      </c>
      <c r="J367" s="38">
        <v>50</v>
      </c>
      <c r="K367" s="39"/>
      <c r="L367" s="39"/>
      <c r="M367" s="39"/>
      <c r="N367" s="39"/>
      <c r="O367" s="39"/>
      <c r="P367" s="39"/>
      <c r="Q367" s="39"/>
      <c r="R367" s="39"/>
      <c r="S367" s="39"/>
      <c r="T367" s="39"/>
    </row>
    <row r="368" spans="1:20" ht="15.75">
      <c r="A368" s="13">
        <v>52351</v>
      </c>
      <c r="B368" s="47">
        <v>30</v>
      </c>
      <c r="C368" s="38">
        <v>141.29300000000001</v>
      </c>
      <c r="D368" s="38">
        <v>267.99299999999999</v>
      </c>
      <c r="E368" s="44">
        <v>829.71400000000006</v>
      </c>
      <c r="F368" s="38">
        <v>1239</v>
      </c>
      <c r="G368" s="38">
        <v>100</v>
      </c>
      <c r="H368" s="46">
        <v>600</v>
      </c>
      <c r="I368" s="38">
        <v>695</v>
      </c>
      <c r="J368" s="38">
        <v>50</v>
      </c>
      <c r="K368" s="39"/>
      <c r="L368" s="39"/>
      <c r="M368" s="39"/>
      <c r="N368" s="39"/>
      <c r="O368" s="39"/>
      <c r="P368" s="39"/>
      <c r="Q368" s="39"/>
      <c r="R368" s="39"/>
      <c r="S368" s="39"/>
      <c r="T368" s="39"/>
    </row>
    <row r="369" spans="1:20" ht="15.75">
      <c r="A369" s="13">
        <v>52382</v>
      </c>
      <c r="B369" s="47">
        <v>31</v>
      </c>
      <c r="C369" s="38">
        <v>194.20500000000001</v>
      </c>
      <c r="D369" s="38">
        <v>267.46600000000001</v>
      </c>
      <c r="E369" s="44">
        <v>812.32899999999995</v>
      </c>
      <c r="F369" s="38">
        <v>1274</v>
      </c>
      <c r="G369" s="38">
        <v>75</v>
      </c>
      <c r="H369" s="46">
        <v>600</v>
      </c>
      <c r="I369" s="38">
        <v>695</v>
      </c>
      <c r="J369" s="38">
        <v>50</v>
      </c>
      <c r="K369" s="39"/>
      <c r="L369" s="39"/>
      <c r="M369" s="39"/>
      <c r="N369" s="39"/>
      <c r="O369" s="39"/>
      <c r="P369" s="39"/>
      <c r="Q369" s="39"/>
      <c r="R369" s="39"/>
      <c r="S369" s="39"/>
      <c r="T369" s="39"/>
    </row>
    <row r="370" spans="1:20" ht="15.75">
      <c r="A370" s="13">
        <v>52412</v>
      </c>
      <c r="B370" s="47">
        <v>30</v>
      </c>
      <c r="C370" s="38">
        <v>194.20500000000001</v>
      </c>
      <c r="D370" s="38">
        <v>267.46600000000001</v>
      </c>
      <c r="E370" s="44">
        <v>812.32899999999995</v>
      </c>
      <c r="F370" s="38">
        <v>1274</v>
      </c>
      <c r="G370" s="38">
        <v>50</v>
      </c>
      <c r="H370" s="46">
        <v>600</v>
      </c>
      <c r="I370" s="38">
        <v>695</v>
      </c>
      <c r="J370" s="38">
        <v>50</v>
      </c>
      <c r="K370" s="39"/>
      <c r="L370" s="39"/>
      <c r="M370" s="39"/>
      <c r="N370" s="39"/>
      <c r="O370" s="39"/>
      <c r="P370" s="39"/>
      <c r="Q370" s="39"/>
      <c r="R370" s="39"/>
      <c r="S370" s="39"/>
      <c r="T370" s="39"/>
    </row>
    <row r="371" spans="1:20" ht="15.75">
      <c r="A371" s="13">
        <v>52443</v>
      </c>
      <c r="B371" s="47">
        <v>31</v>
      </c>
      <c r="C371" s="38">
        <v>194.20500000000001</v>
      </c>
      <c r="D371" s="38">
        <v>267.46600000000001</v>
      </c>
      <c r="E371" s="44">
        <v>812.32899999999995</v>
      </c>
      <c r="F371" s="38">
        <v>1274</v>
      </c>
      <c r="G371" s="38">
        <v>50</v>
      </c>
      <c r="H371" s="46">
        <v>600</v>
      </c>
      <c r="I371" s="38">
        <v>695</v>
      </c>
      <c r="J371" s="38">
        <v>0</v>
      </c>
      <c r="K371" s="39"/>
      <c r="L371" s="39"/>
      <c r="M371" s="39"/>
      <c r="N371" s="39"/>
      <c r="O371" s="39"/>
      <c r="P371" s="39"/>
      <c r="Q371" s="39"/>
      <c r="R371" s="39"/>
      <c r="S371" s="39"/>
      <c r="T371" s="39"/>
    </row>
    <row r="372" spans="1:20" ht="15.75">
      <c r="A372" s="13">
        <v>52474</v>
      </c>
      <c r="B372" s="47">
        <v>31</v>
      </c>
      <c r="C372" s="38">
        <v>194.20500000000001</v>
      </c>
      <c r="D372" s="38">
        <v>267.46600000000001</v>
      </c>
      <c r="E372" s="44">
        <v>812.32899999999995</v>
      </c>
      <c r="F372" s="38">
        <v>1274</v>
      </c>
      <c r="G372" s="38">
        <v>50</v>
      </c>
      <c r="H372" s="46">
        <v>600</v>
      </c>
      <c r="I372" s="38">
        <v>695</v>
      </c>
      <c r="J372" s="38">
        <v>0</v>
      </c>
      <c r="K372" s="39"/>
      <c r="L372" s="39"/>
      <c r="M372" s="39"/>
      <c r="N372" s="39"/>
      <c r="O372" s="39"/>
      <c r="P372" s="39"/>
      <c r="Q372" s="39"/>
      <c r="R372" s="39"/>
      <c r="S372" s="39"/>
      <c r="T372" s="39"/>
    </row>
    <row r="373" spans="1:20" ht="15.75">
      <c r="A373" s="13">
        <v>52504</v>
      </c>
      <c r="B373" s="47">
        <v>30</v>
      </c>
      <c r="C373" s="38">
        <v>194.20500000000001</v>
      </c>
      <c r="D373" s="38">
        <v>267.46600000000001</v>
      </c>
      <c r="E373" s="44">
        <v>812.32899999999995</v>
      </c>
      <c r="F373" s="38">
        <v>1274</v>
      </c>
      <c r="G373" s="38">
        <v>50</v>
      </c>
      <c r="H373" s="46">
        <v>600</v>
      </c>
      <c r="I373" s="38">
        <v>695</v>
      </c>
      <c r="J373" s="38">
        <v>0</v>
      </c>
      <c r="K373" s="39"/>
      <c r="L373" s="39"/>
      <c r="M373" s="39"/>
      <c r="N373" s="39"/>
      <c r="O373" s="39"/>
      <c r="P373" s="39"/>
      <c r="Q373" s="39"/>
      <c r="R373" s="39"/>
      <c r="S373" s="39"/>
      <c r="T373" s="39"/>
    </row>
    <row r="374" spans="1:20" ht="15.75">
      <c r="A374" s="13">
        <v>52535</v>
      </c>
      <c r="B374" s="47">
        <v>31</v>
      </c>
      <c r="C374" s="38">
        <v>131.881</v>
      </c>
      <c r="D374" s="38">
        <v>277.16699999999997</v>
      </c>
      <c r="E374" s="44">
        <v>829.952</v>
      </c>
      <c r="F374" s="38">
        <v>1239</v>
      </c>
      <c r="G374" s="38">
        <v>75</v>
      </c>
      <c r="H374" s="46">
        <v>600</v>
      </c>
      <c r="I374" s="38">
        <v>695</v>
      </c>
      <c r="J374" s="38">
        <v>0</v>
      </c>
      <c r="K374" s="39"/>
      <c r="L374" s="39"/>
      <c r="M374" s="39"/>
      <c r="N374" s="39"/>
      <c r="O374" s="39"/>
      <c r="P374" s="39"/>
      <c r="Q374" s="39"/>
      <c r="R374" s="39"/>
      <c r="S374" s="39"/>
      <c r="T374" s="39"/>
    </row>
    <row r="375" spans="1:20" ht="15.75">
      <c r="A375" s="13">
        <v>52565</v>
      </c>
      <c r="B375" s="47">
        <v>30</v>
      </c>
      <c r="C375" s="38">
        <v>122.58</v>
      </c>
      <c r="D375" s="38">
        <v>297.94099999999997</v>
      </c>
      <c r="E375" s="44">
        <v>729.47900000000004</v>
      </c>
      <c r="F375" s="38">
        <v>1150</v>
      </c>
      <c r="G375" s="38">
        <v>100</v>
      </c>
      <c r="H375" s="46">
        <v>600</v>
      </c>
      <c r="I375" s="38">
        <v>695</v>
      </c>
      <c r="J375" s="38">
        <v>50</v>
      </c>
      <c r="K375" s="39"/>
      <c r="L375" s="39"/>
      <c r="M375" s="39"/>
      <c r="N375" s="39"/>
      <c r="O375" s="39"/>
      <c r="P375" s="39"/>
      <c r="Q375" s="39"/>
      <c r="R375" s="39"/>
      <c r="S375" s="39"/>
      <c r="T375" s="39"/>
    </row>
    <row r="376" spans="1:20" ht="15.75">
      <c r="A376" s="13">
        <v>52596</v>
      </c>
      <c r="B376" s="47">
        <v>31</v>
      </c>
      <c r="C376" s="38">
        <v>122.58</v>
      </c>
      <c r="D376" s="38">
        <v>297.94099999999997</v>
      </c>
      <c r="E376" s="44">
        <v>729.47900000000004</v>
      </c>
      <c r="F376" s="38">
        <v>1150</v>
      </c>
      <c r="G376" s="38">
        <v>100</v>
      </c>
      <c r="H376" s="46">
        <v>600</v>
      </c>
      <c r="I376" s="38">
        <v>695</v>
      </c>
      <c r="J376" s="38">
        <v>50</v>
      </c>
      <c r="K376" s="39"/>
      <c r="L376" s="39"/>
      <c r="M376" s="39"/>
      <c r="N376" s="39"/>
      <c r="O376" s="39"/>
      <c r="P376" s="39"/>
      <c r="Q376" s="39"/>
      <c r="R376" s="39"/>
      <c r="S376" s="39"/>
      <c r="T376" s="39"/>
    </row>
    <row r="377" spans="1:20" ht="15.75">
      <c r="A377" s="13">
        <v>52627</v>
      </c>
      <c r="B377" s="47">
        <v>31</v>
      </c>
      <c r="C377" s="38">
        <v>122.58</v>
      </c>
      <c r="D377" s="38">
        <v>297.94099999999997</v>
      </c>
      <c r="E377" s="44">
        <v>729.47900000000004</v>
      </c>
      <c r="F377" s="38">
        <v>1150</v>
      </c>
      <c r="G377" s="38">
        <v>100</v>
      </c>
      <c r="H377" s="46">
        <v>600</v>
      </c>
      <c r="I377" s="38">
        <v>695</v>
      </c>
      <c r="J377" s="38">
        <v>50</v>
      </c>
      <c r="K377" s="39"/>
      <c r="L377" s="39"/>
      <c r="M377" s="39"/>
      <c r="N377" s="39"/>
      <c r="O377" s="39"/>
      <c r="P377" s="39"/>
      <c r="Q377" s="39"/>
      <c r="R377" s="39"/>
      <c r="S377" s="39"/>
      <c r="T377" s="39"/>
    </row>
    <row r="378" spans="1:20" ht="15.75">
      <c r="A378" s="13">
        <v>52655</v>
      </c>
      <c r="B378" s="47">
        <v>29</v>
      </c>
      <c r="C378" s="38">
        <v>122.58</v>
      </c>
      <c r="D378" s="38">
        <v>297.94099999999997</v>
      </c>
      <c r="E378" s="44">
        <v>729.47900000000004</v>
      </c>
      <c r="F378" s="38">
        <v>1150</v>
      </c>
      <c r="G378" s="38">
        <v>100</v>
      </c>
      <c r="H378" s="46">
        <v>600</v>
      </c>
      <c r="I378" s="38">
        <v>695</v>
      </c>
      <c r="J378" s="38">
        <v>50</v>
      </c>
      <c r="K378" s="39"/>
      <c r="L378" s="39"/>
      <c r="M378" s="39"/>
      <c r="N378" s="39"/>
      <c r="O378" s="39"/>
      <c r="P378" s="39"/>
      <c r="Q378" s="39"/>
      <c r="R378" s="39"/>
      <c r="S378" s="39"/>
      <c r="T378" s="39"/>
    </row>
    <row r="379" spans="1:20" ht="15.75">
      <c r="A379" s="13">
        <v>52687</v>
      </c>
      <c r="B379" s="47">
        <v>31</v>
      </c>
      <c r="C379" s="38">
        <v>122.58</v>
      </c>
      <c r="D379" s="38">
        <v>297.94099999999997</v>
      </c>
      <c r="E379" s="44">
        <v>729.47900000000004</v>
      </c>
      <c r="F379" s="38">
        <v>1150</v>
      </c>
      <c r="G379" s="38">
        <v>100</v>
      </c>
      <c r="H379" s="46">
        <v>600</v>
      </c>
      <c r="I379" s="38">
        <v>695</v>
      </c>
      <c r="J379" s="38">
        <v>50</v>
      </c>
      <c r="K379" s="39"/>
      <c r="L379" s="39"/>
      <c r="M379" s="39"/>
      <c r="N379" s="39"/>
      <c r="O379" s="39"/>
      <c r="P379" s="39"/>
      <c r="Q379" s="39"/>
      <c r="R379" s="39"/>
      <c r="S379" s="39"/>
      <c r="T379" s="39"/>
    </row>
    <row r="380" spans="1:20" ht="15.75">
      <c r="A380" s="13">
        <v>52717</v>
      </c>
      <c r="B380" s="47">
        <v>30</v>
      </c>
      <c r="C380" s="38">
        <v>141.29300000000001</v>
      </c>
      <c r="D380" s="38">
        <v>267.99299999999999</v>
      </c>
      <c r="E380" s="44">
        <v>829.71400000000006</v>
      </c>
      <c r="F380" s="38">
        <v>1239</v>
      </c>
      <c r="G380" s="38">
        <v>100</v>
      </c>
      <c r="H380" s="46">
        <v>600</v>
      </c>
      <c r="I380" s="38">
        <v>695</v>
      </c>
      <c r="J380" s="38">
        <v>50</v>
      </c>
      <c r="K380" s="39"/>
      <c r="L380" s="39"/>
      <c r="M380" s="39"/>
      <c r="N380" s="39"/>
      <c r="O380" s="39"/>
      <c r="P380" s="39"/>
      <c r="Q380" s="39"/>
      <c r="R380" s="39"/>
      <c r="S380" s="39"/>
      <c r="T380" s="39"/>
    </row>
    <row r="381" spans="1:20" ht="15.75">
      <c r="A381" s="13">
        <v>52748</v>
      </c>
      <c r="B381" s="47">
        <v>31</v>
      </c>
      <c r="C381" s="38">
        <v>194.20500000000001</v>
      </c>
      <c r="D381" s="38">
        <v>267.46600000000001</v>
      </c>
      <c r="E381" s="44">
        <v>812.32899999999995</v>
      </c>
      <c r="F381" s="38">
        <v>1274</v>
      </c>
      <c r="G381" s="38">
        <v>75</v>
      </c>
      <c r="H381" s="46">
        <v>600</v>
      </c>
      <c r="I381" s="38">
        <v>695</v>
      </c>
      <c r="J381" s="38">
        <v>50</v>
      </c>
      <c r="K381" s="39"/>
      <c r="L381" s="39"/>
      <c r="M381" s="39"/>
      <c r="N381" s="39"/>
      <c r="O381" s="39"/>
      <c r="P381" s="39"/>
      <c r="Q381" s="39"/>
      <c r="R381" s="39"/>
      <c r="S381" s="39"/>
      <c r="T381" s="39"/>
    </row>
    <row r="382" spans="1:20" ht="15.75">
      <c r="A382" s="13">
        <v>52778</v>
      </c>
      <c r="B382" s="47">
        <v>30</v>
      </c>
      <c r="C382" s="38">
        <v>194.20500000000001</v>
      </c>
      <c r="D382" s="38">
        <v>267.46600000000001</v>
      </c>
      <c r="E382" s="44">
        <v>812.32899999999995</v>
      </c>
      <c r="F382" s="38">
        <v>1274</v>
      </c>
      <c r="G382" s="38">
        <v>50</v>
      </c>
      <c r="H382" s="46">
        <v>600</v>
      </c>
      <c r="I382" s="38">
        <v>695</v>
      </c>
      <c r="J382" s="38">
        <v>50</v>
      </c>
      <c r="K382" s="39"/>
      <c r="L382" s="39"/>
      <c r="M382" s="39"/>
      <c r="N382" s="39"/>
      <c r="O382" s="39"/>
      <c r="P382" s="39"/>
      <c r="Q382" s="39"/>
      <c r="R382" s="39"/>
      <c r="S382" s="39"/>
      <c r="T382" s="39"/>
    </row>
    <row r="383" spans="1:20" ht="15.75">
      <c r="A383" s="13">
        <v>52809</v>
      </c>
      <c r="B383" s="47">
        <v>31</v>
      </c>
      <c r="C383" s="38">
        <v>194.20500000000001</v>
      </c>
      <c r="D383" s="38">
        <v>267.46600000000001</v>
      </c>
      <c r="E383" s="44">
        <v>812.32899999999995</v>
      </c>
      <c r="F383" s="38">
        <v>1274</v>
      </c>
      <c r="G383" s="38">
        <v>50</v>
      </c>
      <c r="H383" s="46">
        <v>600</v>
      </c>
      <c r="I383" s="38">
        <v>695</v>
      </c>
      <c r="J383" s="38">
        <v>0</v>
      </c>
      <c r="K383" s="39"/>
      <c r="L383" s="39"/>
      <c r="M383" s="39"/>
      <c r="N383" s="39"/>
      <c r="O383" s="39"/>
      <c r="P383" s="39"/>
      <c r="Q383" s="39"/>
      <c r="R383" s="39"/>
      <c r="S383" s="39"/>
      <c r="T383" s="39"/>
    </row>
    <row r="384" spans="1:20" ht="15.75">
      <c r="A384" s="13">
        <v>52840</v>
      </c>
      <c r="B384" s="47">
        <v>31</v>
      </c>
      <c r="C384" s="38">
        <v>194.20500000000001</v>
      </c>
      <c r="D384" s="38">
        <v>267.46600000000001</v>
      </c>
      <c r="E384" s="44">
        <v>812.32899999999995</v>
      </c>
      <c r="F384" s="38">
        <v>1274</v>
      </c>
      <c r="G384" s="38">
        <v>50</v>
      </c>
      <c r="H384" s="46">
        <v>600</v>
      </c>
      <c r="I384" s="38">
        <v>695</v>
      </c>
      <c r="J384" s="38">
        <v>0</v>
      </c>
      <c r="K384" s="39"/>
      <c r="L384" s="39"/>
      <c r="M384" s="39"/>
      <c r="N384" s="39"/>
      <c r="O384" s="39"/>
      <c r="P384" s="39"/>
      <c r="Q384" s="39"/>
      <c r="R384" s="39"/>
      <c r="S384" s="39"/>
      <c r="T384" s="39"/>
    </row>
    <row r="385" spans="1:20" ht="15.75">
      <c r="A385" s="13">
        <v>52870</v>
      </c>
      <c r="B385" s="47">
        <v>30</v>
      </c>
      <c r="C385" s="38">
        <v>194.20500000000001</v>
      </c>
      <c r="D385" s="38">
        <v>267.46600000000001</v>
      </c>
      <c r="E385" s="44">
        <v>812.32899999999995</v>
      </c>
      <c r="F385" s="38">
        <v>1274</v>
      </c>
      <c r="G385" s="38">
        <v>50</v>
      </c>
      <c r="H385" s="46">
        <v>600</v>
      </c>
      <c r="I385" s="38">
        <v>695</v>
      </c>
      <c r="J385" s="38">
        <v>0</v>
      </c>
      <c r="K385" s="39"/>
      <c r="L385" s="39"/>
      <c r="M385" s="39"/>
      <c r="N385" s="39"/>
      <c r="O385" s="39"/>
      <c r="P385" s="39"/>
      <c r="Q385" s="39"/>
      <c r="R385" s="39"/>
      <c r="S385" s="39"/>
      <c r="T385" s="39"/>
    </row>
    <row r="386" spans="1:20" ht="15.75">
      <c r="A386" s="13">
        <v>52901</v>
      </c>
      <c r="B386" s="47">
        <v>31</v>
      </c>
      <c r="C386" s="38">
        <v>131.881</v>
      </c>
      <c r="D386" s="38">
        <v>277.16699999999997</v>
      </c>
      <c r="E386" s="44">
        <v>829.952</v>
      </c>
      <c r="F386" s="38">
        <v>1239</v>
      </c>
      <c r="G386" s="38">
        <v>75</v>
      </c>
      <c r="H386" s="46">
        <v>600</v>
      </c>
      <c r="I386" s="38">
        <v>695</v>
      </c>
      <c r="J386" s="38">
        <v>0</v>
      </c>
      <c r="K386" s="39"/>
      <c r="L386" s="39"/>
      <c r="M386" s="39"/>
      <c r="N386" s="39"/>
      <c r="O386" s="39"/>
      <c r="P386" s="39"/>
      <c r="Q386" s="39"/>
      <c r="R386" s="39"/>
      <c r="S386" s="39"/>
      <c r="T386" s="39"/>
    </row>
    <row r="387" spans="1:20" ht="15.75">
      <c r="A387" s="13">
        <v>52931</v>
      </c>
      <c r="B387" s="47">
        <v>30</v>
      </c>
      <c r="C387" s="38">
        <v>122.58</v>
      </c>
      <c r="D387" s="38">
        <v>297.94099999999997</v>
      </c>
      <c r="E387" s="44">
        <v>729.47900000000004</v>
      </c>
      <c r="F387" s="38">
        <v>1150</v>
      </c>
      <c r="G387" s="38">
        <v>100</v>
      </c>
      <c r="H387" s="46">
        <v>600</v>
      </c>
      <c r="I387" s="38">
        <v>695</v>
      </c>
      <c r="J387" s="38">
        <v>50</v>
      </c>
      <c r="K387" s="39"/>
      <c r="L387" s="39"/>
      <c r="M387" s="39"/>
      <c r="N387" s="39"/>
      <c r="O387" s="39"/>
      <c r="P387" s="39"/>
      <c r="Q387" s="39"/>
      <c r="R387" s="39"/>
      <c r="S387" s="39"/>
      <c r="T387" s="39"/>
    </row>
    <row r="388" spans="1:20" ht="15.75">
      <c r="A388" s="13">
        <v>52962</v>
      </c>
      <c r="B388" s="47">
        <v>31</v>
      </c>
      <c r="C388" s="38">
        <v>122.58</v>
      </c>
      <c r="D388" s="38">
        <v>297.94099999999997</v>
      </c>
      <c r="E388" s="44">
        <v>729.47900000000004</v>
      </c>
      <c r="F388" s="38">
        <v>1150</v>
      </c>
      <c r="G388" s="38">
        <v>100</v>
      </c>
      <c r="H388" s="46">
        <v>600</v>
      </c>
      <c r="I388" s="38">
        <v>695</v>
      </c>
      <c r="J388" s="38">
        <v>50</v>
      </c>
      <c r="K388" s="39"/>
      <c r="L388" s="39"/>
      <c r="M388" s="39"/>
      <c r="N388" s="39"/>
      <c r="O388" s="39"/>
      <c r="P388" s="39"/>
      <c r="Q388" s="39"/>
      <c r="R388" s="39"/>
      <c r="S388" s="39"/>
      <c r="T388" s="39"/>
    </row>
    <row r="389" spans="1:20" ht="15.75">
      <c r="A389" s="13">
        <v>52993</v>
      </c>
      <c r="B389" s="47">
        <v>31</v>
      </c>
      <c r="C389" s="38">
        <v>122.58</v>
      </c>
      <c r="D389" s="38">
        <v>297.94099999999997</v>
      </c>
      <c r="E389" s="44">
        <v>729.47900000000004</v>
      </c>
      <c r="F389" s="38">
        <v>1150</v>
      </c>
      <c r="G389" s="38">
        <v>100</v>
      </c>
      <c r="H389" s="46">
        <v>600</v>
      </c>
      <c r="I389" s="38">
        <v>695</v>
      </c>
      <c r="J389" s="38">
        <v>50</v>
      </c>
      <c r="K389" s="39"/>
      <c r="L389" s="39"/>
      <c r="M389" s="39"/>
      <c r="N389" s="39"/>
      <c r="O389" s="39"/>
      <c r="P389" s="39"/>
      <c r="Q389" s="39"/>
      <c r="R389" s="39"/>
      <c r="S389" s="39"/>
      <c r="T389" s="39"/>
    </row>
    <row r="390" spans="1:20" ht="15.75">
      <c r="A390" s="13">
        <v>53021</v>
      </c>
      <c r="B390" s="47">
        <v>28</v>
      </c>
      <c r="C390" s="38">
        <v>122.58</v>
      </c>
      <c r="D390" s="38">
        <v>297.94099999999997</v>
      </c>
      <c r="E390" s="44">
        <v>729.47900000000004</v>
      </c>
      <c r="F390" s="38">
        <v>1150</v>
      </c>
      <c r="G390" s="38">
        <v>100</v>
      </c>
      <c r="H390" s="46">
        <v>600</v>
      </c>
      <c r="I390" s="38">
        <v>695</v>
      </c>
      <c r="J390" s="38">
        <v>50</v>
      </c>
      <c r="K390" s="39"/>
      <c r="L390" s="39"/>
      <c r="M390" s="39"/>
      <c r="N390" s="39"/>
      <c r="O390" s="39"/>
      <c r="P390" s="39"/>
      <c r="Q390" s="39"/>
      <c r="R390" s="39"/>
      <c r="S390" s="39"/>
      <c r="T390" s="39"/>
    </row>
    <row r="391" spans="1:20" ht="15.75">
      <c r="A391" s="13">
        <v>53052</v>
      </c>
      <c r="B391" s="47">
        <v>31</v>
      </c>
      <c r="C391" s="38">
        <v>122.58</v>
      </c>
      <c r="D391" s="38">
        <v>297.94099999999997</v>
      </c>
      <c r="E391" s="44">
        <v>729.47900000000004</v>
      </c>
      <c r="F391" s="38">
        <v>1150</v>
      </c>
      <c r="G391" s="38">
        <v>100</v>
      </c>
      <c r="H391" s="46">
        <v>600</v>
      </c>
      <c r="I391" s="38">
        <v>695</v>
      </c>
      <c r="J391" s="38">
        <v>50</v>
      </c>
      <c r="K391" s="39"/>
      <c r="L391" s="39"/>
      <c r="M391" s="39"/>
      <c r="N391" s="39"/>
      <c r="O391" s="39"/>
      <c r="P391" s="39"/>
      <c r="Q391" s="39"/>
      <c r="R391" s="39"/>
      <c r="S391" s="39"/>
      <c r="T391" s="39"/>
    </row>
    <row r="392" spans="1:20" ht="15.75">
      <c r="A392" s="13">
        <v>53082</v>
      </c>
      <c r="B392" s="47">
        <v>30</v>
      </c>
      <c r="C392" s="38">
        <v>141.29300000000001</v>
      </c>
      <c r="D392" s="38">
        <v>267.99299999999999</v>
      </c>
      <c r="E392" s="44">
        <v>829.71400000000006</v>
      </c>
      <c r="F392" s="38">
        <v>1239</v>
      </c>
      <c r="G392" s="38">
        <v>100</v>
      </c>
      <c r="H392" s="46">
        <v>600</v>
      </c>
      <c r="I392" s="38">
        <v>695</v>
      </c>
      <c r="J392" s="38">
        <v>50</v>
      </c>
      <c r="K392" s="39"/>
      <c r="L392" s="39"/>
      <c r="M392" s="39"/>
      <c r="N392" s="39"/>
      <c r="O392" s="39"/>
      <c r="P392" s="39"/>
      <c r="Q392" s="39"/>
      <c r="R392" s="39"/>
      <c r="S392" s="39"/>
      <c r="T392" s="39"/>
    </row>
    <row r="393" spans="1:20" ht="15.75">
      <c r="A393" s="13">
        <v>53113</v>
      </c>
      <c r="B393" s="47">
        <v>31</v>
      </c>
      <c r="C393" s="38">
        <v>194.20500000000001</v>
      </c>
      <c r="D393" s="38">
        <v>267.46600000000001</v>
      </c>
      <c r="E393" s="44">
        <v>812.32899999999995</v>
      </c>
      <c r="F393" s="38">
        <v>1274</v>
      </c>
      <c r="G393" s="38">
        <v>75</v>
      </c>
      <c r="H393" s="46">
        <v>600</v>
      </c>
      <c r="I393" s="38">
        <v>695</v>
      </c>
      <c r="J393" s="38">
        <v>50</v>
      </c>
      <c r="K393" s="39"/>
      <c r="L393" s="39"/>
      <c r="M393" s="39"/>
      <c r="N393" s="39"/>
      <c r="O393" s="39"/>
      <c r="P393" s="39"/>
      <c r="Q393" s="39"/>
      <c r="R393" s="39"/>
      <c r="S393" s="39"/>
      <c r="T393" s="39"/>
    </row>
    <row r="394" spans="1:20" ht="15.75">
      <c r="A394" s="13">
        <v>53143</v>
      </c>
      <c r="B394" s="47">
        <v>30</v>
      </c>
      <c r="C394" s="38">
        <v>194.20500000000001</v>
      </c>
      <c r="D394" s="38">
        <v>267.46600000000001</v>
      </c>
      <c r="E394" s="44">
        <v>812.32899999999995</v>
      </c>
      <c r="F394" s="38">
        <v>1274</v>
      </c>
      <c r="G394" s="38">
        <v>50</v>
      </c>
      <c r="H394" s="46">
        <v>600</v>
      </c>
      <c r="I394" s="38">
        <v>695</v>
      </c>
      <c r="J394" s="38">
        <v>50</v>
      </c>
      <c r="K394" s="39"/>
      <c r="L394" s="39"/>
      <c r="M394" s="39"/>
      <c r="N394" s="39"/>
      <c r="O394" s="39"/>
      <c r="P394" s="39"/>
      <c r="Q394" s="39"/>
      <c r="R394" s="39"/>
      <c r="S394" s="39"/>
      <c r="T394" s="39"/>
    </row>
    <row r="395" spans="1:20" ht="15.75">
      <c r="A395" s="13">
        <v>53174</v>
      </c>
      <c r="B395" s="47">
        <v>31</v>
      </c>
      <c r="C395" s="38">
        <v>194.20500000000001</v>
      </c>
      <c r="D395" s="38">
        <v>267.46600000000001</v>
      </c>
      <c r="E395" s="44">
        <v>812.32899999999995</v>
      </c>
      <c r="F395" s="38">
        <v>1274</v>
      </c>
      <c r="G395" s="38">
        <v>50</v>
      </c>
      <c r="H395" s="46">
        <v>600</v>
      </c>
      <c r="I395" s="38">
        <v>695</v>
      </c>
      <c r="J395" s="38">
        <v>0</v>
      </c>
      <c r="K395" s="39"/>
      <c r="L395" s="39"/>
      <c r="M395" s="39"/>
      <c r="N395" s="39"/>
      <c r="O395" s="39"/>
      <c r="P395" s="39"/>
      <c r="Q395" s="39"/>
      <c r="R395" s="39"/>
      <c r="S395" s="39"/>
      <c r="T395" s="39"/>
    </row>
    <row r="396" spans="1:20" ht="15.75">
      <c r="A396" s="13">
        <v>53205</v>
      </c>
      <c r="B396" s="47">
        <v>31</v>
      </c>
      <c r="C396" s="38">
        <v>194.20500000000001</v>
      </c>
      <c r="D396" s="38">
        <v>267.46600000000001</v>
      </c>
      <c r="E396" s="44">
        <v>812.32899999999995</v>
      </c>
      <c r="F396" s="38">
        <v>1274</v>
      </c>
      <c r="G396" s="38">
        <v>50</v>
      </c>
      <c r="H396" s="46">
        <v>600</v>
      </c>
      <c r="I396" s="38">
        <v>695</v>
      </c>
      <c r="J396" s="38">
        <v>0</v>
      </c>
      <c r="K396" s="39"/>
      <c r="L396" s="39"/>
      <c r="M396" s="39"/>
      <c r="N396" s="39"/>
      <c r="O396" s="39"/>
      <c r="P396" s="39"/>
      <c r="Q396" s="39"/>
      <c r="R396" s="39"/>
      <c r="S396" s="39"/>
      <c r="T396" s="39"/>
    </row>
    <row r="397" spans="1:20" ht="15.75">
      <c r="A397" s="13">
        <v>53235</v>
      </c>
      <c r="B397" s="47">
        <v>30</v>
      </c>
      <c r="C397" s="38">
        <v>194.20500000000001</v>
      </c>
      <c r="D397" s="38">
        <v>267.46600000000001</v>
      </c>
      <c r="E397" s="44">
        <v>812.32899999999995</v>
      </c>
      <c r="F397" s="38">
        <v>1274</v>
      </c>
      <c r="G397" s="38">
        <v>50</v>
      </c>
      <c r="H397" s="46">
        <v>600</v>
      </c>
      <c r="I397" s="38">
        <v>695</v>
      </c>
      <c r="J397" s="38">
        <v>0</v>
      </c>
      <c r="K397" s="39"/>
      <c r="L397" s="39"/>
      <c r="M397" s="39"/>
      <c r="N397" s="39"/>
      <c r="O397" s="39"/>
      <c r="P397" s="39"/>
      <c r="Q397" s="39"/>
      <c r="R397" s="39"/>
      <c r="S397" s="39"/>
      <c r="T397" s="39"/>
    </row>
    <row r="398" spans="1:20" ht="15.75">
      <c r="A398" s="13">
        <v>53266</v>
      </c>
      <c r="B398" s="47">
        <v>31</v>
      </c>
      <c r="C398" s="38">
        <v>131.881</v>
      </c>
      <c r="D398" s="38">
        <v>277.16699999999997</v>
      </c>
      <c r="E398" s="44">
        <v>829.952</v>
      </c>
      <c r="F398" s="38">
        <v>1239</v>
      </c>
      <c r="G398" s="38">
        <v>75</v>
      </c>
      <c r="H398" s="46">
        <v>600</v>
      </c>
      <c r="I398" s="38">
        <v>695</v>
      </c>
      <c r="J398" s="38">
        <v>0</v>
      </c>
      <c r="K398" s="39"/>
      <c r="L398" s="39"/>
      <c r="M398" s="39"/>
      <c r="N398" s="39"/>
      <c r="O398" s="39"/>
      <c r="P398" s="39"/>
      <c r="Q398" s="39"/>
      <c r="R398" s="39"/>
      <c r="S398" s="39"/>
      <c r="T398" s="39"/>
    </row>
    <row r="399" spans="1:20" ht="15.75">
      <c r="A399" s="13">
        <v>53296</v>
      </c>
      <c r="B399" s="47">
        <v>30</v>
      </c>
      <c r="C399" s="38">
        <v>122.58</v>
      </c>
      <c r="D399" s="38">
        <v>297.94099999999997</v>
      </c>
      <c r="E399" s="44">
        <v>729.47900000000004</v>
      </c>
      <c r="F399" s="38">
        <v>1150</v>
      </c>
      <c r="G399" s="38">
        <v>100</v>
      </c>
      <c r="H399" s="46">
        <v>600</v>
      </c>
      <c r="I399" s="38">
        <v>695</v>
      </c>
      <c r="J399" s="38">
        <v>50</v>
      </c>
      <c r="K399" s="39"/>
      <c r="L399" s="39"/>
      <c r="M399" s="39"/>
      <c r="N399" s="39"/>
      <c r="O399" s="39"/>
      <c r="P399" s="39"/>
      <c r="Q399" s="39"/>
      <c r="R399" s="39"/>
      <c r="S399" s="39"/>
      <c r="T399" s="39"/>
    </row>
    <row r="400" spans="1:20" ht="15.75">
      <c r="A400" s="13">
        <v>53327</v>
      </c>
      <c r="B400" s="47">
        <v>31</v>
      </c>
      <c r="C400" s="38">
        <v>122.58</v>
      </c>
      <c r="D400" s="38">
        <v>297.94099999999997</v>
      </c>
      <c r="E400" s="44">
        <v>729.47900000000004</v>
      </c>
      <c r="F400" s="38">
        <v>1150</v>
      </c>
      <c r="G400" s="38">
        <v>100</v>
      </c>
      <c r="H400" s="46">
        <v>600</v>
      </c>
      <c r="I400" s="38">
        <v>695</v>
      </c>
      <c r="J400" s="38">
        <v>50</v>
      </c>
      <c r="K400" s="39"/>
      <c r="L400" s="39"/>
      <c r="M400" s="39"/>
      <c r="N400" s="39"/>
      <c r="O400" s="39"/>
      <c r="P400" s="39"/>
      <c r="Q400" s="39"/>
      <c r="R400" s="39"/>
      <c r="S400" s="39"/>
      <c r="T400" s="39"/>
    </row>
    <row r="401" spans="1:20" ht="15.75">
      <c r="A401" s="13">
        <v>53358</v>
      </c>
      <c r="B401" s="47">
        <v>31</v>
      </c>
      <c r="C401" s="38">
        <v>122.58</v>
      </c>
      <c r="D401" s="38">
        <v>297.94099999999997</v>
      </c>
      <c r="E401" s="44">
        <v>729.47900000000004</v>
      </c>
      <c r="F401" s="38">
        <v>1150</v>
      </c>
      <c r="G401" s="38">
        <v>100</v>
      </c>
      <c r="H401" s="46">
        <v>600</v>
      </c>
      <c r="I401" s="38">
        <v>695</v>
      </c>
      <c r="J401" s="38">
        <v>50</v>
      </c>
      <c r="K401" s="39"/>
      <c r="L401" s="39"/>
      <c r="M401" s="39"/>
      <c r="N401" s="39"/>
      <c r="O401" s="39"/>
      <c r="P401" s="39"/>
      <c r="Q401" s="39"/>
      <c r="R401" s="39"/>
      <c r="S401" s="39"/>
      <c r="T401" s="39"/>
    </row>
    <row r="402" spans="1:20" ht="15.75">
      <c r="A402" s="13">
        <v>53386</v>
      </c>
      <c r="B402" s="47">
        <v>28</v>
      </c>
      <c r="C402" s="38">
        <v>122.58</v>
      </c>
      <c r="D402" s="38">
        <v>297.94099999999997</v>
      </c>
      <c r="E402" s="44">
        <v>729.47900000000004</v>
      </c>
      <c r="F402" s="38">
        <v>1150</v>
      </c>
      <c r="G402" s="38">
        <v>100</v>
      </c>
      <c r="H402" s="46">
        <v>600</v>
      </c>
      <c r="I402" s="38">
        <v>695</v>
      </c>
      <c r="J402" s="38">
        <v>50</v>
      </c>
      <c r="K402" s="39"/>
      <c r="L402" s="39"/>
      <c r="M402" s="39"/>
      <c r="N402" s="39"/>
      <c r="O402" s="39"/>
      <c r="P402" s="39"/>
      <c r="Q402" s="39"/>
      <c r="R402" s="39"/>
      <c r="S402" s="39"/>
      <c r="T402" s="39"/>
    </row>
    <row r="403" spans="1:20" ht="15.75">
      <c r="A403" s="13">
        <v>53417</v>
      </c>
      <c r="B403" s="47">
        <v>31</v>
      </c>
      <c r="C403" s="38">
        <v>122.58</v>
      </c>
      <c r="D403" s="38">
        <v>297.94099999999997</v>
      </c>
      <c r="E403" s="44">
        <v>729.47900000000004</v>
      </c>
      <c r="F403" s="38">
        <v>1150</v>
      </c>
      <c r="G403" s="38">
        <v>100</v>
      </c>
      <c r="H403" s="46">
        <v>600</v>
      </c>
      <c r="I403" s="38">
        <v>695</v>
      </c>
      <c r="J403" s="38">
        <v>50</v>
      </c>
      <c r="K403" s="39"/>
      <c r="L403" s="39"/>
      <c r="M403" s="39"/>
      <c r="N403" s="39"/>
      <c r="O403" s="39"/>
      <c r="P403" s="39"/>
      <c r="Q403" s="39"/>
      <c r="R403" s="39"/>
      <c r="S403" s="39"/>
      <c r="T403" s="39"/>
    </row>
    <row r="404" spans="1:20" ht="15.75">
      <c r="A404" s="13">
        <v>53447</v>
      </c>
      <c r="B404" s="47">
        <v>30</v>
      </c>
      <c r="C404" s="38">
        <v>141.29300000000001</v>
      </c>
      <c r="D404" s="38">
        <v>267.99299999999999</v>
      </c>
      <c r="E404" s="44">
        <v>829.71400000000006</v>
      </c>
      <c r="F404" s="38">
        <v>1239</v>
      </c>
      <c r="G404" s="38">
        <v>100</v>
      </c>
      <c r="H404" s="46">
        <v>600</v>
      </c>
      <c r="I404" s="38">
        <v>695</v>
      </c>
      <c r="J404" s="38">
        <v>50</v>
      </c>
      <c r="K404" s="39"/>
      <c r="L404" s="39"/>
      <c r="M404" s="39"/>
      <c r="N404" s="39"/>
      <c r="O404" s="39"/>
      <c r="P404" s="39"/>
      <c r="Q404" s="39"/>
      <c r="R404" s="39"/>
      <c r="S404" s="39"/>
      <c r="T404" s="39"/>
    </row>
    <row r="405" spans="1:20" ht="15.75">
      <c r="A405" s="13">
        <v>53478</v>
      </c>
      <c r="B405" s="47">
        <v>31</v>
      </c>
      <c r="C405" s="38">
        <v>194.20500000000001</v>
      </c>
      <c r="D405" s="38">
        <v>267.46600000000001</v>
      </c>
      <c r="E405" s="44">
        <v>812.32899999999995</v>
      </c>
      <c r="F405" s="38">
        <v>1274</v>
      </c>
      <c r="G405" s="38">
        <v>75</v>
      </c>
      <c r="H405" s="46">
        <v>600</v>
      </c>
      <c r="I405" s="38">
        <v>695</v>
      </c>
      <c r="J405" s="38">
        <v>50</v>
      </c>
      <c r="K405" s="39"/>
      <c r="L405" s="39"/>
      <c r="M405" s="39"/>
      <c r="N405" s="39"/>
      <c r="O405" s="39"/>
      <c r="P405" s="39"/>
      <c r="Q405" s="39"/>
      <c r="R405" s="39"/>
      <c r="S405" s="39"/>
      <c r="T405" s="39"/>
    </row>
    <row r="406" spans="1:20" ht="15.75">
      <c r="A406" s="13">
        <v>53508</v>
      </c>
      <c r="B406" s="47">
        <v>30</v>
      </c>
      <c r="C406" s="38">
        <v>194.20500000000001</v>
      </c>
      <c r="D406" s="38">
        <v>267.46600000000001</v>
      </c>
      <c r="E406" s="44">
        <v>812.32899999999995</v>
      </c>
      <c r="F406" s="38">
        <v>1274</v>
      </c>
      <c r="G406" s="38">
        <v>50</v>
      </c>
      <c r="H406" s="46">
        <v>600</v>
      </c>
      <c r="I406" s="38">
        <v>695</v>
      </c>
      <c r="J406" s="38">
        <v>50</v>
      </c>
      <c r="K406" s="39"/>
      <c r="L406" s="39"/>
      <c r="M406" s="39"/>
      <c r="N406" s="39"/>
      <c r="O406" s="39"/>
      <c r="P406" s="39"/>
      <c r="Q406" s="39"/>
      <c r="R406" s="39"/>
      <c r="S406" s="39"/>
      <c r="T406" s="39"/>
    </row>
    <row r="407" spans="1:20" ht="15.75">
      <c r="A407" s="13">
        <v>53539</v>
      </c>
      <c r="B407" s="47">
        <v>31</v>
      </c>
      <c r="C407" s="38">
        <v>194.20500000000001</v>
      </c>
      <c r="D407" s="38">
        <v>267.46600000000001</v>
      </c>
      <c r="E407" s="44">
        <v>812.32899999999995</v>
      </c>
      <c r="F407" s="38">
        <v>1274</v>
      </c>
      <c r="G407" s="38">
        <v>50</v>
      </c>
      <c r="H407" s="46">
        <v>600</v>
      </c>
      <c r="I407" s="38">
        <v>695</v>
      </c>
      <c r="J407" s="38">
        <v>0</v>
      </c>
      <c r="K407" s="39"/>
      <c r="L407" s="39"/>
      <c r="M407" s="39"/>
      <c r="N407" s="39"/>
      <c r="O407" s="39"/>
      <c r="P407" s="39"/>
      <c r="Q407" s="39"/>
      <c r="R407" s="39"/>
      <c r="S407" s="39"/>
      <c r="T407" s="39"/>
    </row>
    <row r="408" spans="1:20" ht="15.75">
      <c r="A408" s="13">
        <v>53570</v>
      </c>
      <c r="B408" s="47">
        <v>31</v>
      </c>
      <c r="C408" s="38">
        <v>194.20500000000001</v>
      </c>
      <c r="D408" s="38">
        <v>267.46600000000001</v>
      </c>
      <c r="E408" s="44">
        <v>812.32899999999995</v>
      </c>
      <c r="F408" s="38">
        <v>1274</v>
      </c>
      <c r="G408" s="38">
        <v>50</v>
      </c>
      <c r="H408" s="46">
        <v>600</v>
      </c>
      <c r="I408" s="38">
        <v>695</v>
      </c>
      <c r="J408" s="38">
        <v>0</v>
      </c>
      <c r="K408" s="39"/>
      <c r="L408" s="39"/>
      <c r="M408" s="39"/>
      <c r="N408" s="39"/>
      <c r="O408" s="39"/>
      <c r="P408" s="39"/>
      <c r="Q408" s="39"/>
      <c r="R408" s="39"/>
      <c r="S408" s="39"/>
      <c r="T408" s="39"/>
    </row>
    <row r="409" spans="1:20" ht="15.75">
      <c r="A409" s="13">
        <v>53600</v>
      </c>
      <c r="B409" s="47">
        <v>30</v>
      </c>
      <c r="C409" s="38">
        <v>194.20500000000001</v>
      </c>
      <c r="D409" s="38">
        <v>267.46600000000001</v>
      </c>
      <c r="E409" s="44">
        <v>812.32899999999995</v>
      </c>
      <c r="F409" s="38">
        <v>1274</v>
      </c>
      <c r="G409" s="38">
        <v>50</v>
      </c>
      <c r="H409" s="46">
        <v>600</v>
      </c>
      <c r="I409" s="38">
        <v>695</v>
      </c>
      <c r="J409" s="38">
        <v>0</v>
      </c>
      <c r="K409" s="39"/>
      <c r="L409" s="39"/>
      <c r="M409" s="39"/>
      <c r="N409" s="39"/>
      <c r="O409" s="39"/>
      <c r="P409" s="39"/>
      <c r="Q409" s="39"/>
      <c r="R409" s="39"/>
      <c r="S409" s="39"/>
      <c r="T409" s="39"/>
    </row>
    <row r="410" spans="1:20" ht="15.75">
      <c r="A410" s="13">
        <v>53631</v>
      </c>
      <c r="B410" s="47">
        <v>31</v>
      </c>
      <c r="C410" s="38">
        <v>131.881</v>
      </c>
      <c r="D410" s="38">
        <v>277.16699999999997</v>
      </c>
      <c r="E410" s="44">
        <v>829.952</v>
      </c>
      <c r="F410" s="38">
        <v>1239</v>
      </c>
      <c r="G410" s="38">
        <v>75</v>
      </c>
      <c r="H410" s="46">
        <v>600</v>
      </c>
      <c r="I410" s="38">
        <v>695</v>
      </c>
      <c r="J410" s="38">
        <v>0</v>
      </c>
      <c r="K410" s="39"/>
      <c r="L410" s="39"/>
      <c r="M410" s="39"/>
      <c r="N410" s="39"/>
      <c r="O410" s="39"/>
      <c r="P410" s="39"/>
      <c r="Q410" s="39"/>
      <c r="R410" s="39"/>
      <c r="S410" s="39"/>
      <c r="T410" s="39"/>
    </row>
    <row r="411" spans="1:20" ht="15.75">
      <c r="A411" s="13">
        <v>53661</v>
      </c>
      <c r="B411" s="47">
        <v>30</v>
      </c>
      <c r="C411" s="38">
        <v>122.58</v>
      </c>
      <c r="D411" s="38">
        <v>297.94099999999997</v>
      </c>
      <c r="E411" s="44">
        <v>729.47900000000004</v>
      </c>
      <c r="F411" s="38">
        <v>1150</v>
      </c>
      <c r="G411" s="38">
        <v>100</v>
      </c>
      <c r="H411" s="46">
        <v>600</v>
      </c>
      <c r="I411" s="38">
        <v>695</v>
      </c>
      <c r="J411" s="38">
        <v>50</v>
      </c>
      <c r="K411" s="39"/>
      <c r="L411" s="39"/>
      <c r="M411" s="39"/>
      <c r="N411" s="39"/>
      <c r="O411" s="39"/>
      <c r="P411" s="39"/>
      <c r="Q411" s="39"/>
      <c r="R411" s="39"/>
      <c r="S411" s="39"/>
      <c r="T411" s="39"/>
    </row>
    <row r="412" spans="1:20" ht="15.75">
      <c r="A412" s="13">
        <v>53692</v>
      </c>
      <c r="B412" s="47">
        <v>31</v>
      </c>
      <c r="C412" s="38">
        <v>122.58</v>
      </c>
      <c r="D412" s="38">
        <v>297.94099999999997</v>
      </c>
      <c r="E412" s="44">
        <v>729.47900000000004</v>
      </c>
      <c r="F412" s="38">
        <v>1150</v>
      </c>
      <c r="G412" s="38">
        <v>100</v>
      </c>
      <c r="H412" s="46">
        <v>600</v>
      </c>
      <c r="I412" s="38">
        <v>695</v>
      </c>
      <c r="J412" s="38">
        <v>50</v>
      </c>
      <c r="K412" s="39"/>
      <c r="L412" s="39"/>
      <c r="M412" s="39"/>
      <c r="N412" s="39"/>
      <c r="O412" s="39"/>
      <c r="P412" s="39"/>
      <c r="Q412" s="39"/>
      <c r="R412" s="39"/>
      <c r="S412" s="39"/>
      <c r="T412" s="39"/>
    </row>
    <row r="413" spans="1:20" ht="15.75">
      <c r="A413" s="13">
        <v>53723</v>
      </c>
      <c r="B413" s="47">
        <v>31</v>
      </c>
      <c r="C413" s="38">
        <v>122.58</v>
      </c>
      <c r="D413" s="38">
        <v>297.94099999999997</v>
      </c>
      <c r="E413" s="44">
        <v>729.47900000000004</v>
      </c>
      <c r="F413" s="38">
        <v>1150</v>
      </c>
      <c r="G413" s="38">
        <v>100</v>
      </c>
      <c r="H413" s="46">
        <v>600</v>
      </c>
      <c r="I413" s="38">
        <v>695</v>
      </c>
      <c r="J413" s="38">
        <v>50</v>
      </c>
      <c r="K413" s="39"/>
      <c r="L413" s="39"/>
      <c r="M413" s="39"/>
      <c r="N413" s="39"/>
      <c r="O413" s="39"/>
      <c r="P413" s="39"/>
      <c r="Q413" s="39"/>
      <c r="R413" s="39"/>
      <c r="S413" s="39"/>
      <c r="T413" s="39"/>
    </row>
    <row r="414" spans="1:20" ht="15.75">
      <c r="A414" s="13">
        <v>53751</v>
      </c>
      <c r="B414" s="47">
        <v>28</v>
      </c>
      <c r="C414" s="38">
        <v>122.58</v>
      </c>
      <c r="D414" s="38">
        <v>297.94099999999997</v>
      </c>
      <c r="E414" s="44">
        <v>729.47900000000004</v>
      </c>
      <c r="F414" s="38">
        <v>1150</v>
      </c>
      <c r="G414" s="38">
        <v>100</v>
      </c>
      <c r="H414" s="46">
        <v>600</v>
      </c>
      <c r="I414" s="38">
        <v>695</v>
      </c>
      <c r="J414" s="38">
        <v>50</v>
      </c>
      <c r="K414" s="39"/>
      <c r="L414" s="39"/>
      <c r="M414" s="39"/>
      <c r="N414" s="39"/>
      <c r="O414" s="39"/>
      <c r="P414" s="39"/>
      <c r="Q414" s="39"/>
      <c r="R414" s="39"/>
      <c r="S414" s="39"/>
      <c r="T414" s="39"/>
    </row>
    <row r="415" spans="1:20" ht="15.75">
      <c r="A415" s="13">
        <v>53782</v>
      </c>
      <c r="B415" s="47">
        <v>31</v>
      </c>
      <c r="C415" s="38">
        <v>122.58</v>
      </c>
      <c r="D415" s="38">
        <v>297.94099999999997</v>
      </c>
      <c r="E415" s="44">
        <v>729.47900000000004</v>
      </c>
      <c r="F415" s="38">
        <v>1150</v>
      </c>
      <c r="G415" s="38">
        <v>100</v>
      </c>
      <c r="H415" s="46">
        <v>600</v>
      </c>
      <c r="I415" s="38">
        <v>695</v>
      </c>
      <c r="J415" s="38">
        <v>50</v>
      </c>
      <c r="K415" s="39"/>
      <c r="L415" s="39"/>
      <c r="M415" s="39"/>
      <c r="N415" s="39"/>
      <c r="O415" s="39"/>
      <c r="P415" s="39"/>
      <c r="Q415" s="39"/>
      <c r="R415" s="39"/>
      <c r="S415" s="39"/>
      <c r="T415" s="39"/>
    </row>
    <row r="416" spans="1:20" ht="15.75">
      <c r="A416" s="13">
        <v>53812</v>
      </c>
      <c r="B416" s="47">
        <v>30</v>
      </c>
      <c r="C416" s="38">
        <v>141.29300000000001</v>
      </c>
      <c r="D416" s="38">
        <v>267.99299999999999</v>
      </c>
      <c r="E416" s="44">
        <v>829.71400000000006</v>
      </c>
      <c r="F416" s="38">
        <v>1239</v>
      </c>
      <c r="G416" s="38">
        <v>100</v>
      </c>
      <c r="H416" s="46">
        <v>600</v>
      </c>
      <c r="I416" s="38">
        <v>695</v>
      </c>
      <c r="J416" s="38">
        <v>50</v>
      </c>
      <c r="K416" s="39"/>
      <c r="L416" s="39"/>
      <c r="M416" s="39"/>
      <c r="N416" s="39"/>
      <c r="O416" s="39"/>
      <c r="P416" s="39"/>
      <c r="Q416" s="39"/>
      <c r="R416" s="39"/>
      <c r="S416" s="39"/>
      <c r="T416" s="39"/>
    </row>
    <row r="417" spans="1:20" ht="15.75">
      <c r="A417" s="13">
        <v>53843</v>
      </c>
      <c r="B417" s="47">
        <v>31</v>
      </c>
      <c r="C417" s="38">
        <v>194.20500000000001</v>
      </c>
      <c r="D417" s="38">
        <v>267.46600000000001</v>
      </c>
      <c r="E417" s="44">
        <v>812.32899999999995</v>
      </c>
      <c r="F417" s="38">
        <v>1274</v>
      </c>
      <c r="G417" s="38">
        <v>75</v>
      </c>
      <c r="H417" s="46">
        <v>600</v>
      </c>
      <c r="I417" s="38">
        <v>695</v>
      </c>
      <c r="J417" s="38">
        <v>50</v>
      </c>
      <c r="K417" s="39"/>
      <c r="L417" s="39"/>
      <c r="M417" s="39"/>
      <c r="N417" s="39"/>
      <c r="O417" s="39"/>
      <c r="P417" s="39"/>
      <c r="Q417" s="39"/>
      <c r="R417" s="39"/>
      <c r="S417" s="39"/>
      <c r="T417" s="39"/>
    </row>
    <row r="418" spans="1:20" ht="15.75">
      <c r="A418" s="13">
        <v>53873</v>
      </c>
      <c r="B418" s="47">
        <v>30</v>
      </c>
      <c r="C418" s="38">
        <v>194.20500000000001</v>
      </c>
      <c r="D418" s="38">
        <v>267.46600000000001</v>
      </c>
      <c r="E418" s="44">
        <v>812.32899999999995</v>
      </c>
      <c r="F418" s="38">
        <v>1274</v>
      </c>
      <c r="G418" s="38">
        <v>50</v>
      </c>
      <c r="H418" s="46">
        <v>600</v>
      </c>
      <c r="I418" s="38">
        <v>695</v>
      </c>
      <c r="J418" s="38">
        <v>50</v>
      </c>
      <c r="K418" s="39"/>
      <c r="L418" s="39"/>
      <c r="M418" s="39"/>
      <c r="N418" s="39"/>
      <c r="O418" s="39"/>
      <c r="P418" s="39"/>
      <c r="Q418" s="39"/>
      <c r="R418" s="39"/>
      <c r="S418" s="39"/>
      <c r="T418" s="39"/>
    </row>
    <row r="419" spans="1:20" ht="15.75">
      <c r="A419" s="13">
        <v>53904</v>
      </c>
      <c r="B419" s="47">
        <v>31</v>
      </c>
      <c r="C419" s="38">
        <v>194.20500000000001</v>
      </c>
      <c r="D419" s="38">
        <v>267.46600000000001</v>
      </c>
      <c r="E419" s="44">
        <v>812.32899999999995</v>
      </c>
      <c r="F419" s="38">
        <v>1274</v>
      </c>
      <c r="G419" s="38">
        <v>50</v>
      </c>
      <c r="H419" s="46">
        <v>600</v>
      </c>
      <c r="I419" s="38">
        <v>695</v>
      </c>
      <c r="J419" s="38">
        <v>0</v>
      </c>
      <c r="K419" s="39"/>
      <c r="L419" s="39"/>
      <c r="M419" s="39"/>
      <c r="N419" s="39"/>
      <c r="O419" s="39"/>
      <c r="P419" s="39"/>
      <c r="Q419" s="39"/>
      <c r="R419" s="39"/>
      <c r="S419" s="39"/>
      <c r="T419" s="39"/>
    </row>
    <row r="420" spans="1:20" ht="15.75">
      <c r="A420" s="13">
        <v>53935</v>
      </c>
      <c r="B420" s="47">
        <v>31</v>
      </c>
      <c r="C420" s="38">
        <v>194.20500000000001</v>
      </c>
      <c r="D420" s="38">
        <v>267.46600000000001</v>
      </c>
      <c r="E420" s="44">
        <v>812.32899999999995</v>
      </c>
      <c r="F420" s="38">
        <v>1274</v>
      </c>
      <c r="G420" s="38">
        <v>50</v>
      </c>
      <c r="H420" s="46">
        <v>600</v>
      </c>
      <c r="I420" s="38">
        <v>695</v>
      </c>
      <c r="J420" s="38">
        <v>0</v>
      </c>
      <c r="K420" s="39"/>
      <c r="L420" s="39"/>
      <c r="M420" s="39"/>
      <c r="N420" s="39"/>
      <c r="O420" s="39"/>
      <c r="P420" s="39"/>
      <c r="Q420" s="39"/>
      <c r="R420" s="39"/>
      <c r="S420" s="39"/>
      <c r="T420" s="39"/>
    </row>
    <row r="421" spans="1:20" ht="15.75">
      <c r="A421" s="13">
        <v>53965</v>
      </c>
      <c r="B421" s="47">
        <v>30</v>
      </c>
      <c r="C421" s="38">
        <v>194.20500000000001</v>
      </c>
      <c r="D421" s="38">
        <v>267.46600000000001</v>
      </c>
      <c r="E421" s="44">
        <v>812.32899999999995</v>
      </c>
      <c r="F421" s="38">
        <v>1274</v>
      </c>
      <c r="G421" s="38">
        <v>50</v>
      </c>
      <c r="H421" s="46">
        <v>600</v>
      </c>
      <c r="I421" s="38">
        <v>695</v>
      </c>
      <c r="J421" s="38">
        <v>0</v>
      </c>
      <c r="K421" s="39"/>
      <c r="L421" s="39"/>
      <c r="M421" s="39"/>
      <c r="N421" s="39"/>
      <c r="O421" s="39"/>
      <c r="P421" s="39"/>
      <c r="Q421" s="39"/>
      <c r="R421" s="39"/>
      <c r="S421" s="39"/>
      <c r="T421" s="39"/>
    </row>
    <row r="422" spans="1:20" ht="15.75">
      <c r="A422" s="13">
        <v>53996</v>
      </c>
      <c r="B422" s="47">
        <v>31</v>
      </c>
      <c r="C422" s="38">
        <v>131.881</v>
      </c>
      <c r="D422" s="38">
        <v>277.16699999999997</v>
      </c>
      <c r="E422" s="44">
        <v>829.952</v>
      </c>
      <c r="F422" s="38">
        <v>1239</v>
      </c>
      <c r="G422" s="38">
        <v>75</v>
      </c>
      <c r="H422" s="46">
        <v>600</v>
      </c>
      <c r="I422" s="38">
        <v>695</v>
      </c>
      <c r="J422" s="38">
        <v>0</v>
      </c>
      <c r="K422" s="39"/>
      <c r="L422" s="39"/>
      <c r="M422" s="39"/>
      <c r="N422" s="39"/>
      <c r="O422" s="39"/>
      <c r="P422" s="39"/>
      <c r="Q422" s="39"/>
      <c r="R422" s="39"/>
      <c r="S422" s="39"/>
      <c r="T422" s="39"/>
    </row>
    <row r="423" spans="1:20" ht="15.75">
      <c r="A423" s="13">
        <v>54026</v>
      </c>
      <c r="B423" s="47">
        <v>30</v>
      </c>
      <c r="C423" s="38">
        <v>122.58</v>
      </c>
      <c r="D423" s="38">
        <v>297.94099999999997</v>
      </c>
      <c r="E423" s="44">
        <v>729.47900000000004</v>
      </c>
      <c r="F423" s="38">
        <v>1150</v>
      </c>
      <c r="G423" s="38">
        <v>100</v>
      </c>
      <c r="H423" s="46">
        <v>600</v>
      </c>
      <c r="I423" s="38">
        <v>695</v>
      </c>
      <c r="J423" s="38">
        <v>50</v>
      </c>
      <c r="K423" s="39"/>
      <c r="L423" s="39"/>
      <c r="M423" s="39"/>
      <c r="N423" s="39"/>
      <c r="O423" s="39"/>
      <c r="P423" s="39"/>
      <c r="Q423" s="39"/>
      <c r="R423" s="39"/>
      <c r="S423" s="39"/>
      <c r="T423" s="39"/>
    </row>
    <row r="424" spans="1:20" ht="15.75">
      <c r="A424" s="13">
        <v>54057</v>
      </c>
      <c r="B424" s="47">
        <v>31</v>
      </c>
      <c r="C424" s="38">
        <v>122.58</v>
      </c>
      <c r="D424" s="38">
        <v>297.94099999999997</v>
      </c>
      <c r="E424" s="44">
        <v>729.47900000000004</v>
      </c>
      <c r="F424" s="38">
        <v>1150</v>
      </c>
      <c r="G424" s="38">
        <v>100</v>
      </c>
      <c r="H424" s="46">
        <v>600</v>
      </c>
      <c r="I424" s="38">
        <v>695</v>
      </c>
      <c r="J424" s="38">
        <v>50</v>
      </c>
      <c r="K424" s="39"/>
      <c r="L424" s="39"/>
      <c r="M424" s="39"/>
      <c r="N424" s="39"/>
      <c r="O424" s="39"/>
      <c r="P424" s="39"/>
      <c r="Q424" s="39"/>
      <c r="R424" s="39"/>
      <c r="S424" s="39"/>
      <c r="T424" s="39"/>
    </row>
    <row r="425" spans="1:20" ht="15.75">
      <c r="A425" s="13">
        <v>54088</v>
      </c>
      <c r="B425" s="47">
        <v>31</v>
      </c>
      <c r="C425" s="38">
        <v>122.58</v>
      </c>
      <c r="D425" s="38">
        <v>297.94099999999997</v>
      </c>
      <c r="E425" s="44">
        <v>729.47900000000004</v>
      </c>
      <c r="F425" s="38">
        <v>1150</v>
      </c>
      <c r="G425" s="38">
        <v>100</v>
      </c>
      <c r="H425" s="46">
        <v>600</v>
      </c>
      <c r="I425" s="38">
        <v>695</v>
      </c>
      <c r="J425" s="38">
        <v>50</v>
      </c>
      <c r="K425" s="39"/>
      <c r="L425" s="39"/>
      <c r="M425" s="39"/>
      <c r="N425" s="39"/>
      <c r="O425" s="39"/>
      <c r="P425" s="39"/>
      <c r="Q425" s="39"/>
      <c r="R425" s="39"/>
      <c r="S425" s="39"/>
      <c r="T425" s="39"/>
    </row>
    <row r="426" spans="1:20" ht="15.75">
      <c r="A426" s="13">
        <v>54116</v>
      </c>
      <c r="B426" s="47">
        <v>29</v>
      </c>
      <c r="C426" s="38">
        <v>122.58</v>
      </c>
      <c r="D426" s="38">
        <v>297.94099999999997</v>
      </c>
      <c r="E426" s="44">
        <v>729.47900000000004</v>
      </c>
      <c r="F426" s="38">
        <v>1150</v>
      </c>
      <c r="G426" s="38">
        <v>100</v>
      </c>
      <c r="H426" s="46">
        <v>600</v>
      </c>
      <c r="I426" s="38">
        <v>695</v>
      </c>
      <c r="J426" s="38">
        <v>50</v>
      </c>
      <c r="K426" s="39"/>
      <c r="L426" s="39"/>
      <c r="M426" s="39"/>
      <c r="N426" s="39"/>
      <c r="O426" s="39"/>
      <c r="P426" s="39"/>
      <c r="Q426" s="39"/>
      <c r="R426" s="39"/>
      <c r="S426" s="39"/>
      <c r="T426" s="39"/>
    </row>
    <row r="427" spans="1:20" ht="15.75">
      <c r="A427" s="13">
        <v>54148</v>
      </c>
      <c r="B427" s="47">
        <v>31</v>
      </c>
      <c r="C427" s="38">
        <v>122.58</v>
      </c>
      <c r="D427" s="38">
        <v>297.94099999999997</v>
      </c>
      <c r="E427" s="44">
        <v>729.47900000000004</v>
      </c>
      <c r="F427" s="38">
        <v>1150</v>
      </c>
      <c r="G427" s="38">
        <v>100</v>
      </c>
      <c r="H427" s="46">
        <v>600</v>
      </c>
      <c r="I427" s="38">
        <v>695</v>
      </c>
      <c r="J427" s="38">
        <v>50</v>
      </c>
      <c r="K427" s="39"/>
      <c r="L427" s="39"/>
      <c r="M427" s="39"/>
      <c r="N427" s="39"/>
      <c r="O427" s="39"/>
      <c r="P427" s="39"/>
      <c r="Q427" s="39"/>
      <c r="R427" s="39"/>
      <c r="S427" s="39"/>
      <c r="T427" s="39"/>
    </row>
    <row r="428" spans="1:20" ht="15.75">
      <c r="A428" s="13">
        <v>54178</v>
      </c>
      <c r="B428" s="47">
        <v>30</v>
      </c>
      <c r="C428" s="38">
        <v>141.29300000000001</v>
      </c>
      <c r="D428" s="38">
        <v>267.99299999999999</v>
      </c>
      <c r="E428" s="44">
        <v>829.71400000000006</v>
      </c>
      <c r="F428" s="38">
        <v>1239</v>
      </c>
      <c r="G428" s="38">
        <v>100</v>
      </c>
      <c r="H428" s="46">
        <v>600</v>
      </c>
      <c r="I428" s="38">
        <v>695</v>
      </c>
      <c r="J428" s="38">
        <v>50</v>
      </c>
      <c r="K428" s="39"/>
      <c r="L428" s="39"/>
      <c r="M428" s="39"/>
      <c r="N428" s="39"/>
      <c r="O428" s="39"/>
      <c r="P428" s="39"/>
      <c r="Q428" s="39"/>
      <c r="R428" s="39"/>
      <c r="S428" s="39"/>
      <c r="T428" s="39"/>
    </row>
    <row r="429" spans="1:20" ht="15.75">
      <c r="A429" s="13">
        <v>54209</v>
      </c>
      <c r="B429" s="47">
        <v>31</v>
      </c>
      <c r="C429" s="38">
        <v>194.20500000000001</v>
      </c>
      <c r="D429" s="38">
        <v>267.46600000000001</v>
      </c>
      <c r="E429" s="44">
        <v>812.32899999999995</v>
      </c>
      <c r="F429" s="38">
        <v>1274</v>
      </c>
      <c r="G429" s="38">
        <v>75</v>
      </c>
      <c r="H429" s="46">
        <v>600</v>
      </c>
      <c r="I429" s="38">
        <v>695</v>
      </c>
      <c r="J429" s="38">
        <v>50</v>
      </c>
      <c r="K429" s="39"/>
      <c r="L429" s="39"/>
      <c r="M429" s="39"/>
      <c r="N429" s="39"/>
      <c r="O429" s="39"/>
      <c r="P429" s="39"/>
      <c r="Q429" s="39"/>
      <c r="R429" s="39"/>
      <c r="S429" s="39"/>
      <c r="T429" s="39"/>
    </row>
    <row r="430" spans="1:20" ht="15.75">
      <c r="A430" s="13">
        <v>54239</v>
      </c>
      <c r="B430" s="47">
        <v>30</v>
      </c>
      <c r="C430" s="38">
        <v>194.20500000000001</v>
      </c>
      <c r="D430" s="38">
        <v>267.46600000000001</v>
      </c>
      <c r="E430" s="44">
        <v>812.32899999999995</v>
      </c>
      <c r="F430" s="38">
        <v>1274</v>
      </c>
      <c r="G430" s="38">
        <v>50</v>
      </c>
      <c r="H430" s="46">
        <v>600</v>
      </c>
      <c r="I430" s="38">
        <v>695</v>
      </c>
      <c r="J430" s="38">
        <v>50</v>
      </c>
      <c r="K430" s="39"/>
      <c r="L430" s="39"/>
      <c r="M430" s="39"/>
      <c r="N430" s="39"/>
      <c r="O430" s="39"/>
      <c r="P430" s="39"/>
      <c r="Q430" s="39"/>
      <c r="R430" s="39"/>
      <c r="S430" s="39"/>
      <c r="T430" s="39"/>
    </row>
    <row r="431" spans="1:20" ht="15.75">
      <c r="A431" s="13">
        <v>54270</v>
      </c>
      <c r="B431" s="47">
        <v>31</v>
      </c>
      <c r="C431" s="38">
        <v>194.20500000000001</v>
      </c>
      <c r="D431" s="38">
        <v>267.46600000000001</v>
      </c>
      <c r="E431" s="44">
        <v>812.32899999999995</v>
      </c>
      <c r="F431" s="38">
        <v>1274</v>
      </c>
      <c r="G431" s="38">
        <v>50</v>
      </c>
      <c r="H431" s="46">
        <v>600</v>
      </c>
      <c r="I431" s="38">
        <v>695</v>
      </c>
      <c r="J431" s="38">
        <v>0</v>
      </c>
      <c r="K431" s="39"/>
      <c r="L431" s="39"/>
      <c r="M431" s="39"/>
      <c r="N431" s="39"/>
      <c r="O431" s="39"/>
      <c r="P431" s="39"/>
      <c r="Q431" s="39"/>
      <c r="R431" s="39"/>
      <c r="S431" s="39"/>
      <c r="T431" s="39"/>
    </row>
    <row r="432" spans="1:20" ht="15.75">
      <c r="A432" s="13">
        <v>54301</v>
      </c>
      <c r="B432" s="47">
        <v>31</v>
      </c>
      <c r="C432" s="38">
        <v>194.20500000000001</v>
      </c>
      <c r="D432" s="38">
        <v>267.46600000000001</v>
      </c>
      <c r="E432" s="44">
        <v>812.32899999999995</v>
      </c>
      <c r="F432" s="38">
        <v>1274</v>
      </c>
      <c r="G432" s="38">
        <v>50</v>
      </c>
      <c r="H432" s="46">
        <v>600</v>
      </c>
      <c r="I432" s="38">
        <v>695</v>
      </c>
      <c r="J432" s="38">
        <v>0</v>
      </c>
      <c r="K432" s="39"/>
      <c r="L432" s="39"/>
      <c r="M432" s="39"/>
      <c r="N432" s="39"/>
      <c r="O432" s="39"/>
      <c r="P432" s="39"/>
      <c r="Q432" s="39"/>
      <c r="R432" s="39"/>
      <c r="S432" s="39"/>
      <c r="T432" s="39"/>
    </row>
    <row r="433" spans="1:20" ht="15.75">
      <c r="A433" s="13">
        <v>54331</v>
      </c>
      <c r="B433" s="47">
        <v>30</v>
      </c>
      <c r="C433" s="38">
        <v>194.20500000000001</v>
      </c>
      <c r="D433" s="38">
        <v>267.46600000000001</v>
      </c>
      <c r="E433" s="44">
        <v>812.32899999999995</v>
      </c>
      <c r="F433" s="38">
        <v>1274</v>
      </c>
      <c r="G433" s="38">
        <v>50</v>
      </c>
      <c r="H433" s="46">
        <v>600</v>
      </c>
      <c r="I433" s="38">
        <v>695</v>
      </c>
      <c r="J433" s="38">
        <v>0</v>
      </c>
      <c r="K433" s="39"/>
      <c r="L433" s="39"/>
      <c r="M433" s="39"/>
      <c r="N433" s="39"/>
      <c r="O433" s="39"/>
      <c r="P433" s="39"/>
      <c r="Q433" s="39"/>
      <c r="R433" s="39"/>
      <c r="S433" s="39"/>
      <c r="T433" s="39"/>
    </row>
    <row r="434" spans="1:20" ht="15.75">
      <c r="A434" s="13">
        <v>54362</v>
      </c>
      <c r="B434" s="47">
        <v>31</v>
      </c>
      <c r="C434" s="38">
        <v>131.881</v>
      </c>
      <c r="D434" s="38">
        <v>277.16699999999997</v>
      </c>
      <c r="E434" s="44">
        <v>829.952</v>
      </c>
      <c r="F434" s="38">
        <v>1239</v>
      </c>
      <c r="G434" s="38">
        <v>75</v>
      </c>
      <c r="H434" s="46">
        <v>600</v>
      </c>
      <c r="I434" s="38">
        <v>695</v>
      </c>
      <c r="J434" s="38">
        <v>0</v>
      </c>
      <c r="K434" s="39"/>
      <c r="L434" s="39"/>
      <c r="M434" s="39"/>
      <c r="N434" s="39"/>
      <c r="O434" s="39"/>
      <c r="P434" s="39"/>
      <c r="Q434" s="39"/>
      <c r="R434" s="39"/>
      <c r="S434" s="39"/>
      <c r="T434" s="39"/>
    </row>
    <row r="435" spans="1:20" ht="15.75">
      <c r="A435" s="13">
        <v>54392</v>
      </c>
      <c r="B435" s="47">
        <v>30</v>
      </c>
      <c r="C435" s="38">
        <v>122.58</v>
      </c>
      <c r="D435" s="38">
        <v>297.94099999999997</v>
      </c>
      <c r="E435" s="44">
        <v>729.47900000000004</v>
      </c>
      <c r="F435" s="38">
        <v>1150</v>
      </c>
      <c r="G435" s="38">
        <v>100</v>
      </c>
      <c r="H435" s="46">
        <v>600</v>
      </c>
      <c r="I435" s="38">
        <v>695</v>
      </c>
      <c r="J435" s="38">
        <v>50</v>
      </c>
      <c r="K435" s="39"/>
      <c r="L435" s="39"/>
      <c r="M435" s="39"/>
      <c r="N435" s="39"/>
      <c r="O435" s="39"/>
      <c r="P435" s="39"/>
      <c r="Q435" s="39"/>
      <c r="R435" s="39"/>
      <c r="S435" s="39"/>
      <c r="T435" s="39"/>
    </row>
    <row r="436" spans="1:20" ht="15.75">
      <c r="A436" s="13">
        <v>54423</v>
      </c>
      <c r="B436" s="47">
        <v>31</v>
      </c>
      <c r="C436" s="38">
        <v>122.58</v>
      </c>
      <c r="D436" s="38">
        <v>297.94099999999997</v>
      </c>
      <c r="E436" s="44">
        <v>729.47900000000004</v>
      </c>
      <c r="F436" s="38">
        <v>1150</v>
      </c>
      <c r="G436" s="38">
        <v>100</v>
      </c>
      <c r="H436" s="46">
        <v>600</v>
      </c>
      <c r="I436" s="38">
        <v>695</v>
      </c>
      <c r="J436" s="38">
        <v>50</v>
      </c>
      <c r="K436" s="39"/>
      <c r="L436" s="39"/>
      <c r="M436" s="39"/>
      <c r="N436" s="39"/>
      <c r="O436" s="39"/>
      <c r="P436" s="39"/>
      <c r="Q436" s="39"/>
      <c r="R436" s="39"/>
      <c r="S436" s="39"/>
      <c r="T436" s="39"/>
    </row>
    <row r="437" spans="1:20" ht="15.75">
      <c r="A437" s="13">
        <v>54454</v>
      </c>
      <c r="B437" s="47">
        <v>31</v>
      </c>
      <c r="C437" s="38">
        <v>122.58</v>
      </c>
      <c r="D437" s="38">
        <v>297.94099999999997</v>
      </c>
      <c r="E437" s="44">
        <v>729.47900000000004</v>
      </c>
      <c r="F437" s="38">
        <v>1150</v>
      </c>
      <c r="G437" s="38">
        <v>100</v>
      </c>
      <c r="H437" s="46">
        <v>600</v>
      </c>
      <c r="I437" s="38">
        <v>695</v>
      </c>
      <c r="J437" s="38">
        <v>50</v>
      </c>
      <c r="K437" s="39"/>
      <c r="L437" s="39"/>
      <c r="M437" s="39"/>
      <c r="N437" s="39"/>
      <c r="O437" s="39"/>
      <c r="P437" s="39"/>
      <c r="Q437" s="39"/>
      <c r="R437" s="39"/>
      <c r="S437" s="39"/>
      <c r="T437" s="39"/>
    </row>
    <row r="438" spans="1:20" ht="15.75">
      <c r="A438" s="13">
        <v>54482</v>
      </c>
      <c r="B438" s="47">
        <v>28</v>
      </c>
      <c r="C438" s="38">
        <v>122.58</v>
      </c>
      <c r="D438" s="38">
        <v>297.94099999999997</v>
      </c>
      <c r="E438" s="44">
        <v>729.47900000000004</v>
      </c>
      <c r="F438" s="38">
        <v>1150</v>
      </c>
      <c r="G438" s="38">
        <v>100</v>
      </c>
      <c r="H438" s="46">
        <v>600</v>
      </c>
      <c r="I438" s="38">
        <v>695</v>
      </c>
      <c r="J438" s="38">
        <v>50</v>
      </c>
      <c r="K438" s="39"/>
      <c r="L438" s="39"/>
      <c r="M438" s="39"/>
      <c r="N438" s="39"/>
      <c r="O438" s="39"/>
      <c r="P438" s="39"/>
      <c r="Q438" s="39"/>
      <c r="R438" s="39"/>
      <c r="S438" s="39"/>
      <c r="T438" s="39"/>
    </row>
    <row r="439" spans="1:20" ht="15.75">
      <c r="A439" s="13">
        <v>54513</v>
      </c>
      <c r="B439" s="47">
        <v>31</v>
      </c>
      <c r="C439" s="38">
        <v>122.58</v>
      </c>
      <c r="D439" s="38">
        <v>297.94099999999997</v>
      </c>
      <c r="E439" s="44">
        <v>729.47900000000004</v>
      </c>
      <c r="F439" s="38">
        <v>1150</v>
      </c>
      <c r="G439" s="38">
        <v>100</v>
      </c>
      <c r="H439" s="46">
        <v>600</v>
      </c>
      <c r="I439" s="38">
        <v>695</v>
      </c>
      <c r="J439" s="38">
        <v>50</v>
      </c>
      <c r="K439" s="39"/>
      <c r="L439" s="39"/>
      <c r="M439" s="39"/>
      <c r="N439" s="39"/>
      <c r="O439" s="39"/>
      <c r="P439" s="39"/>
      <c r="Q439" s="39"/>
      <c r="R439" s="39"/>
      <c r="S439" s="39"/>
      <c r="T439" s="39"/>
    </row>
    <row r="440" spans="1:20" ht="15.75">
      <c r="A440" s="13">
        <v>54543</v>
      </c>
      <c r="B440" s="47">
        <v>30</v>
      </c>
      <c r="C440" s="38">
        <v>141.29300000000001</v>
      </c>
      <c r="D440" s="38">
        <v>267.99299999999999</v>
      </c>
      <c r="E440" s="44">
        <v>829.71400000000006</v>
      </c>
      <c r="F440" s="38">
        <v>1239</v>
      </c>
      <c r="G440" s="38">
        <v>100</v>
      </c>
      <c r="H440" s="46">
        <v>600</v>
      </c>
      <c r="I440" s="38">
        <v>695</v>
      </c>
      <c r="J440" s="38">
        <v>50</v>
      </c>
      <c r="K440" s="39"/>
      <c r="L440" s="39"/>
      <c r="M440" s="39"/>
      <c r="N440" s="39"/>
      <c r="O440" s="39"/>
      <c r="P440" s="39"/>
      <c r="Q440" s="39"/>
      <c r="R440" s="39"/>
      <c r="S440" s="39"/>
      <c r="T440" s="39"/>
    </row>
    <row r="441" spans="1:20" ht="15.75">
      <c r="A441" s="13">
        <v>54574</v>
      </c>
      <c r="B441" s="47">
        <v>31</v>
      </c>
      <c r="C441" s="38">
        <v>194.20500000000001</v>
      </c>
      <c r="D441" s="38">
        <v>267.46600000000001</v>
      </c>
      <c r="E441" s="44">
        <v>812.32899999999995</v>
      </c>
      <c r="F441" s="38">
        <v>1274</v>
      </c>
      <c r="G441" s="38">
        <v>75</v>
      </c>
      <c r="H441" s="46">
        <v>600</v>
      </c>
      <c r="I441" s="38">
        <v>695</v>
      </c>
      <c r="J441" s="38">
        <v>50</v>
      </c>
      <c r="K441" s="39"/>
      <c r="L441" s="39"/>
      <c r="M441" s="39"/>
      <c r="N441" s="39"/>
      <c r="O441" s="39"/>
      <c r="P441" s="39"/>
      <c r="Q441" s="39"/>
      <c r="R441" s="39"/>
      <c r="S441" s="39"/>
      <c r="T441" s="39"/>
    </row>
    <row r="442" spans="1:20" ht="15.75">
      <c r="A442" s="13">
        <v>54604</v>
      </c>
      <c r="B442" s="47">
        <v>30</v>
      </c>
      <c r="C442" s="38">
        <v>194.20500000000001</v>
      </c>
      <c r="D442" s="38">
        <v>267.46600000000001</v>
      </c>
      <c r="E442" s="44">
        <v>812.32899999999995</v>
      </c>
      <c r="F442" s="38">
        <v>1274</v>
      </c>
      <c r="G442" s="38">
        <v>50</v>
      </c>
      <c r="H442" s="46">
        <v>600</v>
      </c>
      <c r="I442" s="38">
        <v>695</v>
      </c>
      <c r="J442" s="38">
        <v>50</v>
      </c>
      <c r="K442" s="39"/>
      <c r="L442" s="39"/>
      <c r="M442" s="39"/>
      <c r="N442" s="39"/>
      <c r="O442" s="39"/>
      <c r="P442" s="39"/>
      <c r="Q442" s="39"/>
      <c r="R442" s="39"/>
      <c r="S442" s="39"/>
      <c r="T442" s="39"/>
    </row>
    <row r="443" spans="1:20" ht="15.75">
      <c r="A443" s="13">
        <v>54635</v>
      </c>
      <c r="B443" s="47">
        <v>31</v>
      </c>
      <c r="C443" s="38">
        <v>194.20500000000001</v>
      </c>
      <c r="D443" s="38">
        <v>267.46600000000001</v>
      </c>
      <c r="E443" s="44">
        <v>812.32899999999995</v>
      </c>
      <c r="F443" s="38">
        <v>1274</v>
      </c>
      <c r="G443" s="38">
        <v>50</v>
      </c>
      <c r="H443" s="46">
        <v>600</v>
      </c>
      <c r="I443" s="38">
        <v>695</v>
      </c>
      <c r="J443" s="38">
        <v>0</v>
      </c>
      <c r="K443" s="39"/>
      <c r="L443" s="39"/>
      <c r="M443" s="39"/>
      <c r="N443" s="39"/>
      <c r="O443" s="39"/>
      <c r="P443" s="39"/>
      <c r="Q443" s="39"/>
      <c r="R443" s="39"/>
      <c r="S443" s="39"/>
      <c r="T443" s="39"/>
    </row>
    <row r="444" spans="1:20" ht="15.75">
      <c r="A444" s="13">
        <v>54666</v>
      </c>
      <c r="B444" s="47">
        <v>31</v>
      </c>
      <c r="C444" s="38">
        <v>194.20500000000001</v>
      </c>
      <c r="D444" s="38">
        <v>267.46600000000001</v>
      </c>
      <c r="E444" s="44">
        <v>812.32899999999995</v>
      </c>
      <c r="F444" s="38">
        <v>1274</v>
      </c>
      <c r="G444" s="38">
        <v>50</v>
      </c>
      <c r="H444" s="46">
        <v>600</v>
      </c>
      <c r="I444" s="38">
        <v>695</v>
      </c>
      <c r="J444" s="38">
        <v>0</v>
      </c>
      <c r="K444" s="39"/>
      <c r="L444" s="39"/>
      <c r="M444" s="39"/>
      <c r="N444" s="39"/>
      <c r="O444" s="39"/>
      <c r="P444" s="39"/>
      <c r="Q444" s="39"/>
      <c r="R444" s="39"/>
      <c r="S444" s="39"/>
      <c r="T444" s="39"/>
    </row>
    <row r="445" spans="1:20" ht="15.75">
      <c r="A445" s="13">
        <v>54696</v>
      </c>
      <c r="B445" s="47">
        <v>30</v>
      </c>
      <c r="C445" s="38">
        <v>194.20500000000001</v>
      </c>
      <c r="D445" s="38">
        <v>267.46600000000001</v>
      </c>
      <c r="E445" s="44">
        <v>812.32899999999995</v>
      </c>
      <c r="F445" s="38">
        <v>1274</v>
      </c>
      <c r="G445" s="38">
        <v>50</v>
      </c>
      <c r="H445" s="46">
        <v>600</v>
      </c>
      <c r="I445" s="38">
        <v>695</v>
      </c>
      <c r="J445" s="38">
        <v>0</v>
      </c>
      <c r="K445" s="39"/>
      <c r="L445" s="39"/>
      <c r="M445" s="39"/>
      <c r="N445" s="39"/>
      <c r="O445" s="39"/>
      <c r="P445" s="39"/>
      <c r="Q445" s="39"/>
      <c r="R445" s="39"/>
      <c r="S445" s="39"/>
      <c r="T445" s="39"/>
    </row>
    <row r="446" spans="1:20" ht="15.75">
      <c r="A446" s="13">
        <v>54727</v>
      </c>
      <c r="B446" s="47">
        <v>31</v>
      </c>
      <c r="C446" s="38">
        <v>131.881</v>
      </c>
      <c r="D446" s="38">
        <v>277.16699999999997</v>
      </c>
      <c r="E446" s="44">
        <v>829.952</v>
      </c>
      <c r="F446" s="38">
        <v>1239</v>
      </c>
      <c r="G446" s="38">
        <v>75</v>
      </c>
      <c r="H446" s="46">
        <v>600</v>
      </c>
      <c r="I446" s="38">
        <v>695</v>
      </c>
      <c r="J446" s="38">
        <v>0</v>
      </c>
      <c r="K446" s="39"/>
      <c r="L446" s="39"/>
      <c r="M446" s="39"/>
      <c r="N446" s="39"/>
      <c r="O446" s="39"/>
      <c r="P446" s="39"/>
      <c r="Q446" s="39"/>
      <c r="R446" s="39"/>
      <c r="S446" s="39"/>
      <c r="T446" s="39"/>
    </row>
    <row r="447" spans="1:20" ht="15.75">
      <c r="A447" s="13">
        <v>54757</v>
      </c>
      <c r="B447" s="47">
        <v>30</v>
      </c>
      <c r="C447" s="38">
        <v>122.58</v>
      </c>
      <c r="D447" s="38">
        <v>297.94099999999997</v>
      </c>
      <c r="E447" s="44">
        <v>729.47900000000004</v>
      </c>
      <c r="F447" s="38">
        <v>1150</v>
      </c>
      <c r="G447" s="38">
        <v>100</v>
      </c>
      <c r="H447" s="46">
        <v>600</v>
      </c>
      <c r="I447" s="38">
        <v>695</v>
      </c>
      <c r="J447" s="38">
        <v>50</v>
      </c>
      <c r="K447" s="39"/>
      <c r="L447" s="39"/>
      <c r="M447" s="39"/>
      <c r="N447" s="39"/>
      <c r="O447" s="39"/>
      <c r="P447" s="39"/>
      <c r="Q447" s="39"/>
      <c r="R447" s="39"/>
      <c r="S447" s="39"/>
      <c r="T447" s="39"/>
    </row>
    <row r="448" spans="1:20" ht="15.75">
      <c r="A448" s="13">
        <v>54788</v>
      </c>
      <c r="B448" s="47">
        <v>31</v>
      </c>
      <c r="C448" s="38">
        <v>122.58</v>
      </c>
      <c r="D448" s="38">
        <v>297.94099999999997</v>
      </c>
      <c r="E448" s="44">
        <v>729.47900000000004</v>
      </c>
      <c r="F448" s="38">
        <v>1150</v>
      </c>
      <c r="G448" s="38">
        <v>100</v>
      </c>
      <c r="H448" s="46">
        <v>600</v>
      </c>
      <c r="I448" s="38">
        <v>695</v>
      </c>
      <c r="J448" s="38">
        <v>50</v>
      </c>
      <c r="K448" s="39"/>
      <c r="L448" s="39"/>
      <c r="M448" s="39"/>
      <c r="N448" s="39"/>
      <c r="O448" s="39"/>
      <c r="P448" s="39"/>
      <c r="Q448" s="39"/>
      <c r="R448" s="39"/>
      <c r="S448" s="39"/>
      <c r="T448" s="39"/>
    </row>
    <row r="449" spans="1:20" ht="15.75">
      <c r="A449" s="13">
        <v>54819</v>
      </c>
      <c r="B449" s="47">
        <v>31</v>
      </c>
      <c r="C449" s="38">
        <v>122.58</v>
      </c>
      <c r="D449" s="38">
        <v>297.94099999999997</v>
      </c>
      <c r="E449" s="44">
        <v>729.47900000000004</v>
      </c>
      <c r="F449" s="38">
        <v>1150</v>
      </c>
      <c r="G449" s="38">
        <v>100</v>
      </c>
      <c r="H449" s="46">
        <v>600</v>
      </c>
      <c r="I449" s="38">
        <v>695</v>
      </c>
      <c r="J449" s="38">
        <v>50</v>
      </c>
      <c r="K449" s="39"/>
      <c r="L449" s="39"/>
      <c r="M449" s="39"/>
      <c r="N449" s="39"/>
      <c r="O449" s="39"/>
      <c r="P449" s="39"/>
      <c r="Q449" s="39"/>
      <c r="R449" s="39"/>
      <c r="S449" s="39"/>
      <c r="T449" s="39"/>
    </row>
    <row r="450" spans="1:20" ht="15.75">
      <c r="A450" s="13">
        <v>54847</v>
      </c>
      <c r="B450" s="47">
        <v>28</v>
      </c>
      <c r="C450" s="38">
        <v>122.58</v>
      </c>
      <c r="D450" s="38">
        <v>297.94099999999997</v>
      </c>
      <c r="E450" s="44">
        <v>729.47900000000004</v>
      </c>
      <c r="F450" s="38">
        <v>1150</v>
      </c>
      <c r="G450" s="38">
        <v>100</v>
      </c>
      <c r="H450" s="46">
        <v>600</v>
      </c>
      <c r="I450" s="38">
        <v>695</v>
      </c>
      <c r="J450" s="38">
        <v>50</v>
      </c>
      <c r="K450" s="39"/>
      <c r="L450" s="39"/>
      <c r="M450" s="39"/>
      <c r="N450" s="39"/>
      <c r="O450" s="39"/>
      <c r="P450" s="39"/>
      <c r="Q450" s="39"/>
      <c r="R450" s="39"/>
      <c r="S450" s="39"/>
      <c r="T450" s="39"/>
    </row>
    <row r="451" spans="1:20" ht="15.75">
      <c r="A451" s="13">
        <v>54878</v>
      </c>
      <c r="B451" s="47">
        <v>31</v>
      </c>
      <c r="C451" s="38">
        <v>122.58</v>
      </c>
      <c r="D451" s="38">
        <v>297.94099999999997</v>
      </c>
      <c r="E451" s="44">
        <v>729.47900000000004</v>
      </c>
      <c r="F451" s="38">
        <v>1150</v>
      </c>
      <c r="G451" s="38">
        <v>100</v>
      </c>
      <c r="H451" s="46">
        <v>600</v>
      </c>
      <c r="I451" s="38">
        <v>695</v>
      </c>
      <c r="J451" s="38">
        <v>50</v>
      </c>
      <c r="K451" s="39"/>
      <c r="L451" s="39"/>
      <c r="M451" s="39"/>
      <c r="N451" s="39"/>
      <c r="O451" s="39"/>
      <c r="P451" s="39"/>
      <c r="Q451" s="39"/>
      <c r="R451" s="39"/>
      <c r="S451" s="39"/>
      <c r="T451" s="39"/>
    </row>
    <row r="452" spans="1:20" ht="15.75">
      <c r="A452" s="13">
        <v>54908</v>
      </c>
      <c r="B452" s="47">
        <v>30</v>
      </c>
      <c r="C452" s="38">
        <v>141.29300000000001</v>
      </c>
      <c r="D452" s="38">
        <v>267.99299999999999</v>
      </c>
      <c r="E452" s="44">
        <v>829.71400000000006</v>
      </c>
      <c r="F452" s="38">
        <v>1239</v>
      </c>
      <c r="G452" s="38">
        <v>100</v>
      </c>
      <c r="H452" s="46">
        <v>600</v>
      </c>
      <c r="I452" s="38">
        <v>695</v>
      </c>
      <c r="J452" s="38">
        <v>50</v>
      </c>
      <c r="K452" s="39"/>
      <c r="L452" s="39"/>
      <c r="M452" s="39"/>
      <c r="N452" s="39"/>
      <c r="O452" s="39"/>
      <c r="P452" s="39"/>
      <c r="Q452" s="39"/>
      <c r="R452" s="39"/>
      <c r="S452" s="39"/>
      <c r="T452" s="39"/>
    </row>
    <row r="453" spans="1:20" ht="15.75">
      <c r="A453" s="13">
        <v>54939</v>
      </c>
      <c r="B453" s="47">
        <v>31</v>
      </c>
      <c r="C453" s="38">
        <v>194.20500000000001</v>
      </c>
      <c r="D453" s="38">
        <v>267.46600000000001</v>
      </c>
      <c r="E453" s="44">
        <v>812.32899999999995</v>
      </c>
      <c r="F453" s="38">
        <v>1274</v>
      </c>
      <c r="G453" s="38">
        <v>75</v>
      </c>
      <c r="H453" s="46">
        <v>600</v>
      </c>
      <c r="I453" s="38">
        <v>695</v>
      </c>
      <c r="J453" s="38">
        <v>50</v>
      </c>
      <c r="K453" s="39"/>
      <c r="L453" s="39"/>
      <c r="M453" s="39"/>
      <c r="N453" s="39"/>
      <c r="O453" s="39"/>
      <c r="P453" s="39"/>
      <c r="Q453" s="39"/>
      <c r="R453" s="39"/>
      <c r="S453" s="39"/>
      <c r="T453" s="39"/>
    </row>
    <row r="454" spans="1:20" ht="15.75">
      <c r="A454" s="13">
        <v>54969</v>
      </c>
      <c r="B454" s="47">
        <v>30</v>
      </c>
      <c r="C454" s="38">
        <v>194.20500000000001</v>
      </c>
      <c r="D454" s="38">
        <v>267.46600000000001</v>
      </c>
      <c r="E454" s="44">
        <v>812.32899999999995</v>
      </c>
      <c r="F454" s="38">
        <v>1274</v>
      </c>
      <c r="G454" s="38">
        <v>50</v>
      </c>
      <c r="H454" s="46">
        <v>600</v>
      </c>
      <c r="I454" s="38">
        <v>695</v>
      </c>
      <c r="J454" s="38">
        <v>50</v>
      </c>
      <c r="K454" s="39"/>
      <c r="L454" s="39"/>
      <c r="M454" s="39"/>
      <c r="N454" s="39"/>
      <c r="O454" s="39"/>
      <c r="P454" s="39"/>
      <c r="Q454" s="39"/>
      <c r="R454" s="39"/>
      <c r="S454" s="39"/>
      <c r="T454" s="39"/>
    </row>
    <row r="455" spans="1:20" ht="15.75">
      <c r="A455" s="13">
        <v>55000</v>
      </c>
      <c r="B455" s="47">
        <v>31</v>
      </c>
      <c r="C455" s="38">
        <v>194.20500000000001</v>
      </c>
      <c r="D455" s="38">
        <v>267.46600000000001</v>
      </c>
      <c r="E455" s="44">
        <v>812.32899999999995</v>
      </c>
      <c r="F455" s="38">
        <v>1274</v>
      </c>
      <c r="G455" s="38">
        <v>50</v>
      </c>
      <c r="H455" s="46">
        <v>600</v>
      </c>
      <c r="I455" s="38">
        <v>695</v>
      </c>
      <c r="J455" s="38">
        <v>0</v>
      </c>
      <c r="K455" s="39"/>
      <c r="L455" s="39"/>
      <c r="M455" s="39"/>
      <c r="N455" s="39"/>
      <c r="O455" s="39"/>
      <c r="P455" s="39"/>
      <c r="Q455" s="39"/>
      <c r="R455" s="39"/>
      <c r="S455" s="39"/>
      <c r="T455" s="39"/>
    </row>
    <row r="456" spans="1:20" ht="15.75">
      <c r="A456" s="13">
        <v>55031</v>
      </c>
      <c r="B456" s="47">
        <v>31</v>
      </c>
      <c r="C456" s="38">
        <v>194.20500000000001</v>
      </c>
      <c r="D456" s="38">
        <v>267.46600000000001</v>
      </c>
      <c r="E456" s="44">
        <v>812.32899999999995</v>
      </c>
      <c r="F456" s="38">
        <v>1274</v>
      </c>
      <c r="G456" s="38">
        <v>50</v>
      </c>
      <c r="H456" s="46">
        <v>600</v>
      </c>
      <c r="I456" s="38">
        <v>695</v>
      </c>
      <c r="J456" s="38">
        <v>0</v>
      </c>
      <c r="K456" s="39"/>
      <c r="L456" s="39"/>
      <c r="M456" s="39"/>
      <c r="N456" s="39"/>
      <c r="O456" s="39"/>
      <c r="P456" s="39"/>
      <c r="Q456" s="39"/>
      <c r="R456" s="39"/>
      <c r="S456" s="39"/>
      <c r="T456" s="39"/>
    </row>
    <row r="457" spans="1:20" ht="15.75">
      <c r="A457" s="13">
        <v>55061</v>
      </c>
      <c r="B457" s="47">
        <v>30</v>
      </c>
      <c r="C457" s="38">
        <v>194.20500000000001</v>
      </c>
      <c r="D457" s="38">
        <v>267.46600000000001</v>
      </c>
      <c r="E457" s="44">
        <v>812.32899999999995</v>
      </c>
      <c r="F457" s="38">
        <v>1274</v>
      </c>
      <c r="G457" s="38">
        <v>50</v>
      </c>
      <c r="H457" s="46">
        <v>600</v>
      </c>
      <c r="I457" s="38">
        <v>695</v>
      </c>
      <c r="J457" s="38">
        <v>0</v>
      </c>
      <c r="K457" s="39"/>
      <c r="L457" s="39"/>
      <c r="M457" s="39"/>
      <c r="N457" s="39"/>
      <c r="O457" s="39"/>
      <c r="P457" s="39"/>
      <c r="Q457" s="39"/>
      <c r="R457" s="39"/>
      <c r="S457" s="39"/>
      <c r="T457" s="39"/>
    </row>
    <row r="458" spans="1:20" ht="15.75">
      <c r="A458" s="13">
        <v>55092</v>
      </c>
      <c r="B458" s="47">
        <v>31</v>
      </c>
      <c r="C458" s="38">
        <v>131.881</v>
      </c>
      <c r="D458" s="38">
        <v>277.16699999999997</v>
      </c>
      <c r="E458" s="44">
        <v>829.952</v>
      </c>
      <c r="F458" s="38">
        <v>1239</v>
      </c>
      <c r="G458" s="38">
        <v>75</v>
      </c>
      <c r="H458" s="46">
        <v>600</v>
      </c>
      <c r="I458" s="38">
        <v>695</v>
      </c>
      <c r="J458" s="38">
        <v>0</v>
      </c>
      <c r="K458" s="39"/>
      <c r="L458" s="39"/>
      <c r="M458" s="39"/>
      <c r="N458" s="39"/>
      <c r="O458" s="39"/>
      <c r="P458" s="39"/>
      <c r="Q458" s="39"/>
      <c r="R458" s="39"/>
      <c r="S458" s="39"/>
      <c r="T458" s="39"/>
    </row>
    <row r="459" spans="1:20" ht="15.75">
      <c r="A459" s="13">
        <v>55122</v>
      </c>
      <c r="B459" s="47">
        <v>30</v>
      </c>
      <c r="C459" s="38">
        <v>122.58</v>
      </c>
      <c r="D459" s="38">
        <v>297.94099999999997</v>
      </c>
      <c r="E459" s="44">
        <v>729.47900000000004</v>
      </c>
      <c r="F459" s="38">
        <v>1150</v>
      </c>
      <c r="G459" s="38">
        <v>100</v>
      </c>
      <c r="H459" s="46">
        <v>600</v>
      </c>
      <c r="I459" s="38">
        <v>695</v>
      </c>
      <c r="J459" s="38">
        <v>50</v>
      </c>
      <c r="K459" s="39"/>
      <c r="L459" s="39"/>
      <c r="M459" s="39"/>
      <c r="N459" s="39"/>
      <c r="O459" s="39"/>
      <c r="P459" s="39"/>
      <c r="Q459" s="39"/>
      <c r="R459" s="39"/>
      <c r="S459" s="39"/>
      <c r="T459" s="39"/>
    </row>
    <row r="460" spans="1:20" ht="15.75">
      <c r="A460" s="13">
        <v>55153</v>
      </c>
      <c r="B460" s="47">
        <v>31</v>
      </c>
      <c r="C460" s="38">
        <v>122.58</v>
      </c>
      <c r="D460" s="38">
        <v>297.94099999999997</v>
      </c>
      <c r="E460" s="44">
        <v>729.47900000000004</v>
      </c>
      <c r="F460" s="38">
        <v>1150</v>
      </c>
      <c r="G460" s="38">
        <v>100</v>
      </c>
      <c r="H460" s="46">
        <v>600</v>
      </c>
      <c r="I460" s="38">
        <v>695</v>
      </c>
      <c r="J460" s="38">
        <v>50</v>
      </c>
      <c r="K460" s="39"/>
      <c r="L460" s="39"/>
      <c r="M460" s="39"/>
      <c r="N460" s="39"/>
      <c r="O460" s="39"/>
      <c r="P460" s="39"/>
      <c r="Q460" s="39"/>
      <c r="R460" s="39"/>
      <c r="S460" s="39"/>
      <c r="T460" s="39"/>
    </row>
    <row r="461" spans="1:20" ht="15.75">
      <c r="A461" s="13">
        <v>55184</v>
      </c>
      <c r="B461" s="47">
        <v>31</v>
      </c>
      <c r="C461" s="38">
        <v>122.58</v>
      </c>
      <c r="D461" s="38">
        <v>297.94099999999997</v>
      </c>
      <c r="E461" s="44">
        <v>729.47900000000004</v>
      </c>
      <c r="F461" s="38">
        <v>1150</v>
      </c>
      <c r="G461" s="38">
        <v>100</v>
      </c>
      <c r="H461" s="46">
        <v>600</v>
      </c>
      <c r="I461" s="38">
        <v>695</v>
      </c>
      <c r="J461" s="38">
        <v>50</v>
      </c>
      <c r="K461" s="39"/>
      <c r="L461" s="39"/>
      <c r="M461" s="39"/>
      <c r="N461" s="39"/>
      <c r="O461" s="39"/>
      <c r="P461" s="39"/>
      <c r="Q461" s="39"/>
      <c r="R461" s="39"/>
      <c r="S461" s="39"/>
      <c r="T461" s="39"/>
    </row>
    <row r="462" spans="1:20" ht="15.75">
      <c r="A462" s="13">
        <v>55212</v>
      </c>
      <c r="B462" s="47">
        <v>28</v>
      </c>
      <c r="C462" s="38">
        <v>122.58</v>
      </c>
      <c r="D462" s="38">
        <v>297.94099999999997</v>
      </c>
      <c r="E462" s="44">
        <v>729.47900000000004</v>
      </c>
      <c r="F462" s="38">
        <v>1150</v>
      </c>
      <c r="G462" s="38">
        <v>100</v>
      </c>
      <c r="H462" s="46">
        <v>600</v>
      </c>
      <c r="I462" s="38">
        <v>695</v>
      </c>
      <c r="J462" s="38">
        <v>50</v>
      </c>
      <c r="K462" s="39"/>
      <c r="L462" s="39"/>
      <c r="M462" s="39"/>
      <c r="N462" s="39"/>
      <c r="O462" s="39"/>
      <c r="P462" s="39"/>
      <c r="Q462" s="39"/>
      <c r="R462" s="39"/>
      <c r="S462" s="39"/>
      <c r="T462" s="39"/>
    </row>
    <row r="463" spans="1:20" ht="15.75">
      <c r="A463" s="13">
        <v>55243</v>
      </c>
      <c r="B463" s="47">
        <v>31</v>
      </c>
      <c r="C463" s="38">
        <v>122.58</v>
      </c>
      <c r="D463" s="38">
        <v>297.94099999999997</v>
      </c>
      <c r="E463" s="44">
        <v>729.47900000000004</v>
      </c>
      <c r="F463" s="38">
        <v>1150</v>
      </c>
      <c r="G463" s="38">
        <v>100</v>
      </c>
      <c r="H463" s="46">
        <v>600</v>
      </c>
      <c r="I463" s="38">
        <v>695</v>
      </c>
      <c r="J463" s="38">
        <v>50</v>
      </c>
      <c r="K463" s="39"/>
      <c r="L463" s="39"/>
      <c r="M463" s="39"/>
      <c r="N463" s="39"/>
      <c r="O463" s="39"/>
      <c r="P463" s="39"/>
      <c r="Q463" s="39"/>
      <c r="R463" s="39"/>
      <c r="S463" s="39"/>
      <c r="T463" s="39"/>
    </row>
    <row r="464" spans="1:20" ht="15.75">
      <c r="A464" s="13">
        <v>55273</v>
      </c>
      <c r="B464" s="47">
        <v>30</v>
      </c>
      <c r="C464" s="38">
        <v>141.29300000000001</v>
      </c>
      <c r="D464" s="38">
        <v>267.99299999999999</v>
      </c>
      <c r="E464" s="44">
        <v>829.71400000000006</v>
      </c>
      <c r="F464" s="38">
        <v>1239</v>
      </c>
      <c r="G464" s="38">
        <v>100</v>
      </c>
      <c r="H464" s="46">
        <v>600</v>
      </c>
      <c r="I464" s="38">
        <v>695</v>
      </c>
      <c r="J464" s="38">
        <v>50</v>
      </c>
      <c r="K464" s="39"/>
      <c r="L464" s="39"/>
      <c r="M464" s="39"/>
      <c r="N464" s="39"/>
      <c r="O464" s="39"/>
      <c r="P464" s="39"/>
      <c r="Q464" s="39"/>
      <c r="R464" s="39"/>
      <c r="S464" s="39"/>
      <c r="T464" s="39"/>
    </row>
    <row r="465" spans="1:20" ht="15.75">
      <c r="A465" s="13">
        <v>55304</v>
      </c>
      <c r="B465" s="47">
        <v>31</v>
      </c>
      <c r="C465" s="38">
        <v>194.20500000000001</v>
      </c>
      <c r="D465" s="38">
        <v>267.46600000000001</v>
      </c>
      <c r="E465" s="44">
        <v>812.32899999999995</v>
      </c>
      <c r="F465" s="38">
        <v>1274</v>
      </c>
      <c r="G465" s="38">
        <v>75</v>
      </c>
      <c r="H465" s="46">
        <v>600</v>
      </c>
      <c r="I465" s="38">
        <v>695</v>
      </c>
      <c r="J465" s="38">
        <v>50</v>
      </c>
      <c r="K465" s="39"/>
      <c r="L465" s="39"/>
      <c r="M465" s="39"/>
      <c r="N465" s="39"/>
      <c r="O465" s="39"/>
      <c r="P465" s="39"/>
      <c r="Q465" s="39"/>
      <c r="R465" s="39"/>
      <c r="S465" s="39"/>
      <c r="T465" s="39"/>
    </row>
    <row r="466" spans="1:20" ht="15.75">
      <c r="A466" s="13">
        <v>55334</v>
      </c>
      <c r="B466" s="47">
        <v>30</v>
      </c>
      <c r="C466" s="38">
        <v>194.20500000000001</v>
      </c>
      <c r="D466" s="38">
        <v>267.46600000000001</v>
      </c>
      <c r="E466" s="44">
        <v>812.32899999999995</v>
      </c>
      <c r="F466" s="38">
        <v>1274</v>
      </c>
      <c r="G466" s="38">
        <v>50</v>
      </c>
      <c r="H466" s="46">
        <v>600</v>
      </c>
      <c r="I466" s="38">
        <v>695</v>
      </c>
      <c r="J466" s="38">
        <v>50</v>
      </c>
      <c r="K466" s="39"/>
      <c r="L466" s="39"/>
      <c r="M466" s="39"/>
      <c r="N466" s="39"/>
      <c r="O466" s="39"/>
      <c r="P466" s="39"/>
      <c r="Q466" s="39"/>
      <c r="R466" s="39"/>
      <c r="S466" s="39"/>
      <c r="T466" s="39"/>
    </row>
    <row r="467" spans="1:20" ht="15.75">
      <c r="A467" s="13">
        <v>55365</v>
      </c>
      <c r="B467" s="47">
        <v>31</v>
      </c>
      <c r="C467" s="38">
        <v>194.20500000000001</v>
      </c>
      <c r="D467" s="38">
        <v>267.46600000000001</v>
      </c>
      <c r="E467" s="44">
        <v>812.32899999999995</v>
      </c>
      <c r="F467" s="38">
        <v>1274</v>
      </c>
      <c r="G467" s="38">
        <v>50</v>
      </c>
      <c r="H467" s="46">
        <v>600</v>
      </c>
      <c r="I467" s="38">
        <v>695</v>
      </c>
      <c r="J467" s="38">
        <v>0</v>
      </c>
      <c r="K467" s="39"/>
      <c r="L467" s="39"/>
      <c r="M467" s="39"/>
      <c r="N467" s="39"/>
      <c r="O467" s="39"/>
      <c r="P467" s="39"/>
      <c r="Q467" s="39"/>
      <c r="R467" s="39"/>
      <c r="S467" s="39"/>
      <c r="T467" s="39"/>
    </row>
    <row r="468" spans="1:20" ht="15.75">
      <c r="A468" s="13">
        <v>55396</v>
      </c>
      <c r="B468" s="47">
        <v>31</v>
      </c>
      <c r="C468" s="38">
        <v>194.20500000000001</v>
      </c>
      <c r="D468" s="38">
        <v>267.46600000000001</v>
      </c>
      <c r="E468" s="44">
        <v>812.32899999999995</v>
      </c>
      <c r="F468" s="38">
        <v>1274</v>
      </c>
      <c r="G468" s="38">
        <v>50</v>
      </c>
      <c r="H468" s="46">
        <v>600</v>
      </c>
      <c r="I468" s="38">
        <v>695</v>
      </c>
      <c r="J468" s="38">
        <v>0</v>
      </c>
      <c r="K468" s="39"/>
      <c r="L468" s="39"/>
      <c r="M468" s="39"/>
      <c r="N468" s="39"/>
      <c r="O468" s="39"/>
      <c r="P468" s="39"/>
      <c r="Q468" s="39"/>
      <c r="R468" s="39"/>
      <c r="S468" s="39"/>
      <c r="T468" s="39"/>
    </row>
    <row r="469" spans="1:20" ht="15.75">
      <c r="A469" s="13">
        <v>55426</v>
      </c>
      <c r="B469" s="47">
        <v>30</v>
      </c>
      <c r="C469" s="38">
        <v>194.20500000000001</v>
      </c>
      <c r="D469" s="38">
        <v>267.46600000000001</v>
      </c>
      <c r="E469" s="44">
        <v>812.32899999999995</v>
      </c>
      <c r="F469" s="38">
        <v>1274</v>
      </c>
      <c r="G469" s="38">
        <v>50</v>
      </c>
      <c r="H469" s="46">
        <v>600</v>
      </c>
      <c r="I469" s="38">
        <v>695</v>
      </c>
      <c r="J469" s="38">
        <v>0</v>
      </c>
      <c r="K469" s="39"/>
      <c r="L469" s="39"/>
      <c r="M469" s="39"/>
      <c r="N469" s="39"/>
      <c r="O469" s="39"/>
      <c r="P469" s="39"/>
      <c r="Q469" s="39"/>
      <c r="R469" s="39"/>
      <c r="S469" s="39"/>
      <c r="T469" s="39"/>
    </row>
    <row r="470" spans="1:20" ht="15.75">
      <c r="A470" s="13">
        <v>55457</v>
      </c>
      <c r="B470" s="47">
        <v>31</v>
      </c>
      <c r="C470" s="38">
        <v>131.881</v>
      </c>
      <c r="D470" s="38">
        <v>277.16699999999997</v>
      </c>
      <c r="E470" s="44">
        <v>829.952</v>
      </c>
      <c r="F470" s="38">
        <v>1239</v>
      </c>
      <c r="G470" s="38">
        <v>75</v>
      </c>
      <c r="H470" s="46">
        <v>600</v>
      </c>
      <c r="I470" s="38">
        <v>695</v>
      </c>
      <c r="J470" s="38">
        <v>0</v>
      </c>
      <c r="K470" s="39"/>
      <c r="L470" s="39"/>
      <c r="M470" s="39"/>
      <c r="N470" s="39"/>
      <c r="O470" s="39"/>
      <c r="P470" s="39"/>
      <c r="Q470" s="39"/>
      <c r="R470" s="39"/>
      <c r="S470" s="39"/>
      <c r="T470" s="39"/>
    </row>
    <row r="471" spans="1:20" ht="15.75">
      <c r="A471" s="13">
        <v>55487</v>
      </c>
      <c r="B471" s="47">
        <v>30</v>
      </c>
      <c r="C471" s="38">
        <v>122.58</v>
      </c>
      <c r="D471" s="38">
        <v>297.94099999999997</v>
      </c>
      <c r="E471" s="44">
        <v>729.47900000000004</v>
      </c>
      <c r="F471" s="38">
        <v>1150</v>
      </c>
      <c r="G471" s="38">
        <v>100</v>
      </c>
      <c r="H471" s="46">
        <v>600</v>
      </c>
      <c r="I471" s="38">
        <v>695</v>
      </c>
      <c r="J471" s="38">
        <v>50</v>
      </c>
      <c r="K471" s="39"/>
      <c r="L471" s="39"/>
      <c r="M471" s="39"/>
      <c r="N471" s="39"/>
      <c r="O471" s="39"/>
      <c r="P471" s="39"/>
      <c r="Q471" s="39"/>
      <c r="R471" s="39"/>
      <c r="S471" s="39"/>
      <c r="T471" s="39"/>
    </row>
    <row r="472" spans="1:20" ht="15.75">
      <c r="A472" s="13">
        <v>55518</v>
      </c>
      <c r="B472" s="47">
        <v>31</v>
      </c>
      <c r="C472" s="38">
        <v>122.58</v>
      </c>
      <c r="D472" s="38">
        <v>297.94099999999997</v>
      </c>
      <c r="E472" s="44">
        <v>729.47900000000004</v>
      </c>
      <c r="F472" s="38">
        <v>1150</v>
      </c>
      <c r="G472" s="38">
        <v>100</v>
      </c>
      <c r="H472" s="46">
        <v>600</v>
      </c>
      <c r="I472" s="38">
        <v>695</v>
      </c>
      <c r="J472" s="38">
        <v>50</v>
      </c>
      <c r="K472" s="39"/>
      <c r="L472" s="39"/>
      <c r="M472" s="39"/>
      <c r="N472" s="39"/>
      <c r="O472" s="39"/>
      <c r="P472" s="39"/>
      <c r="Q472" s="39"/>
      <c r="R472" s="39"/>
      <c r="S472" s="39"/>
      <c r="T472" s="39"/>
    </row>
    <row r="473" spans="1:20" ht="15.75">
      <c r="A473" s="13">
        <v>55549</v>
      </c>
      <c r="B473" s="47">
        <v>31</v>
      </c>
      <c r="C473" s="38">
        <v>122.58</v>
      </c>
      <c r="D473" s="38">
        <v>297.94099999999997</v>
      </c>
      <c r="E473" s="44">
        <v>729.47900000000004</v>
      </c>
      <c r="F473" s="38">
        <v>1150</v>
      </c>
      <c r="G473" s="38">
        <v>100</v>
      </c>
      <c r="H473" s="46">
        <v>600</v>
      </c>
      <c r="I473" s="38">
        <v>695</v>
      </c>
      <c r="J473" s="38">
        <v>50</v>
      </c>
      <c r="K473" s="39"/>
      <c r="L473" s="39"/>
      <c r="M473" s="39"/>
      <c r="N473" s="39"/>
      <c r="O473" s="39"/>
      <c r="P473" s="39"/>
      <c r="Q473" s="39"/>
      <c r="R473" s="39"/>
      <c r="S473" s="39"/>
      <c r="T473" s="39"/>
    </row>
    <row r="474" spans="1:20" ht="15.75">
      <c r="A474" s="13">
        <v>55577</v>
      </c>
      <c r="B474" s="47">
        <v>29</v>
      </c>
      <c r="C474" s="38">
        <v>122.58</v>
      </c>
      <c r="D474" s="38">
        <v>297.94099999999997</v>
      </c>
      <c r="E474" s="44">
        <v>729.47900000000004</v>
      </c>
      <c r="F474" s="38">
        <v>1150</v>
      </c>
      <c r="G474" s="38">
        <v>100</v>
      </c>
      <c r="H474" s="46">
        <v>600</v>
      </c>
      <c r="I474" s="38">
        <v>695</v>
      </c>
      <c r="J474" s="38">
        <v>50</v>
      </c>
      <c r="K474" s="39"/>
      <c r="L474" s="39"/>
      <c r="M474" s="39"/>
      <c r="N474" s="39"/>
      <c r="O474" s="39"/>
      <c r="P474" s="39"/>
      <c r="Q474" s="39"/>
      <c r="R474" s="39"/>
      <c r="S474" s="39"/>
      <c r="T474" s="39"/>
    </row>
    <row r="475" spans="1:20" ht="15.75">
      <c r="A475" s="13">
        <v>55609</v>
      </c>
      <c r="B475" s="47">
        <v>31</v>
      </c>
      <c r="C475" s="38">
        <v>122.58</v>
      </c>
      <c r="D475" s="38">
        <v>297.94099999999997</v>
      </c>
      <c r="E475" s="44">
        <v>729.47900000000004</v>
      </c>
      <c r="F475" s="38">
        <v>1150</v>
      </c>
      <c r="G475" s="38">
        <v>100</v>
      </c>
      <c r="H475" s="46">
        <v>600</v>
      </c>
      <c r="I475" s="38">
        <v>695</v>
      </c>
      <c r="J475" s="38">
        <v>50</v>
      </c>
      <c r="K475" s="39"/>
      <c r="L475" s="39"/>
      <c r="M475" s="39"/>
      <c r="N475" s="39"/>
      <c r="O475" s="39"/>
      <c r="P475" s="39"/>
      <c r="Q475" s="39"/>
      <c r="R475" s="39"/>
      <c r="S475" s="39"/>
      <c r="T475" s="39"/>
    </row>
    <row r="476" spans="1:20" ht="15.75">
      <c r="A476" s="13">
        <v>55639</v>
      </c>
      <c r="B476" s="47">
        <v>30</v>
      </c>
      <c r="C476" s="38">
        <v>141.29300000000001</v>
      </c>
      <c r="D476" s="38">
        <v>267.99299999999999</v>
      </c>
      <c r="E476" s="44">
        <v>829.71400000000006</v>
      </c>
      <c r="F476" s="38">
        <v>1239</v>
      </c>
      <c r="G476" s="38">
        <v>100</v>
      </c>
      <c r="H476" s="46">
        <v>600</v>
      </c>
      <c r="I476" s="38">
        <v>695</v>
      </c>
      <c r="J476" s="38">
        <v>50</v>
      </c>
      <c r="K476" s="39"/>
      <c r="L476" s="39"/>
      <c r="M476" s="39"/>
      <c r="N476" s="39"/>
      <c r="O476" s="39"/>
      <c r="P476" s="39"/>
      <c r="Q476" s="39"/>
      <c r="R476" s="39"/>
      <c r="S476" s="39"/>
      <c r="T476" s="39"/>
    </row>
    <row r="477" spans="1:20" ht="15.75">
      <c r="A477" s="13">
        <v>55670</v>
      </c>
      <c r="B477" s="47">
        <v>31</v>
      </c>
      <c r="C477" s="38">
        <v>194.20500000000001</v>
      </c>
      <c r="D477" s="38">
        <v>267.46600000000001</v>
      </c>
      <c r="E477" s="44">
        <v>812.32899999999995</v>
      </c>
      <c r="F477" s="38">
        <v>1274</v>
      </c>
      <c r="G477" s="38">
        <v>75</v>
      </c>
      <c r="H477" s="46">
        <v>600</v>
      </c>
      <c r="I477" s="38">
        <v>695</v>
      </c>
      <c r="J477" s="38">
        <v>50</v>
      </c>
      <c r="K477" s="39"/>
      <c r="L477" s="39"/>
      <c r="M477" s="39"/>
      <c r="N477" s="39"/>
      <c r="O477" s="39"/>
      <c r="P477" s="39"/>
      <c r="Q477" s="39"/>
      <c r="R477" s="39"/>
      <c r="S477" s="39"/>
      <c r="T477" s="39"/>
    </row>
    <row r="478" spans="1:20" ht="15.75">
      <c r="A478" s="13">
        <v>55700</v>
      </c>
      <c r="B478" s="47">
        <v>30</v>
      </c>
      <c r="C478" s="38">
        <v>194.20500000000001</v>
      </c>
      <c r="D478" s="38">
        <v>267.46600000000001</v>
      </c>
      <c r="E478" s="44">
        <v>812.32899999999995</v>
      </c>
      <c r="F478" s="38">
        <v>1274</v>
      </c>
      <c r="G478" s="38">
        <v>50</v>
      </c>
      <c r="H478" s="46">
        <v>600</v>
      </c>
      <c r="I478" s="38">
        <v>695</v>
      </c>
      <c r="J478" s="38">
        <v>50</v>
      </c>
      <c r="K478" s="39"/>
      <c r="L478" s="39"/>
      <c r="M478" s="39"/>
      <c r="N478" s="39"/>
      <c r="O478" s="39"/>
      <c r="P478" s="39"/>
      <c r="Q478" s="39"/>
      <c r="R478" s="39"/>
      <c r="S478" s="39"/>
      <c r="T478" s="39"/>
    </row>
    <row r="479" spans="1:20" ht="15.75">
      <c r="A479" s="13">
        <v>55731</v>
      </c>
      <c r="B479" s="47">
        <v>31</v>
      </c>
      <c r="C479" s="38">
        <v>194.20500000000001</v>
      </c>
      <c r="D479" s="38">
        <v>267.46600000000001</v>
      </c>
      <c r="E479" s="44">
        <v>812.32899999999995</v>
      </c>
      <c r="F479" s="38">
        <v>1274</v>
      </c>
      <c r="G479" s="38">
        <v>50</v>
      </c>
      <c r="H479" s="46">
        <v>600</v>
      </c>
      <c r="I479" s="38">
        <v>695</v>
      </c>
      <c r="J479" s="38">
        <v>0</v>
      </c>
      <c r="K479" s="39"/>
      <c r="L479" s="39"/>
      <c r="M479" s="39"/>
      <c r="N479" s="39"/>
      <c r="O479" s="39"/>
      <c r="P479" s="39"/>
      <c r="Q479" s="39"/>
      <c r="R479" s="39"/>
      <c r="S479" s="39"/>
      <c r="T479" s="39"/>
    </row>
    <row r="480" spans="1:20" ht="15.75">
      <c r="A480" s="13">
        <v>55762</v>
      </c>
      <c r="B480" s="47">
        <v>31</v>
      </c>
      <c r="C480" s="38">
        <v>194.20500000000001</v>
      </c>
      <c r="D480" s="38">
        <v>267.46600000000001</v>
      </c>
      <c r="E480" s="44">
        <v>812.32899999999995</v>
      </c>
      <c r="F480" s="38">
        <v>1274</v>
      </c>
      <c r="G480" s="38">
        <v>50</v>
      </c>
      <c r="H480" s="46">
        <v>600</v>
      </c>
      <c r="I480" s="38">
        <v>695</v>
      </c>
      <c r="J480" s="38">
        <v>0</v>
      </c>
      <c r="K480" s="39"/>
      <c r="L480" s="39"/>
      <c r="M480" s="39"/>
      <c r="N480" s="39"/>
      <c r="O480" s="39"/>
      <c r="P480" s="39"/>
      <c r="Q480" s="39"/>
      <c r="R480" s="39"/>
      <c r="S480" s="39"/>
      <c r="T480" s="39"/>
    </row>
    <row r="481" spans="1:20" ht="15.75">
      <c r="A481" s="13">
        <v>55792</v>
      </c>
      <c r="B481" s="47">
        <v>30</v>
      </c>
      <c r="C481" s="38">
        <v>194.20500000000001</v>
      </c>
      <c r="D481" s="38">
        <v>267.46600000000001</v>
      </c>
      <c r="E481" s="44">
        <v>812.32899999999995</v>
      </c>
      <c r="F481" s="38">
        <v>1274</v>
      </c>
      <c r="G481" s="38">
        <v>50</v>
      </c>
      <c r="H481" s="46">
        <v>600</v>
      </c>
      <c r="I481" s="38">
        <v>695</v>
      </c>
      <c r="J481" s="38">
        <v>0</v>
      </c>
      <c r="K481" s="39"/>
      <c r="L481" s="39"/>
      <c r="M481" s="39"/>
      <c r="N481" s="39"/>
      <c r="O481" s="39"/>
      <c r="P481" s="39"/>
      <c r="Q481" s="39"/>
      <c r="R481" s="39"/>
      <c r="S481" s="39"/>
      <c r="T481" s="39"/>
    </row>
    <row r="482" spans="1:20" ht="15.75">
      <c r="A482" s="13">
        <v>55823</v>
      </c>
      <c r="B482" s="47">
        <v>31</v>
      </c>
      <c r="C482" s="38">
        <v>131.881</v>
      </c>
      <c r="D482" s="38">
        <v>277.16699999999997</v>
      </c>
      <c r="E482" s="44">
        <v>829.952</v>
      </c>
      <c r="F482" s="38">
        <v>1239</v>
      </c>
      <c r="G482" s="38">
        <v>75</v>
      </c>
      <c r="H482" s="46">
        <v>600</v>
      </c>
      <c r="I482" s="38">
        <v>695</v>
      </c>
      <c r="J482" s="38">
        <v>0</v>
      </c>
      <c r="K482" s="39"/>
      <c r="L482" s="39"/>
      <c r="M482" s="39"/>
      <c r="N482" s="39"/>
      <c r="O482" s="39"/>
      <c r="P482" s="39"/>
      <c r="Q482" s="39"/>
      <c r="R482" s="39"/>
      <c r="S482" s="39"/>
      <c r="T482" s="39"/>
    </row>
    <row r="483" spans="1:20" ht="15.75">
      <c r="A483" s="13">
        <v>55853</v>
      </c>
      <c r="B483" s="47">
        <v>30</v>
      </c>
      <c r="C483" s="38">
        <v>122.58</v>
      </c>
      <c r="D483" s="38">
        <v>297.94099999999997</v>
      </c>
      <c r="E483" s="44">
        <v>729.47900000000004</v>
      </c>
      <c r="F483" s="38">
        <v>1150</v>
      </c>
      <c r="G483" s="38">
        <v>100</v>
      </c>
      <c r="H483" s="46">
        <v>600</v>
      </c>
      <c r="I483" s="38">
        <v>695</v>
      </c>
      <c r="J483" s="38">
        <v>50</v>
      </c>
      <c r="K483" s="39"/>
      <c r="L483" s="39"/>
      <c r="M483" s="39"/>
      <c r="N483" s="39"/>
      <c r="O483" s="39"/>
      <c r="P483" s="39"/>
      <c r="Q483" s="39"/>
      <c r="R483" s="39"/>
      <c r="S483" s="39"/>
      <c r="T483" s="39"/>
    </row>
    <row r="484" spans="1:20" ht="15.75">
      <c r="A484" s="13">
        <v>55884</v>
      </c>
      <c r="B484" s="47">
        <v>31</v>
      </c>
      <c r="C484" s="38">
        <v>122.58</v>
      </c>
      <c r="D484" s="38">
        <v>297.94099999999997</v>
      </c>
      <c r="E484" s="44">
        <v>729.47900000000004</v>
      </c>
      <c r="F484" s="38">
        <v>1150</v>
      </c>
      <c r="G484" s="38">
        <v>100</v>
      </c>
      <c r="H484" s="46">
        <v>600</v>
      </c>
      <c r="I484" s="38">
        <v>695</v>
      </c>
      <c r="J484" s="38">
        <v>50</v>
      </c>
      <c r="K484" s="39"/>
      <c r="L484" s="39"/>
      <c r="M484" s="39"/>
      <c r="N484" s="39"/>
      <c r="O484" s="39"/>
      <c r="P484" s="39"/>
      <c r="Q484" s="39"/>
      <c r="R484" s="39"/>
      <c r="S484" s="39"/>
      <c r="T484" s="39"/>
    </row>
    <row r="485" spans="1:20" ht="15.75">
      <c r="A485" s="13">
        <v>55915</v>
      </c>
      <c r="B485" s="47">
        <v>31</v>
      </c>
      <c r="C485" s="38">
        <v>122.58</v>
      </c>
      <c r="D485" s="38">
        <v>297.94099999999997</v>
      </c>
      <c r="E485" s="44">
        <v>729.47900000000004</v>
      </c>
      <c r="F485" s="38">
        <v>1150</v>
      </c>
      <c r="G485" s="38">
        <v>100</v>
      </c>
      <c r="H485" s="46">
        <v>600</v>
      </c>
      <c r="I485" s="38">
        <v>695</v>
      </c>
      <c r="J485" s="38">
        <v>50</v>
      </c>
      <c r="K485" s="39"/>
      <c r="L485" s="39"/>
      <c r="M485" s="39"/>
      <c r="N485" s="39"/>
      <c r="O485" s="39"/>
      <c r="P485" s="39"/>
      <c r="Q485" s="39"/>
      <c r="R485" s="39"/>
      <c r="S485" s="39"/>
      <c r="T485" s="39"/>
    </row>
    <row r="486" spans="1:20" ht="15.75">
      <c r="A486" s="13">
        <v>55943</v>
      </c>
      <c r="B486" s="47">
        <v>28</v>
      </c>
      <c r="C486" s="38">
        <v>122.58</v>
      </c>
      <c r="D486" s="38">
        <v>297.94099999999997</v>
      </c>
      <c r="E486" s="44">
        <v>729.47900000000004</v>
      </c>
      <c r="F486" s="38">
        <v>1150</v>
      </c>
      <c r="G486" s="38">
        <v>100</v>
      </c>
      <c r="H486" s="46">
        <v>600</v>
      </c>
      <c r="I486" s="38">
        <v>695</v>
      </c>
      <c r="J486" s="38">
        <v>50</v>
      </c>
      <c r="K486" s="39"/>
      <c r="L486" s="39"/>
      <c r="M486" s="39"/>
      <c r="N486" s="39"/>
      <c r="O486" s="39"/>
      <c r="P486" s="39"/>
      <c r="Q486" s="39"/>
      <c r="R486" s="39"/>
      <c r="S486" s="39"/>
      <c r="T486" s="39"/>
    </row>
    <row r="487" spans="1:20" ht="15.75">
      <c r="A487" s="13">
        <v>55974</v>
      </c>
      <c r="B487" s="47">
        <v>31</v>
      </c>
      <c r="C487" s="38">
        <v>122.58</v>
      </c>
      <c r="D487" s="38">
        <v>297.94099999999997</v>
      </c>
      <c r="E487" s="44">
        <v>729.47900000000004</v>
      </c>
      <c r="F487" s="38">
        <v>1150</v>
      </c>
      <c r="G487" s="38">
        <v>100</v>
      </c>
      <c r="H487" s="46">
        <v>600</v>
      </c>
      <c r="I487" s="38">
        <v>695</v>
      </c>
      <c r="J487" s="38">
        <v>50</v>
      </c>
      <c r="K487" s="39"/>
      <c r="L487" s="39"/>
      <c r="M487" s="39"/>
      <c r="N487" s="39"/>
      <c r="O487" s="39"/>
      <c r="P487" s="39"/>
      <c r="Q487" s="39"/>
      <c r="R487" s="39"/>
      <c r="S487" s="39"/>
      <c r="T487" s="39"/>
    </row>
    <row r="488" spans="1:20" ht="15.75">
      <c r="A488" s="13">
        <v>56004</v>
      </c>
      <c r="B488" s="47">
        <v>30</v>
      </c>
      <c r="C488" s="38">
        <v>141.29300000000001</v>
      </c>
      <c r="D488" s="38">
        <v>267.99299999999999</v>
      </c>
      <c r="E488" s="44">
        <v>829.71400000000006</v>
      </c>
      <c r="F488" s="38">
        <v>1239</v>
      </c>
      <c r="G488" s="38">
        <v>100</v>
      </c>
      <c r="H488" s="46">
        <v>600</v>
      </c>
      <c r="I488" s="38">
        <v>695</v>
      </c>
      <c r="J488" s="38">
        <v>50</v>
      </c>
      <c r="K488" s="39"/>
      <c r="L488" s="39"/>
      <c r="M488" s="39"/>
      <c r="N488" s="39"/>
      <c r="O488" s="39"/>
      <c r="P488" s="39"/>
      <c r="Q488" s="39"/>
      <c r="R488" s="39"/>
      <c r="S488" s="39"/>
      <c r="T488" s="39"/>
    </row>
    <row r="489" spans="1:20" ht="15.75">
      <c r="A489" s="13">
        <v>56035</v>
      </c>
      <c r="B489" s="47">
        <v>31</v>
      </c>
      <c r="C489" s="38">
        <v>194.20500000000001</v>
      </c>
      <c r="D489" s="38">
        <v>267.46600000000001</v>
      </c>
      <c r="E489" s="44">
        <v>812.32899999999995</v>
      </c>
      <c r="F489" s="38">
        <v>1274</v>
      </c>
      <c r="G489" s="38">
        <v>75</v>
      </c>
      <c r="H489" s="46">
        <v>600</v>
      </c>
      <c r="I489" s="38">
        <v>695</v>
      </c>
      <c r="J489" s="38">
        <v>50</v>
      </c>
      <c r="K489" s="39"/>
      <c r="L489" s="39"/>
      <c r="M489" s="39"/>
      <c r="N489" s="39"/>
      <c r="O489" s="39"/>
      <c r="P489" s="39"/>
      <c r="Q489" s="39"/>
      <c r="R489" s="39"/>
      <c r="S489" s="39"/>
      <c r="T489" s="39"/>
    </row>
    <row r="490" spans="1:20" ht="15.75">
      <c r="A490" s="13">
        <v>56065</v>
      </c>
      <c r="B490" s="47">
        <v>30</v>
      </c>
      <c r="C490" s="38">
        <v>194.20500000000001</v>
      </c>
      <c r="D490" s="38">
        <v>267.46600000000001</v>
      </c>
      <c r="E490" s="44">
        <v>812.32899999999995</v>
      </c>
      <c r="F490" s="38">
        <v>1274</v>
      </c>
      <c r="G490" s="38">
        <v>50</v>
      </c>
      <c r="H490" s="46">
        <v>600</v>
      </c>
      <c r="I490" s="38">
        <v>695</v>
      </c>
      <c r="J490" s="38">
        <v>50</v>
      </c>
      <c r="K490" s="39"/>
      <c r="L490" s="39"/>
      <c r="M490" s="39"/>
      <c r="N490" s="39"/>
      <c r="O490" s="39"/>
      <c r="P490" s="39"/>
      <c r="Q490" s="39"/>
      <c r="R490" s="39"/>
      <c r="S490" s="39"/>
      <c r="T490" s="39"/>
    </row>
    <row r="491" spans="1:20" ht="15.75">
      <c r="A491" s="13">
        <v>56096</v>
      </c>
      <c r="B491" s="47">
        <v>31</v>
      </c>
      <c r="C491" s="38">
        <v>194.20500000000001</v>
      </c>
      <c r="D491" s="38">
        <v>267.46600000000001</v>
      </c>
      <c r="E491" s="44">
        <v>812.32899999999995</v>
      </c>
      <c r="F491" s="38">
        <v>1274</v>
      </c>
      <c r="G491" s="38">
        <v>50</v>
      </c>
      <c r="H491" s="46">
        <v>600</v>
      </c>
      <c r="I491" s="38">
        <v>695</v>
      </c>
      <c r="J491" s="38">
        <v>0</v>
      </c>
      <c r="K491" s="39"/>
      <c r="L491" s="39"/>
      <c r="M491" s="39"/>
      <c r="N491" s="39"/>
      <c r="O491" s="39"/>
      <c r="P491" s="39"/>
      <c r="Q491" s="39"/>
      <c r="R491" s="39"/>
      <c r="S491" s="39"/>
      <c r="T491" s="39"/>
    </row>
    <row r="492" spans="1:20" ht="15.75">
      <c r="A492" s="13">
        <v>56127</v>
      </c>
      <c r="B492" s="47">
        <v>31</v>
      </c>
      <c r="C492" s="38">
        <v>194.20500000000001</v>
      </c>
      <c r="D492" s="38">
        <v>267.46600000000001</v>
      </c>
      <c r="E492" s="44">
        <v>812.32899999999995</v>
      </c>
      <c r="F492" s="38">
        <v>1274</v>
      </c>
      <c r="G492" s="38">
        <v>50</v>
      </c>
      <c r="H492" s="46">
        <v>600</v>
      </c>
      <c r="I492" s="38">
        <v>695</v>
      </c>
      <c r="J492" s="38">
        <v>0</v>
      </c>
      <c r="K492" s="39"/>
      <c r="L492" s="39"/>
      <c r="M492" s="39"/>
      <c r="N492" s="39"/>
      <c r="O492" s="39"/>
      <c r="P492" s="39"/>
      <c r="Q492" s="39"/>
      <c r="R492" s="39"/>
      <c r="S492" s="39"/>
      <c r="T492" s="39"/>
    </row>
    <row r="493" spans="1:20" ht="15.75">
      <c r="A493" s="13">
        <v>56157</v>
      </c>
      <c r="B493" s="47">
        <v>30</v>
      </c>
      <c r="C493" s="38">
        <v>194.20500000000001</v>
      </c>
      <c r="D493" s="38">
        <v>267.46600000000001</v>
      </c>
      <c r="E493" s="44">
        <v>812.32899999999995</v>
      </c>
      <c r="F493" s="38">
        <v>1274</v>
      </c>
      <c r="G493" s="38">
        <v>50</v>
      </c>
      <c r="H493" s="46">
        <v>600</v>
      </c>
      <c r="I493" s="38">
        <v>695</v>
      </c>
      <c r="J493" s="38">
        <v>0</v>
      </c>
      <c r="K493" s="39"/>
      <c r="L493" s="39"/>
      <c r="M493" s="39"/>
      <c r="N493" s="39"/>
      <c r="O493" s="39"/>
      <c r="P493" s="39"/>
      <c r="Q493" s="39"/>
      <c r="R493" s="39"/>
      <c r="S493" s="39"/>
      <c r="T493" s="39"/>
    </row>
    <row r="494" spans="1:20" ht="15.75">
      <c r="A494" s="13">
        <v>56188</v>
      </c>
      <c r="B494" s="47">
        <v>31</v>
      </c>
      <c r="C494" s="38">
        <v>131.881</v>
      </c>
      <c r="D494" s="38">
        <v>277.16699999999997</v>
      </c>
      <c r="E494" s="44">
        <v>829.952</v>
      </c>
      <c r="F494" s="38">
        <v>1239</v>
      </c>
      <c r="G494" s="38">
        <v>75</v>
      </c>
      <c r="H494" s="46">
        <v>600</v>
      </c>
      <c r="I494" s="38">
        <v>695</v>
      </c>
      <c r="J494" s="38">
        <v>0</v>
      </c>
      <c r="K494" s="39"/>
      <c r="L494" s="39"/>
      <c r="M494" s="39"/>
      <c r="N494" s="39"/>
      <c r="O494" s="39"/>
      <c r="P494" s="39"/>
      <c r="Q494" s="39"/>
      <c r="R494" s="39"/>
      <c r="S494" s="39"/>
      <c r="T494" s="39"/>
    </row>
    <row r="495" spans="1:20" ht="15.75">
      <c r="A495" s="13">
        <v>56218</v>
      </c>
      <c r="B495" s="47">
        <v>30</v>
      </c>
      <c r="C495" s="38">
        <v>122.58</v>
      </c>
      <c r="D495" s="38">
        <v>297.94099999999997</v>
      </c>
      <c r="E495" s="44">
        <v>729.47900000000004</v>
      </c>
      <c r="F495" s="38">
        <v>1150</v>
      </c>
      <c r="G495" s="38">
        <v>100</v>
      </c>
      <c r="H495" s="46">
        <v>600</v>
      </c>
      <c r="I495" s="38">
        <v>695</v>
      </c>
      <c r="J495" s="38">
        <v>50</v>
      </c>
      <c r="K495" s="39"/>
      <c r="L495" s="39"/>
      <c r="M495" s="39"/>
      <c r="N495" s="39"/>
      <c r="O495" s="39"/>
      <c r="P495" s="39"/>
      <c r="Q495" s="39"/>
      <c r="R495" s="39"/>
      <c r="S495" s="39"/>
      <c r="T495" s="39"/>
    </row>
    <row r="496" spans="1:20" ht="15.75">
      <c r="A496" s="13">
        <v>56249</v>
      </c>
      <c r="B496" s="47">
        <v>31</v>
      </c>
      <c r="C496" s="38">
        <v>122.58</v>
      </c>
      <c r="D496" s="38">
        <v>297.94099999999997</v>
      </c>
      <c r="E496" s="44">
        <v>729.47900000000004</v>
      </c>
      <c r="F496" s="38">
        <v>1150</v>
      </c>
      <c r="G496" s="38">
        <v>100</v>
      </c>
      <c r="H496" s="46">
        <v>600</v>
      </c>
      <c r="I496" s="38">
        <v>695</v>
      </c>
      <c r="J496" s="38">
        <v>50</v>
      </c>
      <c r="K496" s="39"/>
      <c r="L496" s="39"/>
      <c r="M496" s="39"/>
      <c r="N496" s="39"/>
      <c r="O496" s="39"/>
      <c r="P496" s="39"/>
      <c r="Q496" s="39"/>
      <c r="R496" s="39"/>
      <c r="S496" s="39"/>
      <c r="T496" s="39"/>
    </row>
    <row r="497" spans="1:20" ht="15.75">
      <c r="A497" s="13">
        <v>56280</v>
      </c>
      <c r="B497" s="47">
        <v>31</v>
      </c>
      <c r="C497" s="38">
        <v>122.58</v>
      </c>
      <c r="D497" s="38">
        <v>297.94099999999997</v>
      </c>
      <c r="E497" s="44">
        <v>729.47900000000004</v>
      </c>
      <c r="F497" s="38">
        <v>1150</v>
      </c>
      <c r="G497" s="38">
        <v>100</v>
      </c>
      <c r="H497" s="46">
        <v>600</v>
      </c>
      <c r="I497" s="38">
        <v>695</v>
      </c>
      <c r="J497" s="38">
        <v>50</v>
      </c>
      <c r="K497" s="39"/>
      <c r="L497" s="39"/>
      <c r="M497" s="39"/>
      <c r="N497" s="39"/>
      <c r="O497" s="39"/>
      <c r="P497" s="39"/>
      <c r="Q497" s="39"/>
      <c r="R497" s="39"/>
      <c r="S497" s="39"/>
      <c r="T497" s="39"/>
    </row>
    <row r="498" spans="1:20" ht="15.75">
      <c r="A498" s="13">
        <v>56308</v>
      </c>
      <c r="B498" s="47">
        <v>28</v>
      </c>
      <c r="C498" s="38">
        <v>122.58</v>
      </c>
      <c r="D498" s="38">
        <v>297.94099999999997</v>
      </c>
      <c r="E498" s="44">
        <v>729.47900000000004</v>
      </c>
      <c r="F498" s="38">
        <v>1150</v>
      </c>
      <c r="G498" s="38">
        <v>100</v>
      </c>
      <c r="H498" s="46">
        <v>600</v>
      </c>
      <c r="I498" s="38">
        <v>695</v>
      </c>
      <c r="J498" s="38">
        <v>50</v>
      </c>
      <c r="K498" s="39"/>
      <c r="L498" s="39"/>
      <c r="M498" s="39"/>
      <c r="N498" s="39"/>
      <c r="O498" s="39"/>
      <c r="P498" s="39"/>
      <c r="Q498" s="39"/>
      <c r="R498" s="39"/>
      <c r="S498" s="39"/>
      <c r="T498" s="39"/>
    </row>
    <row r="499" spans="1:20" ht="15.75">
      <c r="A499" s="13">
        <v>56339</v>
      </c>
      <c r="B499" s="47">
        <v>31</v>
      </c>
      <c r="C499" s="38">
        <v>122.58</v>
      </c>
      <c r="D499" s="38">
        <v>297.94099999999997</v>
      </c>
      <c r="E499" s="44">
        <v>729.47900000000004</v>
      </c>
      <c r="F499" s="38">
        <v>1150</v>
      </c>
      <c r="G499" s="38">
        <v>100</v>
      </c>
      <c r="H499" s="46">
        <v>600</v>
      </c>
      <c r="I499" s="38">
        <v>695</v>
      </c>
      <c r="J499" s="38">
        <v>50</v>
      </c>
      <c r="K499" s="39"/>
      <c r="L499" s="39"/>
      <c r="M499" s="39"/>
      <c r="N499" s="39"/>
      <c r="O499" s="39"/>
      <c r="P499" s="39"/>
      <c r="Q499" s="39"/>
      <c r="R499" s="39"/>
      <c r="S499" s="39"/>
      <c r="T499" s="39"/>
    </row>
    <row r="500" spans="1:20" ht="15.75">
      <c r="A500" s="13">
        <v>56369</v>
      </c>
      <c r="B500" s="47">
        <v>30</v>
      </c>
      <c r="C500" s="38">
        <v>141.29300000000001</v>
      </c>
      <c r="D500" s="38">
        <v>267.99299999999999</v>
      </c>
      <c r="E500" s="44">
        <v>829.71400000000006</v>
      </c>
      <c r="F500" s="38">
        <v>1239</v>
      </c>
      <c r="G500" s="38">
        <v>100</v>
      </c>
      <c r="H500" s="46">
        <v>600</v>
      </c>
      <c r="I500" s="38">
        <v>695</v>
      </c>
      <c r="J500" s="38">
        <v>50</v>
      </c>
      <c r="K500" s="39"/>
      <c r="L500" s="39"/>
      <c r="M500" s="39"/>
      <c r="N500" s="39"/>
      <c r="O500" s="39"/>
      <c r="P500" s="39"/>
      <c r="Q500" s="39"/>
      <c r="R500" s="39"/>
      <c r="S500" s="39"/>
      <c r="T500" s="39"/>
    </row>
    <row r="501" spans="1:20" ht="15.75">
      <c r="A501" s="13">
        <v>56400</v>
      </c>
      <c r="B501" s="47">
        <v>31</v>
      </c>
      <c r="C501" s="38">
        <v>194.20500000000001</v>
      </c>
      <c r="D501" s="38">
        <v>267.46600000000001</v>
      </c>
      <c r="E501" s="44">
        <v>812.32899999999995</v>
      </c>
      <c r="F501" s="38">
        <v>1274</v>
      </c>
      <c r="G501" s="38">
        <v>75</v>
      </c>
      <c r="H501" s="46">
        <v>600</v>
      </c>
      <c r="I501" s="38">
        <v>695</v>
      </c>
      <c r="J501" s="38">
        <v>50</v>
      </c>
      <c r="K501" s="39"/>
      <c r="L501" s="39"/>
      <c r="M501" s="39"/>
      <c r="N501" s="39"/>
      <c r="O501" s="39"/>
      <c r="P501" s="39"/>
      <c r="Q501" s="39"/>
      <c r="R501" s="39"/>
      <c r="S501" s="39"/>
      <c r="T501" s="39"/>
    </row>
    <row r="502" spans="1:20" ht="15.75">
      <c r="A502" s="13">
        <v>56430</v>
      </c>
      <c r="B502" s="47">
        <v>30</v>
      </c>
      <c r="C502" s="38">
        <v>194.20500000000001</v>
      </c>
      <c r="D502" s="38">
        <v>267.46600000000001</v>
      </c>
      <c r="E502" s="44">
        <v>812.32899999999995</v>
      </c>
      <c r="F502" s="38">
        <v>1274</v>
      </c>
      <c r="G502" s="38">
        <v>50</v>
      </c>
      <c r="H502" s="46">
        <v>600</v>
      </c>
      <c r="I502" s="38">
        <v>695</v>
      </c>
      <c r="J502" s="38">
        <v>50</v>
      </c>
      <c r="K502" s="39"/>
      <c r="L502" s="39"/>
      <c r="M502" s="39"/>
      <c r="N502" s="39"/>
      <c r="O502" s="39"/>
      <c r="P502" s="39"/>
      <c r="Q502" s="39"/>
      <c r="R502" s="39"/>
      <c r="S502" s="39"/>
      <c r="T502" s="39"/>
    </row>
    <row r="503" spans="1:20" ht="15.75">
      <c r="A503" s="13">
        <v>56461</v>
      </c>
      <c r="B503" s="47">
        <v>31</v>
      </c>
      <c r="C503" s="38">
        <v>194.20500000000001</v>
      </c>
      <c r="D503" s="38">
        <v>267.46600000000001</v>
      </c>
      <c r="E503" s="44">
        <v>812.32899999999995</v>
      </c>
      <c r="F503" s="38">
        <v>1274</v>
      </c>
      <c r="G503" s="38">
        <v>50</v>
      </c>
      <c r="H503" s="46">
        <v>600</v>
      </c>
      <c r="I503" s="38">
        <v>695</v>
      </c>
      <c r="J503" s="38">
        <v>0</v>
      </c>
      <c r="K503" s="39"/>
      <c r="L503" s="39"/>
      <c r="M503" s="39"/>
      <c r="N503" s="39"/>
      <c r="O503" s="39"/>
      <c r="P503" s="39"/>
      <c r="Q503" s="39"/>
      <c r="R503" s="39"/>
      <c r="S503" s="39"/>
      <c r="T503" s="39"/>
    </row>
    <row r="504" spans="1:20" ht="15.75">
      <c r="A504" s="13">
        <v>56492</v>
      </c>
      <c r="B504" s="47">
        <v>31</v>
      </c>
      <c r="C504" s="38">
        <v>194.20500000000001</v>
      </c>
      <c r="D504" s="38">
        <v>267.46600000000001</v>
      </c>
      <c r="E504" s="44">
        <v>812.32899999999995</v>
      </c>
      <c r="F504" s="38">
        <v>1274</v>
      </c>
      <c r="G504" s="38">
        <v>50</v>
      </c>
      <c r="H504" s="46">
        <v>600</v>
      </c>
      <c r="I504" s="38">
        <v>695</v>
      </c>
      <c r="J504" s="38">
        <v>0</v>
      </c>
      <c r="K504" s="39"/>
      <c r="L504" s="39"/>
      <c r="M504" s="39"/>
      <c r="N504" s="39"/>
      <c r="O504" s="39"/>
      <c r="P504" s="39"/>
      <c r="Q504" s="39"/>
      <c r="R504" s="39"/>
      <c r="S504" s="39"/>
      <c r="T504" s="39"/>
    </row>
    <row r="505" spans="1:20" ht="15.75">
      <c r="A505" s="13">
        <v>56522</v>
      </c>
      <c r="B505" s="47">
        <v>30</v>
      </c>
      <c r="C505" s="38">
        <v>194.20500000000001</v>
      </c>
      <c r="D505" s="38">
        <v>267.46600000000001</v>
      </c>
      <c r="E505" s="44">
        <v>812.32899999999995</v>
      </c>
      <c r="F505" s="38">
        <v>1274</v>
      </c>
      <c r="G505" s="38">
        <v>50</v>
      </c>
      <c r="H505" s="46">
        <v>600</v>
      </c>
      <c r="I505" s="38">
        <v>695</v>
      </c>
      <c r="J505" s="38">
        <v>0</v>
      </c>
      <c r="K505" s="39"/>
      <c r="L505" s="39"/>
      <c r="M505" s="39"/>
      <c r="N505" s="39"/>
      <c r="O505" s="39"/>
      <c r="P505" s="39"/>
      <c r="Q505" s="39"/>
      <c r="R505" s="39"/>
      <c r="S505" s="39"/>
      <c r="T505" s="39"/>
    </row>
    <row r="506" spans="1:20" ht="15.75">
      <c r="A506" s="13">
        <v>56553</v>
      </c>
      <c r="B506" s="47">
        <v>31</v>
      </c>
      <c r="C506" s="38">
        <v>131.881</v>
      </c>
      <c r="D506" s="38">
        <v>277.16699999999997</v>
      </c>
      <c r="E506" s="44">
        <v>829.952</v>
      </c>
      <c r="F506" s="38">
        <v>1239</v>
      </c>
      <c r="G506" s="38">
        <v>75</v>
      </c>
      <c r="H506" s="46">
        <v>600</v>
      </c>
      <c r="I506" s="38">
        <v>695</v>
      </c>
      <c r="J506" s="38">
        <v>0</v>
      </c>
      <c r="K506" s="39"/>
      <c r="L506" s="39"/>
      <c r="M506" s="39"/>
      <c r="N506" s="39"/>
      <c r="O506" s="39"/>
      <c r="P506" s="39"/>
      <c r="Q506" s="39"/>
      <c r="R506" s="39"/>
      <c r="S506" s="39"/>
      <c r="T506" s="39"/>
    </row>
    <row r="507" spans="1:20" ht="15.75">
      <c r="A507" s="13">
        <v>56583</v>
      </c>
      <c r="B507" s="47">
        <v>30</v>
      </c>
      <c r="C507" s="38">
        <v>122.58</v>
      </c>
      <c r="D507" s="38">
        <v>297.94099999999997</v>
      </c>
      <c r="E507" s="44">
        <v>729.47900000000004</v>
      </c>
      <c r="F507" s="38">
        <v>1150</v>
      </c>
      <c r="G507" s="38">
        <v>100</v>
      </c>
      <c r="H507" s="46">
        <v>600</v>
      </c>
      <c r="I507" s="38">
        <v>695</v>
      </c>
      <c r="J507" s="38">
        <v>50</v>
      </c>
      <c r="K507" s="39"/>
      <c r="L507" s="39"/>
      <c r="M507" s="39"/>
      <c r="N507" s="39"/>
      <c r="O507" s="39"/>
      <c r="P507" s="39"/>
      <c r="Q507" s="39"/>
      <c r="R507" s="39"/>
      <c r="S507" s="39"/>
      <c r="T507" s="39"/>
    </row>
    <row r="508" spans="1:20" ht="15.75">
      <c r="A508" s="13">
        <v>56614</v>
      </c>
      <c r="B508" s="47">
        <v>31</v>
      </c>
      <c r="C508" s="38">
        <v>122.58</v>
      </c>
      <c r="D508" s="38">
        <v>297.94099999999997</v>
      </c>
      <c r="E508" s="44">
        <v>729.47900000000004</v>
      </c>
      <c r="F508" s="38">
        <v>1150</v>
      </c>
      <c r="G508" s="38">
        <v>100</v>
      </c>
      <c r="H508" s="46">
        <v>600</v>
      </c>
      <c r="I508" s="38">
        <v>695</v>
      </c>
      <c r="J508" s="38">
        <v>50</v>
      </c>
      <c r="K508" s="39"/>
      <c r="L508" s="39"/>
      <c r="M508" s="39"/>
      <c r="N508" s="39"/>
      <c r="O508" s="39"/>
      <c r="P508" s="39"/>
      <c r="Q508" s="39"/>
      <c r="R508" s="39"/>
      <c r="S508" s="39"/>
      <c r="T508" s="39"/>
    </row>
    <row r="509" spans="1:20" ht="15.75">
      <c r="A509" s="13">
        <v>56645</v>
      </c>
      <c r="B509" s="47">
        <v>31</v>
      </c>
      <c r="C509" s="38">
        <v>122.58</v>
      </c>
      <c r="D509" s="38">
        <v>297.94099999999997</v>
      </c>
      <c r="E509" s="44">
        <v>729.47900000000004</v>
      </c>
      <c r="F509" s="38">
        <v>1150</v>
      </c>
      <c r="G509" s="38">
        <v>100</v>
      </c>
      <c r="H509" s="46">
        <v>600</v>
      </c>
      <c r="I509" s="38">
        <v>695</v>
      </c>
      <c r="J509" s="38">
        <v>50</v>
      </c>
      <c r="K509" s="39"/>
      <c r="L509" s="39"/>
      <c r="M509" s="39"/>
      <c r="N509" s="39"/>
      <c r="O509" s="39"/>
      <c r="P509" s="39"/>
      <c r="Q509" s="39"/>
      <c r="R509" s="39"/>
      <c r="S509" s="39"/>
      <c r="T509" s="39"/>
    </row>
    <row r="510" spans="1:20" ht="15.75">
      <c r="A510" s="13">
        <v>56673</v>
      </c>
      <c r="B510" s="47">
        <v>28</v>
      </c>
      <c r="C510" s="38">
        <v>122.58</v>
      </c>
      <c r="D510" s="38">
        <v>297.94099999999997</v>
      </c>
      <c r="E510" s="44">
        <v>729.47900000000004</v>
      </c>
      <c r="F510" s="38">
        <v>1150</v>
      </c>
      <c r="G510" s="38">
        <v>100</v>
      </c>
      <c r="H510" s="46">
        <v>600</v>
      </c>
      <c r="I510" s="38">
        <v>695</v>
      </c>
      <c r="J510" s="38">
        <v>50</v>
      </c>
      <c r="K510" s="39"/>
      <c r="L510" s="39"/>
      <c r="M510" s="39"/>
      <c r="N510" s="39"/>
      <c r="O510" s="39"/>
      <c r="P510" s="39"/>
      <c r="Q510" s="39"/>
      <c r="R510" s="39"/>
      <c r="S510" s="39"/>
      <c r="T510" s="39"/>
    </row>
    <row r="511" spans="1:20" ht="15.75">
      <c r="A511" s="13">
        <v>56704</v>
      </c>
      <c r="B511" s="47">
        <v>31</v>
      </c>
      <c r="C511" s="38">
        <v>122.58</v>
      </c>
      <c r="D511" s="38">
        <v>297.94099999999997</v>
      </c>
      <c r="E511" s="44">
        <v>729.47900000000004</v>
      </c>
      <c r="F511" s="38">
        <v>1150</v>
      </c>
      <c r="G511" s="38">
        <v>100</v>
      </c>
      <c r="H511" s="46">
        <v>600</v>
      </c>
      <c r="I511" s="38">
        <v>695</v>
      </c>
      <c r="J511" s="38">
        <v>50</v>
      </c>
      <c r="K511" s="39"/>
      <c r="L511" s="39"/>
      <c r="M511" s="39"/>
      <c r="N511" s="39"/>
      <c r="O511" s="39"/>
      <c r="P511" s="39"/>
      <c r="Q511" s="39"/>
      <c r="R511" s="39"/>
      <c r="S511" s="39"/>
      <c r="T511" s="39"/>
    </row>
    <row r="512" spans="1:20" ht="15.75">
      <c r="A512" s="13">
        <v>56734</v>
      </c>
      <c r="B512" s="47">
        <v>30</v>
      </c>
      <c r="C512" s="38">
        <v>141.29300000000001</v>
      </c>
      <c r="D512" s="38">
        <v>267.99299999999999</v>
      </c>
      <c r="E512" s="44">
        <v>829.71400000000006</v>
      </c>
      <c r="F512" s="38">
        <v>1239</v>
      </c>
      <c r="G512" s="38">
        <v>100</v>
      </c>
      <c r="H512" s="46">
        <v>600</v>
      </c>
      <c r="I512" s="38">
        <v>695</v>
      </c>
      <c r="J512" s="38">
        <v>50</v>
      </c>
      <c r="K512" s="39"/>
      <c r="L512" s="39"/>
      <c r="M512" s="39"/>
      <c r="N512" s="39"/>
      <c r="O512" s="39"/>
      <c r="P512" s="39"/>
      <c r="Q512" s="39"/>
      <c r="R512" s="39"/>
      <c r="S512" s="39"/>
      <c r="T512" s="39"/>
    </row>
    <row r="513" spans="1:20" ht="15.75">
      <c r="A513" s="13">
        <v>56765</v>
      </c>
      <c r="B513" s="47">
        <v>31</v>
      </c>
      <c r="C513" s="38">
        <v>194.20500000000001</v>
      </c>
      <c r="D513" s="38">
        <v>267.46600000000001</v>
      </c>
      <c r="E513" s="44">
        <v>812.32899999999995</v>
      </c>
      <c r="F513" s="38">
        <v>1274</v>
      </c>
      <c r="G513" s="38">
        <v>75</v>
      </c>
      <c r="H513" s="46">
        <v>600</v>
      </c>
      <c r="I513" s="38">
        <v>695</v>
      </c>
      <c r="J513" s="38">
        <v>50</v>
      </c>
      <c r="K513" s="39"/>
      <c r="L513" s="39"/>
      <c r="M513" s="39"/>
      <c r="N513" s="39"/>
      <c r="O513" s="39"/>
      <c r="P513" s="39"/>
      <c r="Q513" s="39"/>
      <c r="R513" s="39"/>
      <c r="S513" s="39"/>
      <c r="T513" s="39"/>
    </row>
    <row r="514" spans="1:20" ht="15.75">
      <c r="A514" s="13">
        <v>56795</v>
      </c>
      <c r="B514" s="47">
        <v>30</v>
      </c>
      <c r="C514" s="38">
        <v>194.20500000000001</v>
      </c>
      <c r="D514" s="38">
        <v>267.46600000000001</v>
      </c>
      <c r="E514" s="44">
        <v>812.32899999999995</v>
      </c>
      <c r="F514" s="38">
        <v>1274</v>
      </c>
      <c r="G514" s="38">
        <v>50</v>
      </c>
      <c r="H514" s="46">
        <v>600</v>
      </c>
      <c r="I514" s="38">
        <v>695</v>
      </c>
      <c r="J514" s="38">
        <v>50</v>
      </c>
      <c r="K514" s="39"/>
      <c r="L514" s="39"/>
      <c r="M514" s="39"/>
      <c r="N514" s="39"/>
      <c r="O514" s="39"/>
      <c r="P514" s="39"/>
      <c r="Q514" s="39"/>
      <c r="R514" s="39"/>
      <c r="S514" s="39"/>
      <c r="T514" s="39"/>
    </row>
    <row r="515" spans="1:20" ht="15.75">
      <c r="A515" s="13">
        <v>56826</v>
      </c>
      <c r="B515" s="47">
        <v>31</v>
      </c>
      <c r="C515" s="38">
        <v>194.20500000000001</v>
      </c>
      <c r="D515" s="38">
        <v>267.46600000000001</v>
      </c>
      <c r="E515" s="44">
        <v>812.32899999999995</v>
      </c>
      <c r="F515" s="38">
        <v>1274</v>
      </c>
      <c r="G515" s="38">
        <v>50</v>
      </c>
      <c r="H515" s="46">
        <v>600</v>
      </c>
      <c r="I515" s="38">
        <v>695</v>
      </c>
      <c r="J515" s="38">
        <v>0</v>
      </c>
      <c r="K515" s="39"/>
      <c r="L515" s="39"/>
      <c r="M515" s="39"/>
      <c r="N515" s="39"/>
      <c r="O515" s="39"/>
      <c r="P515" s="39"/>
      <c r="Q515" s="39"/>
      <c r="R515" s="39"/>
      <c r="S515" s="39"/>
      <c r="T515" s="39"/>
    </row>
    <row r="516" spans="1:20" ht="15.75">
      <c r="A516" s="13">
        <v>56857</v>
      </c>
      <c r="B516" s="47">
        <v>31</v>
      </c>
      <c r="C516" s="38">
        <v>194.20500000000001</v>
      </c>
      <c r="D516" s="38">
        <v>267.46600000000001</v>
      </c>
      <c r="E516" s="44">
        <v>812.32899999999995</v>
      </c>
      <c r="F516" s="38">
        <v>1274</v>
      </c>
      <c r="G516" s="38">
        <v>50</v>
      </c>
      <c r="H516" s="46">
        <v>600</v>
      </c>
      <c r="I516" s="38">
        <v>695</v>
      </c>
      <c r="J516" s="38">
        <v>0</v>
      </c>
      <c r="K516" s="39"/>
      <c r="L516" s="39"/>
      <c r="M516" s="39"/>
      <c r="N516" s="39"/>
      <c r="O516" s="39"/>
      <c r="P516" s="39"/>
      <c r="Q516" s="39"/>
      <c r="R516" s="39"/>
      <c r="S516" s="39"/>
      <c r="T516" s="39"/>
    </row>
    <row r="517" spans="1:20" ht="15.75">
      <c r="A517" s="13">
        <v>56887</v>
      </c>
      <c r="B517" s="47">
        <v>30</v>
      </c>
      <c r="C517" s="38">
        <v>194.20500000000001</v>
      </c>
      <c r="D517" s="38">
        <v>267.46600000000001</v>
      </c>
      <c r="E517" s="44">
        <v>812.32899999999995</v>
      </c>
      <c r="F517" s="38">
        <v>1274</v>
      </c>
      <c r="G517" s="38">
        <v>50</v>
      </c>
      <c r="H517" s="46">
        <v>600</v>
      </c>
      <c r="I517" s="38">
        <v>695</v>
      </c>
      <c r="J517" s="38">
        <v>0</v>
      </c>
      <c r="K517" s="39"/>
      <c r="L517" s="39"/>
      <c r="M517" s="39"/>
      <c r="N517" s="39"/>
      <c r="O517" s="39"/>
      <c r="P517" s="39"/>
      <c r="Q517" s="39"/>
      <c r="R517" s="39"/>
      <c r="S517" s="39"/>
      <c r="T517" s="39"/>
    </row>
    <row r="518" spans="1:20" ht="15.75">
      <c r="A518" s="13">
        <v>56918</v>
      </c>
      <c r="B518" s="47">
        <v>31</v>
      </c>
      <c r="C518" s="38">
        <v>131.881</v>
      </c>
      <c r="D518" s="38">
        <v>277.16699999999997</v>
      </c>
      <c r="E518" s="44">
        <v>829.952</v>
      </c>
      <c r="F518" s="38">
        <v>1239</v>
      </c>
      <c r="G518" s="38">
        <v>75</v>
      </c>
      <c r="H518" s="46">
        <v>600</v>
      </c>
      <c r="I518" s="38">
        <v>695</v>
      </c>
      <c r="J518" s="38">
        <v>0</v>
      </c>
      <c r="K518" s="39"/>
      <c r="L518" s="39"/>
      <c r="M518" s="39"/>
      <c r="N518" s="39"/>
      <c r="O518" s="39"/>
      <c r="P518" s="39"/>
      <c r="Q518" s="39"/>
      <c r="R518" s="39"/>
      <c r="S518" s="39"/>
      <c r="T518" s="39"/>
    </row>
    <row r="519" spans="1:20" ht="15.75">
      <c r="A519" s="13">
        <v>56948</v>
      </c>
      <c r="B519" s="47">
        <v>30</v>
      </c>
      <c r="C519" s="38">
        <v>122.58</v>
      </c>
      <c r="D519" s="38">
        <v>297.94099999999997</v>
      </c>
      <c r="E519" s="44">
        <v>729.47900000000004</v>
      </c>
      <c r="F519" s="38">
        <v>1150</v>
      </c>
      <c r="G519" s="38">
        <v>100</v>
      </c>
      <c r="H519" s="46">
        <v>600</v>
      </c>
      <c r="I519" s="38">
        <v>695</v>
      </c>
      <c r="J519" s="38">
        <v>50</v>
      </c>
      <c r="K519" s="39"/>
      <c r="L519" s="39"/>
      <c r="M519" s="39"/>
      <c r="N519" s="39"/>
      <c r="O519" s="39"/>
      <c r="P519" s="39"/>
      <c r="Q519" s="39"/>
      <c r="R519" s="39"/>
      <c r="S519" s="39"/>
      <c r="T519" s="39"/>
    </row>
    <row r="520" spans="1:20" ht="15.75">
      <c r="A520" s="13">
        <v>56979</v>
      </c>
      <c r="B520" s="47">
        <v>31</v>
      </c>
      <c r="C520" s="38">
        <v>122.58</v>
      </c>
      <c r="D520" s="38">
        <v>297.94099999999997</v>
      </c>
      <c r="E520" s="44">
        <v>729.47900000000004</v>
      </c>
      <c r="F520" s="38">
        <v>1150</v>
      </c>
      <c r="G520" s="38">
        <v>100</v>
      </c>
      <c r="H520" s="46">
        <v>600</v>
      </c>
      <c r="I520" s="38">
        <v>695</v>
      </c>
      <c r="J520" s="38">
        <v>50</v>
      </c>
      <c r="K520" s="39"/>
      <c r="L520" s="39"/>
      <c r="M520" s="39"/>
      <c r="N520" s="39"/>
      <c r="O520" s="39"/>
      <c r="P520" s="39"/>
      <c r="Q520" s="39"/>
      <c r="R520" s="39"/>
      <c r="S520" s="39"/>
      <c r="T520" s="39"/>
    </row>
    <row r="521" spans="1:20" ht="15.75">
      <c r="A521" s="13">
        <v>57010</v>
      </c>
      <c r="B521" s="47">
        <v>31</v>
      </c>
      <c r="C521" s="38">
        <v>122.58</v>
      </c>
      <c r="D521" s="38">
        <v>297.94099999999997</v>
      </c>
      <c r="E521" s="44">
        <v>729.47900000000004</v>
      </c>
      <c r="F521" s="38">
        <v>1150</v>
      </c>
      <c r="G521" s="38">
        <v>100</v>
      </c>
      <c r="H521" s="46">
        <v>600</v>
      </c>
      <c r="I521" s="38">
        <v>695</v>
      </c>
      <c r="J521" s="38">
        <v>50</v>
      </c>
      <c r="K521" s="39"/>
      <c r="L521" s="39"/>
      <c r="M521" s="39"/>
      <c r="N521" s="39"/>
      <c r="O521" s="39"/>
      <c r="P521" s="39"/>
      <c r="Q521" s="39"/>
      <c r="R521" s="39"/>
      <c r="S521" s="39"/>
      <c r="T521" s="39"/>
    </row>
    <row r="522" spans="1:20" ht="15.75">
      <c r="A522" s="13">
        <v>57038</v>
      </c>
      <c r="B522" s="47">
        <v>29</v>
      </c>
      <c r="C522" s="38">
        <v>122.58</v>
      </c>
      <c r="D522" s="38">
        <v>297.94099999999997</v>
      </c>
      <c r="E522" s="44">
        <v>729.47900000000004</v>
      </c>
      <c r="F522" s="38">
        <v>1150</v>
      </c>
      <c r="G522" s="38">
        <v>100</v>
      </c>
      <c r="H522" s="46">
        <v>600</v>
      </c>
      <c r="I522" s="38">
        <v>695</v>
      </c>
      <c r="J522" s="38">
        <v>50</v>
      </c>
      <c r="K522" s="39"/>
      <c r="L522" s="39"/>
      <c r="M522" s="39"/>
      <c r="N522" s="39"/>
      <c r="O522" s="39"/>
      <c r="P522" s="39"/>
      <c r="Q522" s="39"/>
      <c r="R522" s="39"/>
      <c r="S522" s="39"/>
      <c r="T522" s="39"/>
    </row>
    <row r="523" spans="1:20" ht="15.75">
      <c r="A523" s="13">
        <v>57070</v>
      </c>
      <c r="B523" s="47">
        <v>31</v>
      </c>
      <c r="C523" s="38">
        <v>122.58</v>
      </c>
      <c r="D523" s="38">
        <v>297.94099999999997</v>
      </c>
      <c r="E523" s="44">
        <v>729.47900000000004</v>
      </c>
      <c r="F523" s="38">
        <v>1150</v>
      </c>
      <c r="G523" s="38">
        <v>100</v>
      </c>
      <c r="H523" s="46">
        <v>600</v>
      </c>
      <c r="I523" s="38">
        <v>695</v>
      </c>
      <c r="J523" s="38">
        <v>50</v>
      </c>
      <c r="K523" s="39"/>
      <c r="L523" s="39"/>
      <c r="M523" s="39"/>
      <c r="N523" s="39"/>
      <c r="O523" s="39"/>
      <c r="P523" s="39"/>
      <c r="Q523" s="39"/>
      <c r="R523" s="39"/>
      <c r="S523" s="39"/>
      <c r="T523" s="39"/>
    </row>
    <row r="524" spans="1:20" ht="15.75">
      <c r="A524" s="13">
        <v>57100</v>
      </c>
      <c r="B524" s="47">
        <v>30</v>
      </c>
      <c r="C524" s="38">
        <v>141.29300000000001</v>
      </c>
      <c r="D524" s="38">
        <v>267.99299999999999</v>
      </c>
      <c r="E524" s="44">
        <v>829.71400000000006</v>
      </c>
      <c r="F524" s="38">
        <v>1239</v>
      </c>
      <c r="G524" s="38">
        <v>100</v>
      </c>
      <c r="H524" s="46">
        <v>600</v>
      </c>
      <c r="I524" s="38">
        <v>695</v>
      </c>
      <c r="J524" s="38">
        <v>50</v>
      </c>
      <c r="K524" s="39"/>
      <c r="L524" s="39"/>
      <c r="M524" s="39"/>
      <c r="N524" s="39"/>
      <c r="O524" s="39"/>
      <c r="P524" s="39"/>
      <c r="Q524" s="39"/>
      <c r="R524" s="39"/>
      <c r="S524" s="39"/>
      <c r="T524" s="39"/>
    </row>
    <row r="525" spans="1:20" ht="15.75">
      <c r="A525" s="13">
        <v>57131</v>
      </c>
      <c r="B525" s="47">
        <v>31</v>
      </c>
      <c r="C525" s="38">
        <v>194.20500000000001</v>
      </c>
      <c r="D525" s="38">
        <v>267.46600000000001</v>
      </c>
      <c r="E525" s="44">
        <v>812.32899999999995</v>
      </c>
      <c r="F525" s="38">
        <v>1274</v>
      </c>
      <c r="G525" s="38">
        <v>75</v>
      </c>
      <c r="H525" s="46">
        <v>600</v>
      </c>
      <c r="I525" s="38">
        <v>695</v>
      </c>
      <c r="J525" s="38">
        <v>50</v>
      </c>
      <c r="K525" s="39"/>
      <c r="L525" s="39"/>
      <c r="M525" s="39"/>
      <c r="N525" s="39"/>
      <c r="O525" s="39"/>
      <c r="P525" s="39"/>
      <c r="Q525" s="39"/>
      <c r="R525" s="39"/>
      <c r="S525" s="39"/>
      <c r="T525" s="39"/>
    </row>
    <row r="526" spans="1:20" ht="15.75">
      <c r="A526" s="13">
        <v>57161</v>
      </c>
      <c r="B526" s="47">
        <v>30</v>
      </c>
      <c r="C526" s="38">
        <v>194.20500000000001</v>
      </c>
      <c r="D526" s="38">
        <v>267.46600000000001</v>
      </c>
      <c r="E526" s="44">
        <v>812.32899999999995</v>
      </c>
      <c r="F526" s="38">
        <v>1274</v>
      </c>
      <c r="G526" s="38">
        <v>50</v>
      </c>
      <c r="H526" s="46">
        <v>600</v>
      </c>
      <c r="I526" s="38">
        <v>695</v>
      </c>
      <c r="J526" s="38">
        <v>50</v>
      </c>
      <c r="K526" s="39"/>
      <c r="L526" s="39"/>
      <c r="M526" s="39"/>
      <c r="N526" s="39"/>
      <c r="O526" s="39"/>
      <c r="P526" s="39"/>
      <c r="Q526" s="39"/>
      <c r="R526" s="39"/>
      <c r="S526" s="39"/>
      <c r="T526" s="39"/>
    </row>
    <row r="527" spans="1:20" ht="15.75">
      <c r="A527" s="13">
        <v>57192</v>
      </c>
      <c r="B527" s="47">
        <v>31</v>
      </c>
      <c r="C527" s="38">
        <v>194.20500000000001</v>
      </c>
      <c r="D527" s="38">
        <v>267.46600000000001</v>
      </c>
      <c r="E527" s="44">
        <v>812.32899999999995</v>
      </c>
      <c r="F527" s="38">
        <v>1274</v>
      </c>
      <c r="G527" s="38">
        <v>50</v>
      </c>
      <c r="H527" s="46">
        <v>600</v>
      </c>
      <c r="I527" s="38">
        <v>695</v>
      </c>
      <c r="J527" s="38">
        <v>0</v>
      </c>
      <c r="K527" s="39"/>
      <c r="L527" s="39"/>
      <c r="M527" s="39"/>
      <c r="N527" s="39"/>
      <c r="O527" s="39"/>
      <c r="P527" s="39"/>
      <c r="Q527" s="39"/>
      <c r="R527" s="39"/>
      <c r="S527" s="39"/>
      <c r="T527" s="39"/>
    </row>
    <row r="528" spans="1:20" ht="15.75">
      <c r="A528" s="13">
        <v>57223</v>
      </c>
      <c r="B528" s="47">
        <v>31</v>
      </c>
      <c r="C528" s="38">
        <v>194.20500000000001</v>
      </c>
      <c r="D528" s="38">
        <v>267.46600000000001</v>
      </c>
      <c r="E528" s="44">
        <v>812.32899999999995</v>
      </c>
      <c r="F528" s="38">
        <v>1274</v>
      </c>
      <c r="G528" s="38">
        <v>50</v>
      </c>
      <c r="H528" s="46">
        <v>600</v>
      </c>
      <c r="I528" s="38">
        <v>695</v>
      </c>
      <c r="J528" s="38">
        <v>0</v>
      </c>
      <c r="K528" s="39"/>
      <c r="L528" s="39"/>
      <c r="M528" s="39"/>
      <c r="N528" s="39"/>
      <c r="O528" s="39"/>
      <c r="P528" s="39"/>
      <c r="Q528" s="39"/>
      <c r="R528" s="39"/>
      <c r="S528" s="39"/>
      <c r="T528" s="39"/>
    </row>
    <row r="529" spans="1:20" ht="15.75">
      <c r="A529" s="13">
        <v>57253</v>
      </c>
      <c r="B529" s="47">
        <v>30</v>
      </c>
      <c r="C529" s="38">
        <v>194.20500000000001</v>
      </c>
      <c r="D529" s="38">
        <v>267.46600000000001</v>
      </c>
      <c r="E529" s="44">
        <v>812.32899999999995</v>
      </c>
      <c r="F529" s="38">
        <v>1274</v>
      </c>
      <c r="G529" s="38">
        <v>50</v>
      </c>
      <c r="H529" s="46">
        <v>600</v>
      </c>
      <c r="I529" s="38">
        <v>695</v>
      </c>
      <c r="J529" s="38">
        <v>0</v>
      </c>
      <c r="K529" s="39"/>
      <c r="L529" s="39"/>
      <c r="M529" s="39"/>
      <c r="N529" s="39"/>
      <c r="O529" s="39"/>
      <c r="P529" s="39"/>
      <c r="Q529" s="39"/>
      <c r="R529" s="39"/>
      <c r="S529" s="39"/>
      <c r="T529" s="39"/>
    </row>
    <row r="530" spans="1:20" ht="15.75">
      <c r="A530" s="13">
        <v>57284</v>
      </c>
      <c r="B530" s="47">
        <v>31</v>
      </c>
      <c r="C530" s="38">
        <v>131.881</v>
      </c>
      <c r="D530" s="38">
        <v>277.16699999999997</v>
      </c>
      <c r="E530" s="44">
        <v>829.952</v>
      </c>
      <c r="F530" s="38">
        <v>1239</v>
      </c>
      <c r="G530" s="38">
        <v>75</v>
      </c>
      <c r="H530" s="46">
        <v>600</v>
      </c>
      <c r="I530" s="38">
        <v>695</v>
      </c>
      <c r="J530" s="38">
        <v>0</v>
      </c>
      <c r="K530" s="39"/>
      <c r="L530" s="39"/>
      <c r="M530" s="39"/>
      <c r="N530" s="39"/>
      <c r="O530" s="39"/>
      <c r="P530" s="39"/>
      <c r="Q530" s="39"/>
      <c r="R530" s="39"/>
      <c r="S530" s="39"/>
      <c r="T530" s="39"/>
    </row>
    <row r="531" spans="1:20" ht="15.75">
      <c r="A531" s="13">
        <v>57314</v>
      </c>
      <c r="B531" s="47">
        <v>30</v>
      </c>
      <c r="C531" s="38">
        <v>122.58</v>
      </c>
      <c r="D531" s="38">
        <v>297.94099999999997</v>
      </c>
      <c r="E531" s="44">
        <v>729.47900000000004</v>
      </c>
      <c r="F531" s="38">
        <v>1150</v>
      </c>
      <c r="G531" s="38">
        <v>100</v>
      </c>
      <c r="H531" s="46">
        <v>600</v>
      </c>
      <c r="I531" s="38">
        <v>695</v>
      </c>
      <c r="J531" s="38">
        <v>50</v>
      </c>
      <c r="K531" s="39"/>
      <c r="L531" s="39"/>
      <c r="M531" s="39"/>
      <c r="N531" s="39"/>
      <c r="O531" s="39"/>
      <c r="P531" s="39"/>
      <c r="Q531" s="39"/>
      <c r="R531" s="39"/>
      <c r="S531" s="39"/>
      <c r="T531" s="39"/>
    </row>
    <row r="532" spans="1:20" ht="15.75">
      <c r="A532" s="13">
        <v>57345</v>
      </c>
      <c r="B532" s="47">
        <v>31</v>
      </c>
      <c r="C532" s="38">
        <v>122.58</v>
      </c>
      <c r="D532" s="38">
        <v>297.94099999999997</v>
      </c>
      <c r="E532" s="44">
        <v>729.47900000000004</v>
      </c>
      <c r="F532" s="38">
        <v>1150</v>
      </c>
      <c r="G532" s="38">
        <v>100</v>
      </c>
      <c r="H532" s="46">
        <v>600</v>
      </c>
      <c r="I532" s="38">
        <v>695</v>
      </c>
      <c r="J532" s="38">
        <v>50</v>
      </c>
      <c r="K532" s="39"/>
      <c r="L532" s="39"/>
      <c r="M532" s="39"/>
      <c r="N532" s="39"/>
      <c r="O532" s="39"/>
      <c r="P532" s="39"/>
      <c r="Q532" s="39"/>
      <c r="R532" s="39"/>
      <c r="S532" s="39"/>
      <c r="T532" s="39"/>
    </row>
    <row r="533" spans="1:20" ht="15.75">
      <c r="A533" s="13">
        <v>57376</v>
      </c>
      <c r="B533" s="47">
        <v>31</v>
      </c>
      <c r="C533" s="38">
        <v>122.58</v>
      </c>
      <c r="D533" s="38">
        <v>297.94099999999997</v>
      </c>
      <c r="E533" s="44">
        <v>729.47900000000004</v>
      </c>
      <c r="F533" s="38">
        <v>1150</v>
      </c>
      <c r="G533" s="38">
        <v>100</v>
      </c>
      <c r="H533" s="46">
        <v>600</v>
      </c>
      <c r="I533" s="38">
        <v>695</v>
      </c>
      <c r="J533" s="38">
        <v>50</v>
      </c>
      <c r="K533" s="39"/>
      <c r="L533" s="39"/>
      <c r="M533" s="39"/>
      <c r="N533" s="39"/>
      <c r="O533" s="39"/>
      <c r="P533" s="39"/>
      <c r="Q533" s="39"/>
      <c r="R533" s="39"/>
      <c r="S533" s="39"/>
      <c r="T533" s="39"/>
    </row>
    <row r="534" spans="1:20" ht="15.75">
      <c r="A534" s="13">
        <v>57404</v>
      </c>
      <c r="B534" s="47">
        <v>28</v>
      </c>
      <c r="C534" s="38">
        <v>122.58</v>
      </c>
      <c r="D534" s="38">
        <v>297.94099999999997</v>
      </c>
      <c r="E534" s="44">
        <v>729.47900000000004</v>
      </c>
      <c r="F534" s="38">
        <v>1150</v>
      </c>
      <c r="G534" s="38">
        <v>100</v>
      </c>
      <c r="H534" s="46">
        <v>600</v>
      </c>
      <c r="I534" s="38">
        <v>695</v>
      </c>
      <c r="J534" s="38">
        <v>50</v>
      </c>
      <c r="K534" s="39"/>
      <c r="L534" s="39"/>
      <c r="M534" s="39"/>
      <c r="N534" s="39"/>
      <c r="O534" s="39"/>
      <c r="P534" s="39"/>
      <c r="Q534" s="39"/>
      <c r="R534" s="39"/>
      <c r="S534" s="39"/>
      <c r="T534" s="39"/>
    </row>
    <row r="535" spans="1:20" ht="15.75">
      <c r="A535" s="13">
        <v>57435</v>
      </c>
      <c r="B535" s="47">
        <v>31</v>
      </c>
      <c r="C535" s="38">
        <v>122.58</v>
      </c>
      <c r="D535" s="38">
        <v>297.94099999999997</v>
      </c>
      <c r="E535" s="44">
        <v>729.47900000000004</v>
      </c>
      <c r="F535" s="38">
        <v>1150</v>
      </c>
      <c r="G535" s="38">
        <v>100</v>
      </c>
      <c r="H535" s="46">
        <v>600</v>
      </c>
      <c r="I535" s="38">
        <v>695</v>
      </c>
      <c r="J535" s="38">
        <v>50</v>
      </c>
      <c r="K535" s="39"/>
      <c r="L535" s="39"/>
      <c r="M535" s="39"/>
      <c r="N535" s="39"/>
      <c r="O535" s="39"/>
      <c r="P535" s="39"/>
      <c r="Q535" s="39"/>
      <c r="R535" s="39"/>
      <c r="S535" s="39"/>
      <c r="T535" s="39"/>
    </row>
    <row r="536" spans="1:20" ht="15.75">
      <c r="A536" s="13">
        <v>57465</v>
      </c>
      <c r="B536" s="47">
        <v>30</v>
      </c>
      <c r="C536" s="38">
        <v>141.29300000000001</v>
      </c>
      <c r="D536" s="38">
        <v>267.99299999999999</v>
      </c>
      <c r="E536" s="44">
        <v>829.71400000000006</v>
      </c>
      <c r="F536" s="38">
        <v>1239</v>
      </c>
      <c r="G536" s="38">
        <v>100</v>
      </c>
      <c r="H536" s="46">
        <v>600</v>
      </c>
      <c r="I536" s="38">
        <v>695</v>
      </c>
      <c r="J536" s="38">
        <v>50</v>
      </c>
      <c r="K536" s="39"/>
      <c r="L536" s="39"/>
      <c r="M536" s="39"/>
      <c r="N536" s="39"/>
      <c r="O536" s="39"/>
      <c r="P536" s="39"/>
      <c r="Q536" s="39"/>
      <c r="R536" s="39"/>
      <c r="S536" s="39"/>
      <c r="T536" s="39"/>
    </row>
    <row r="537" spans="1:20" ht="15.75">
      <c r="A537" s="13">
        <v>57496</v>
      </c>
      <c r="B537" s="47">
        <v>31</v>
      </c>
      <c r="C537" s="38">
        <v>194.20500000000001</v>
      </c>
      <c r="D537" s="38">
        <v>267.46600000000001</v>
      </c>
      <c r="E537" s="44">
        <v>812.32899999999995</v>
      </c>
      <c r="F537" s="38">
        <v>1274</v>
      </c>
      <c r="G537" s="38">
        <v>75</v>
      </c>
      <c r="H537" s="46">
        <v>600</v>
      </c>
      <c r="I537" s="38">
        <v>695</v>
      </c>
      <c r="J537" s="38">
        <v>50</v>
      </c>
      <c r="K537" s="39"/>
      <c r="L537" s="39"/>
      <c r="M537" s="39"/>
      <c r="N537" s="39"/>
      <c r="O537" s="39"/>
      <c r="P537" s="39"/>
      <c r="Q537" s="39"/>
      <c r="R537" s="39"/>
      <c r="S537" s="39"/>
      <c r="T537" s="39"/>
    </row>
    <row r="538" spans="1:20" ht="15.75">
      <c r="A538" s="13">
        <v>57526</v>
      </c>
      <c r="B538" s="47">
        <v>30</v>
      </c>
      <c r="C538" s="38">
        <v>194.20500000000001</v>
      </c>
      <c r="D538" s="38">
        <v>267.46600000000001</v>
      </c>
      <c r="E538" s="44">
        <v>812.32899999999995</v>
      </c>
      <c r="F538" s="38">
        <v>1274</v>
      </c>
      <c r="G538" s="38">
        <v>50</v>
      </c>
      <c r="H538" s="46">
        <v>600</v>
      </c>
      <c r="I538" s="38">
        <v>695</v>
      </c>
      <c r="J538" s="38">
        <v>50</v>
      </c>
      <c r="K538" s="39"/>
      <c r="L538" s="39"/>
      <c r="M538" s="39"/>
      <c r="N538" s="39"/>
      <c r="O538" s="39"/>
      <c r="P538" s="39"/>
      <c r="Q538" s="39"/>
      <c r="R538" s="39"/>
      <c r="S538" s="39"/>
      <c r="T538" s="39"/>
    </row>
    <row r="539" spans="1:20" ht="15.75">
      <c r="A539" s="13">
        <v>57557</v>
      </c>
      <c r="B539" s="47">
        <v>31</v>
      </c>
      <c r="C539" s="38">
        <v>194.20500000000001</v>
      </c>
      <c r="D539" s="38">
        <v>267.46600000000001</v>
      </c>
      <c r="E539" s="44">
        <v>812.32899999999995</v>
      </c>
      <c r="F539" s="38">
        <v>1274</v>
      </c>
      <c r="G539" s="38">
        <v>50</v>
      </c>
      <c r="H539" s="46">
        <v>600</v>
      </c>
      <c r="I539" s="38">
        <v>695</v>
      </c>
      <c r="J539" s="38">
        <v>0</v>
      </c>
      <c r="K539" s="39"/>
      <c r="L539" s="39"/>
      <c r="M539" s="39"/>
      <c r="N539" s="39"/>
      <c r="O539" s="39"/>
      <c r="P539" s="39"/>
      <c r="Q539" s="39"/>
      <c r="R539" s="39"/>
      <c r="S539" s="39"/>
      <c r="T539" s="39"/>
    </row>
    <row r="540" spans="1:20" ht="15.75">
      <c r="A540" s="13">
        <v>57588</v>
      </c>
      <c r="B540" s="47">
        <v>31</v>
      </c>
      <c r="C540" s="38">
        <v>194.20500000000001</v>
      </c>
      <c r="D540" s="38">
        <v>267.46600000000001</v>
      </c>
      <c r="E540" s="44">
        <v>812.32899999999995</v>
      </c>
      <c r="F540" s="38">
        <v>1274</v>
      </c>
      <c r="G540" s="38">
        <v>50</v>
      </c>
      <c r="H540" s="46">
        <v>600</v>
      </c>
      <c r="I540" s="38">
        <v>695</v>
      </c>
      <c r="J540" s="38">
        <v>0</v>
      </c>
      <c r="K540" s="39"/>
      <c r="L540" s="39"/>
      <c r="M540" s="39"/>
      <c r="N540" s="39"/>
      <c r="O540" s="39"/>
      <c r="P540" s="39"/>
      <c r="Q540" s="39"/>
      <c r="R540" s="39"/>
      <c r="S540" s="39"/>
      <c r="T540" s="39"/>
    </row>
    <row r="541" spans="1:20" ht="15.75">
      <c r="A541" s="13">
        <v>57618</v>
      </c>
      <c r="B541" s="47">
        <v>30</v>
      </c>
      <c r="C541" s="38">
        <v>194.20500000000001</v>
      </c>
      <c r="D541" s="38">
        <v>267.46600000000001</v>
      </c>
      <c r="E541" s="44">
        <v>812.32899999999995</v>
      </c>
      <c r="F541" s="38">
        <v>1274</v>
      </c>
      <c r="G541" s="38">
        <v>50</v>
      </c>
      <c r="H541" s="46">
        <v>600</v>
      </c>
      <c r="I541" s="38">
        <v>695</v>
      </c>
      <c r="J541" s="38">
        <v>0</v>
      </c>
      <c r="K541" s="39"/>
      <c r="L541" s="39"/>
      <c r="M541" s="39"/>
      <c r="N541" s="39"/>
      <c r="O541" s="39"/>
      <c r="P541" s="39"/>
      <c r="Q541" s="39"/>
      <c r="R541" s="39"/>
      <c r="S541" s="39"/>
      <c r="T541" s="39"/>
    </row>
    <row r="542" spans="1:20" ht="15.75">
      <c r="A542" s="13">
        <v>57649</v>
      </c>
      <c r="B542" s="47">
        <v>31</v>
      </c>
      <c r="C542" s="38">
        <v>131.881</v>
      </c>
      <c r="D542" s="38">
        <v>277.16699999999997</v>
      </c>
      <c r="E542" s="44">
        <v>829.952</v>
      </c>
      <c r="F542" s="38">
        <v>1239</v>
      </c>
      <c r="G542" s="38">
        <v>75</v>
      </c>
      <c r="H542" s="46">
        <v>600</v>
      </c>
      <c r="I542" s="38">
        <v>695</v>
      </c>
      <c r="J542" s="38">
        <v>0</v>
      </c>
      <c r="K542" s="39"/>
      <c r="L542" s="39"/>
      <c r="M542" s="39"/>
      <c r="N542" s="39"/>
      <c r="O542" s="39"/>
      <c r="P542" s="39"/>
      <c r="Q542" s="39"/>
      <c r="R542" s="39"/>
      <c r="S542" s="39"/>
      <c r="T542" s="39"/>
    </row>
    <row r="543" spans="1:20" ht="15.75">
      <c r="A543" s="13">
        <v>57679</v>
      </c>
      <c r="B543" s="47">
        <v>30</v>
      </c>
      <c r="C543" s="38">
        <v>122.58</v>
      </c>
      <c r="D543" s="38">
        <v>297.94099999999997</v>
      </c>
      <c r="E543" s="44">
        <v>729.47900000000004</v>
      </c>
      <c r="F543" s="38">
        <v>1150</v>
      </c>
      <c r="G543" s="38">
        <v>100</v>
      </c>
      <c r="H543" s="46">
        <v>600</v>
      </c>
      <c r="I543" s="38">
        <v>695</v>
      </c>
      <c r="J543" s="38">
        <v>50</v>
      </c>
      <c r="K543" s="39"/>
      <c r="L543" s="39"/>
      <c r="M543" s="39"/>
      <c r="N543" s="39"/>
      <c r="O543" s="39"/>
      <c r="P543" s="39"/>
      <c r="Q543" s="39"/>
      <c r="R543" s="39"/>
      <c r="S543" s="39"/>
      <c r="T543" s="39"/>
    </row>
    <row r="544" spans="1:20" ht="15.75">
      <c r="A544" s="13">
        <v>57710</v>
      </c>
      <c r="B544" s="47">
        <v>31</v>
      </c>
      <c r="C544" s="38">
        <v>122.58</v>
      </c>
      <c r="D544" s="38">
        <v>297.94099999999997</v>
      </c>
      <c r="E544" s="44">
        <v>729.47900000000004</v>
      </c>
      <c r="F544" s="38">
        <v>1150</v>
      </c>
      <c r="G544" s="38">
        <v>100</v>
      </c>
      <c r="H544" s="46">
        <v>600</v>
      </c>
      <c r="I544" s="38">
        <v>695</v>
      </c>
      <c r="J544" s="38">
        <v>50</v>
      </c>
      <c r="K544" s="39"/>
      <c r="L544" s="39"/>
      <c r="M544" s="39"/>
      <c r="N544" s="39"/>
      <c r="O544" s="39"/>
      <c r="P544" s="39"/>
      <c r="Q544" s="39"/>
      <c r="R544" s="39"/>
      <c r="S544" s="39"/>
      <c r="T544" s="39"/>
    </row>
    <row r="545" spans="1:20" ht="15.75">
      <c r="A545" s="13">
        <v>57741</v>
      </c>
      <c r="B545" s="47">
        <v>31</v>
      </c>
      <c r="C545" s="38">
        <v>122.58</v>
      </c>
      <c r="D545" s="38">
        <v>297.94099999999997</v>
      </c>
      <c r="E545" s="44">
        <v>729.47900000000004</v>
      </c>
      <c r="F545" s="38">
        <v>1150</v>
      </c>
      <c r="G545" s="38">
        <v>100</v>
      </c>
      <c r="H545" s="46">
        <v>600</v>
      </c>
      <c r="I545" s="38">
        <v>695</v>
      </c>
      <c r="J545" s="38">
        <v>50</v>
      </c>
      <c r="K545" s="39"/>
      <c r="L545" s="39"/>
      <c r="M545" s="39"/>
      <c r="N545" s="39"/>
      <c r="O545" s="39"/>
      <c r="P545" s="39"/>
      <c r="Q545" s="39"/>
      <c r="R545" s="39"/>
      <c r="S545" s="39"/>
      <c r="T545" s="39"/>
    </row>
    <row r="546" spans="1:20" ht="15.75">
      <c r="A546" s="13">
        <v>57769</v>
      </c>
      <c r="B546" s="47">
        <v>28</v>
      </c>
      <c r="C546" s="38">
        <v>122.58</v>
      </c>
      <c r="D546" s="38">
        <v>297.94099999999997</v>
      </c>
      <c r="E546" s="44">
        <v>729.47900000000004</v>
      </c>
      <c r="F546" s="38">
        <v>1150</v>
      </c>
      <c r="G546" s="38">
        <v>100</v>
      </c>
      <c r="H546" s="46">
        <v>600</v>
      </c>
      <c r="I546" s="38">
        <v>695</v>
      </c>
      <c r="J546" s="38">
        <v>50</v>
      </c>
      <c r="K546" s="39"/>
      <c r="L546" s="39"/>
      <c r="M546" s="39"/>
      <c r="N546" s="39"/>
      <c r="O546" s="39"/>
      <c r="P546" s="39"/>
      <c r="Q546" s="39"/>
      <c r="R546" s="39"/>
      <c r="S546" s="39"/>
      <c r="T546" s="39"/>
    </row>
    <row r="547" spans="1:20" ht="15.75">
      <c r="A547" s="13">
        <v>57800</v>
      </c>
      <c r="B547" s="47">
        <v>31</v>
      </c>
      <c r="C547" s="38">
        <v>122.58</v>
      </c>
      <c r="D547" s="38">
        <v>297.94099999999997</v>
      </c>
      <c r="E547" s="44">
        <v>729.47900000000004</v>
      </c>
      <c r="F547" s="38">
        <v>1150</v>
      </c>
      <c r="G547" s="38">
        <v>100</v>
      </c>
      <c r="H547" s="46">
        <v>600</v>
      </c>
      <c r="I547" s="38">
        <v>695</v>
      </c>
      <c r="J547" s="38">
        <v>50</v>
      </c>
      <c r="K547" s="39"/>
      <c r="L547" s="39"/>
      <c r="M547" s="39"/>
      <c r="N547" s="39"/>
      <c r="O547" s="39"/>
      <c r="P547" s="39"/>
      <c r="Q547" s="39"/>
      <c r="R547" s="39"/>
      <c r="S547" s="39"/>
      <c r="T547" s="39"/>
    </row>
    <row r="548" spans="1:20" ht="15.75">
      <c r="A548" s="13">
        <v>57830</v>
      </c>
      <c r="B548" s="47">
        <v>30</v>
      </c>
      <c r="C548" s="38">
        <v>141.29300000000001</v>
      </c>
      <c r="D548" s="38">
        <v>267.99299999999999</v>
      </c>
      <c r="E548" s="44">
        <v>829.71400000000006</v>
      </c>
      <c r="F548" s="38">
        <v>1239</v>
      </c>
      <c r="G548" s="38">
        <v>100</v>
      </c>
      <c r="H548" s="46">
        <v>600</v>
      </c>
      <c r="I548" s="38">
        <v>695</v>
      </c>
      <c r="J548" s="38">
        <v>50</v>
      </c>
      <c r="K548" s="39"/>
      <c r="L548" s="39"/>
      <c r="M548" s="39"/>
      <c r="N548" s="39"/>
      <c r="O548" s="39"/>
      <c r="P548" s="39"/>
      <c r="Q548" s="39"/>
      <c r="R548" s="39"/>
      <c r="S548" s="39"/>
      <c r="T548" s="39"/>
    </row>
    <row r="549" spans="1:20" ht="15.75">
      <c r="A549" s="13">
        <v>57861</v>
      </c>
      <c r="B549" s="47">
        <v>31</v>
      </c>
      <c r="C549" s="38">
        <v>194.20500000000001</v>
      </c>
      <c r="D549" s="38">
        <v>267.46600000000001</v>
      </c>
      <c r="E549" s="44">
        <v>812.32899999999995</v>
      </c>
      <c r="F549" s="38">
        <v>1274</v>
      </c>
      <c r="G549" s="38">
        <v>75</v>
      </c>
      <c r="H549" s="46">
        <v>600</v>
      </c>
      <c r="I549" s="38">
        <v>695</v>
      </c>
      <c r="J549" s="38">
        <v>50</v>
      </c>
      <c r="K549" s="39"/>
      <c r="L549" s="39"/>
      <c r="M549" s="39"/>
      <c r="N549" s="39"/>
      <c r="O549" s="39"/>
      <c r="P549" s="39"/>
      <c r="Q549" s="39"/>
      <c r="R549" s="39"/>
      <c r="S549" s="39"/>
      <c r="T549" s="39"/>
    </row>
    <row r="550" spans="1:20" ht="15.75">
      <c r="A550" s="13">
        <v>57891</v>
      </c>
      <c r="B550" s="47">
        <v>30</v>
      </c>
      <c r="C550" s="38">
        <v>194.20500000000001</v>
      </c>
      <c r="D550" s="38">
        <v>267.46600000000001</v>
      </c>
      <c r="E550" s="44">
        <v>812.32899999999995</v>
      </c>
      <c r="F550" s="38">
        <v>1274</v>
      </c>
      <c r="G550" s="38">
        <v>50</v>
      </c>
      <c r="H550" s="46">
        <v>600</v>
      </c>
      <c r="I550" s="38">
        <v>695</v>
      </c>
      <c r="J550" s="38">
        <v>50</v>
      </c>
      <c r="K550" s="39"/>
      <c r="L550" s="39"/>
      <c r="M550" s="39"/>
      <c r="N550" s="39"/>
      <c r="O550" s="39"/>
      <c r="P550" s="39"/>
      <c r="Q550" s="39"/>
      <c r="R550" s="39"/>
      <c r="S550" s="39"/>
      <c r="T550" s="39"/>
    </row>
    <row r="551" spans="1:20" ht="15.75">
      <c r="A551" s="13">
        <v>57922</v>
      </c>
      <c r="B551" s="47">
        <v>31</v>
      </c>
      <c r="C551" s="38">
        <v>194.20500000000001</v>
      </c>
      <c r="D551" s="38">
        <v>267.46600000000001</v>
      </c>
      <c r="E551" s="44">
        <v>812.32899999999995</v>
      </c>
      <c r="F551" s="38">
        <v>1274</v>
      </c>
      <c r="G551" s="38">
        <v>50</v>
      </c>
      <c r="H551" s="46">
        <v>600</v>
      </c>
      <c r="I551" s="38">
        <v>695</v>
      </c>
      <c r="J551" s="38">
        <v>0</v>
      </c>
      <c r="K551" s="39"/>
      <c r="L551" s="39"/>
      <c r="M551" s="39"/>
      <c r="N551" s="39"/>
      <c r="O551" s="39"/>
      <c r="P551" s="39"/>
      <c r="Q551" s="39"/>
      <c r="R551" s="39"/>
      <c r="S551" s="39"/>
      <c r="T551" s="39"/>
    </row>
    <row r="552" spans="1:20" ht="15.75">
      <c r="A552" s="13">
        <v>57953</v>
      </c>
      <c r="B552" s="47">
        <v>31</v>
      </c>
      <c r="C552" s="38">
        <v>194.20500000000001</v>
      </c>
      <c r="D552" s="38">
        <v>267.46600000000001</v>
      </c>
      <c r="E552" s="44">
        <v>812.32899999999995</v>
      </c>
      <c r="F552" s="38">
        <v>1274</v>
      </c>
      <c r="G552" s="38">
        <v>50</v>
      </c>
      <c r="H552" s="46">
        <v>600</v>
      </c>
      <c r="I552" s="38">
        <v>695</v>
      </c>
      <c r="J552" s="38">
        <v>0</v>
      </c>
      <c r="K552" s="39"/>
      <c r="L552" s="39"/>
      <c r="M552" s="39"/>
      <c r="N552" s="39"/>
      <c r="O552" s="39"/>
      <c r="P552" s="39"/>
      <c r="Q552" s="39"/>
      <c r="R552" s="39"/>
      <c r="S552" s="39"/>
      <c r="T552" s="39"/>
    </row>
    <row r="553" spans="1:20" ht="15.75">
      <c r="A553" s="13">
        <v>57983</v>
      </c>
      <c r="B553" s="47">
        <v>30</v>
      </c>
      <c r="C553" s="38">
        <v>194.20500000000001</v>
      </c>
      <c r="D553" s="38">
        <v>267.46600000000001</v>
      </c>
      <c r="E553" s="44">
        <v>812.32899999999995</v>
      </c>
      <c r="F553" s="38">
        <v>1274</v>
      </c>
      <c r="G553" s="38">
        <v>50</v>
      </c>
      <c r="H553" s="46">
        <v>600</v>
      </c>
      <c r="I553" s="38">
        <v>695</v>
      </c>
      <c r="J553" s="38">
        <v>0</v>
      </c>
      <c r="K553" s="39"/>
      <c r="L553" s="39"/>
      <c r="M553" s="39"/>
      <c r="N553" s="39"/>
      <c r="O553" s="39"/>
      <c r="P553" s="39"/>
      <c r="Q553" s="39"/>
      <c r="R553" s="39"/>
      <c r="S553" s="39"/>
      <c r="T553" s="39"/>
    </row>
    <row r="554" spans="1:20" ht="15.75">
      <c r="A554" s="13">
        <v>58014</v>
      </c>
      <c r="B554" s="47">
        <v>31</v>
      </c>
      <c r="C554" s="38">
        <v>131.881</v>
      </c>
      <c r="D554" s="38">
        <v>277.16699999999997</v>
      </c>
      <c r="E554" s="44">
        <v>829.952</v>
      </c>
      <c r="F554" s="38">
        <v>1239</v>
      </c>
      <c r="G554" s="38">
        <v>75</v>
      </c>
      <c r="H554" s="46">
        <v>600</v>
      </c>
      <c r="I554" s="38">
        <v>695</v>
      </c>
      <c r="J554" s="38">
        <v>0</v>
      </c>
      <c r="K554" s="39"/>
      <c r="L554" s="39"/>
      <c r="M554" s="39"/>
      <c r="N554" s="39"/>
      <c r="O554" s="39"/>
      <c r="P554" s="39"/>
      <c r="Q554" s="39"/>
      <c r="R554" s="39"/>
      <c r="S554" s="39"/>
      <c r="T554" s="39"/>
    </row>
    <row r="555" spans="1:20" ht="15.75">
      <c r="A555" s="13">
        <v>58044</v>
      </c>
      <c r="B555" s="47">
        <v>30</v>
      </c>
      <c r="C555" s="38">
        <v>122.58</v>
      </c>
      <c r="D555" s="38">
        <v>297.94099999999997</v>
      </c>
      <c r="E555" s="44">
        <v>729.47900000000004</v>
      </c>
      <c r="F555" s="38">
        <v>1150</v>
      </c>
      <c r="G555" s="38">
        <v>100</v>
      </c>
      <c r="H555" s="46">
        <v>600</v>
      </c>
      <c r="I555" s="38">
        <v>695</v>
      </c>
      <c r="J555" s="38">
        <v>50</v>
      </c>
      <c r="K555" s="39"/>
      <c r="L555" s="39"/>
      <c r="M555" s="39"/>
      <c r="N555" s="39"/>
      <c r="O555" s="39"/>
      <c r="P555" s="39"/>
      <c r="Q555" s="39"/>
      <c r="R555" s="39"/>
      <c r="S555" s="39"/>
      <c r="T555" s="39"/>
    </row>
    <row r="556" spans="1:20" ht="15.75">
      <c r="A556" s="13">
        <v>58075</v>
      </c>
      <c r="B556" s="47">
        <v>31</v>
      </c>
      <c r="C556" s="38">
        <v>122.58</v>
      </c>
      <c r="D556" s="38">
        <v>297.94099999999997</v>
      </c>
      <c r="E556" s="44">
        <v>729.47900000000004</v>
      </c>
      <c r="F556" s="38">
        <v>1150</v>
      </c>
      <c r="G556" s="38">
        <v>100</v>
      </c>
      <c r="H556" s="46">
        <v>600</v>
      </c>
      <c r="I556" s="38">
        <v>695</v>
      </c>
      <c r="J556" s="38">
        <v>50</v>
      </c>
      <c r="K556" s="39"/>
      <c r="L556" s="39"/>
      <c r="M556" s="39"/>
      <c r="N556" s="39"/>
      <c r="O556" s="39"/>
      <c r="P556" s="39"/>
      <c r="Q556" s="39"/>
      <c r="R556" s="39"/>
      <c r="S556" s="39"/>
      <c r="T556" s="39"/>
    </row>
    <row r="557" spans="1:20" ht="15.75">
      <c r="A557" s="13">
        <v>58106</v>
      </c>
      <c r="B557" s="47">
        <v>31</v>
      </c>
      <c r="C557" s="38">
        <v>122.58</v>
      </c>
      <c r="D557" s="38">
        <v>297.94099999999997</v>
      </c>
      <c r="E557" s="44">
        <v>729.47900000000004</v>
      </c>
      <c r="F557" s="38">
        <v>1150</v>
      </c>
      <c r="G557" s="38">
        <v>100</v>
      </c>
      <c r="H557" s="46">
        <v>600</v>
      </c>
      <c r="I557" s="38">
        <v>695</v>
      </c>
      <c r="J557" s="38">
        <v>50</v>
      </c>
      <c r="K557" s="39"/>
      <c r="L557" s="39"/>
      <c r="M557" s="39"/>
      <c r="N557" s="39"/>
      <c r="O557" s="39"/>
      <c r="P557" s="39"/>
      <c r="Q557" s="39"/>
      <c r="R557" s="39"/>
      <c r="S557" s="39"/>
      <c r="T557" s="39"/>
    </row>
    <row r="558" spans="1:20" ht="15.75">
      <c r="A558" s="13">
        <v>58134</v>
      </c>
      <c r="B558" s="47">
        <v>28</v>
      </c>
      <c r="C558" s="38">
        <v>122.58</v>
      </c>
      <c r="D558" s="38">
        <v>297.94099999999997</v>
      </c>
      <c r="E558" s="44">
        <v>729.47900000000004</v>
      </c>
      <c r="F558" s="38">
        <v>1150</v>
      </c>
      <c r="G558" s="38">
        <v>100</v>
      </c>
      <c r="H558" s="46">
        <v>600</v>
      </c>
      <c r="I558" s="38">
        <v>695</v>
      </c>
      <c r="J558" s="38">
        <v>50</v>
      </c>
      <c r="K558" s="39"/>
      <c r="L558" s="39"/>
      <c r="M558" s="39"/>
      <c r="N558" s="39"/>
      <c r="O558" s="39"/>
      <c r="P558" s="39"/>
      <c r="Q558" s="39"/>
      <c r="R558" s="39"/>
      <c r="S558" s="39"/>
      <c r="T558" s="39"/>
    </row>
    <row r="559" spans="1:20" ht="15.75">
      <c r="A559" s="13">
        <v>58165</v>
      </c>
      <c r="B559" s="47">
        <v>31</v>
      </c>
      <c r="C559" s="38">
        <v>122.58</v>
      </c>
      <c r="D559" s="38">
        <v>297.94099999999997</v>
      </c>
      <c r="E559" s="44">
        <v>729.47900000000004</v>
      </c>
      <c r="F559" s="38">
        <v>1150</v>
      </c>
      <c r="G559" s="38">
        <v>100</v>
      </c>
      <c r="H559" s="46">
        <v>600</v>
      </c>
      <c r="I559" s="38">
        <v>695</v>
      </c>
      <c r="J559" s="38">
        <v>50</v>
      </c>
      <c r="K559" s="39"/>
      <c r="L559" s="39"/>
      <c r="M559" s="39"/>
      <c r="N559" s="39"/>
      <c r="O559" s="39"/>
      <c r="P559" s="39"/>
      <c r="Q559" s="39"/>
      <c r="R559" s="39"/>
      <c r="S559" s="39"/>
      <c r="T559" s="39"/>
    </row>
    <row r="560" spans="1:20" ht="15.75">
      <c r="A560" s="13">
        <v>58195</v>
      </c>
      <c r="B560" s="47">
        <v>30</v>
      </c>
      <c r="C560" s="38">
        <v>141.29300000000001</v>
      </c>
      <c r="D560" s="38">
        <v>267.99299999999999</v>
      </c>
      <c r="E560" s="44">
        <v>829.71400000000006</v>
      </c>
      <c r="F560" s="38">
        <v>1239</v>
      </c>
      <c r="G560" s="38">
        <v>100</v>
      </c>
      <c r="H560" s="46">
        <v>600</v>
      </c>
      <c r="I560" s="38">
        <v>695</v>
      </c>
      <c r="J560" s="38">
        <v>50</v>
      </c>
      <c r="K560" s="39"/>
      <c r="L560" s="39"/>
      <c r="M560" s="39"/>
      <c r="N560" s="39"/>
      <c r="O560" s="39"/>
      <c r="P560" s="39"/>
      <c r="Q560" s="39"/>
      <c r="R560" s="39"/>
      <c r="S560" s="39"/>
      <c r="T560" s="39"/>
    </row>
    <row r="561" spans="1:20" ht="15.75">
      <c r="A561" s="13">
        <v>58226</v>
      </c>
      <c r="B561" s="47">
        <v>31</v>
      </c>
      <c r="C561" s="38">
        <v>194.20500000000001</v>
      </c>
      <c r="D561" s="38">
        <v>267.46600000000001</v>
      </c>
      <c r="E561" s="44">
        <v>812.32899999999995</v>
      </c>
      <c r="F561" s="38">
        <v>1274</v>
      </c>
      <c r="G561" s="38">
        <v>75</v>
      </c>
      <c r="H561" s="46">
        <v>600</v>
      </c>
      <c r="I561" s="38">
        <v>695</v>
      </c>
      <c r="J561" s="38">
        <v>50</v>
      </c>
      <c r="K561" s="39"/>
      <c r="L561" s="39"/>
      <c r="M561" s="39"/>
      <c r="N561" s="39"/>
      <c r="O561" s="39"/>
      <c r="P561" s="39"/>
      <c r="Q561" s="39"/>
      <c r="R561" s="39"/>
      <c r="S561" s="39"/>
      <c r="T561" s="39"/>
    </row>
    <row r="562" spans="1:20" ht="15.75">
      <c r="A562" s="13">
        <v>58256</v>
      </c>
      <c r="B562" s="47">
        <v>30</v>
      </c>
      <c r="C562" s="38">
        <v>194.20500000000001</v>
      </c>
      <c r="D562" s="38">
        <v>267.46600000000001</v>
      </c>
      <c r="E562" s="44">
        <v>812.32899999999995</v>
      </c>
      <c r="F562" s="38">
        <v>1274</v>
      </c>
      <c r="G562" s="38">
        <v>50</v>
      </c>
      <c r="H562" s="46">
        <v>600</v>
      </c>
      <c r="I562" s="38">
        <v>695</v>
      </c>
      <c r="J562" s="38">
        <v>50</v>
      </c>
      <c r="K562" s="39"/>
      <c r="L562" s="39"/>
      <c r="M562" s="39"/>
      <c r="N562" s="39"/>
      <c r="O562" s="39"/>
      <c r="P562" s="39"/>
      <c r="Q562" s="39"/>
      <c r="R562" s="39"/>
      <c r="S562" s="39"/>
      <c r="T562" s="39"/>
    </row>
    <row r="563" spans="1:20" ht="15.75">
      <c r="A563" s="13">
        <v>58287</v>
      </c>
      <c r="B563" s="47">
        <v>31</v>
      </c>
      <c r="C563" s="38">
        <v>194.20500000000001</v>
      </c>
      <c r="D563" s="38">
        <v>267.46600000000001</v>
      </c>
      <c r="E563" s="44">
        <v>812.32899999999995</v>
      </c>
      <c r="F563" s="38">
        <v>1274</v>
      </c>
      <c r="G563" s="38">
        <v>50</v>
      </c>
      <c r="H563" s="46">
        <v>600</v>
      </c>
      <c r="I563" s="38">
        <v>695</v>
      </c>
      <c r="J563" s="38">
        <v>0</v>
      </c>
      <c r="K563" s="39"/>
      <c r="L563" s="39"/>
      <c r="M563" s="39"/>
      <c r="N563" s="39"/>
      <c r="O563" s="39"/>
      <c r="P563" s="39"/>
      <c r="Q563" s="39"/>
      <c r="R563" s="39"/>
      <c r="S563" s="39"/>
      <c r="T563" s="39"/>
    </row>
    <row r="564" spans="1:20" ht="15.75">
      <c r="A564" s="13">
        <v>58318</v>
      </c>
      <c r="B564" s="47">
        <v>31</v>
      </c>
      <c r="C564" s="38">
        <v>194.20500000000001</v>
      </c>
      <c r="D564" s="38">
        <v>267.46600000000001</v>
      </c>
      <c r="E564" s="44">
        <v>812.32899999999995</v>
      </c>
      <c r="F564" s="38">
        <v>1274</v>
      </c>
      <c r="G564" s="38">
        <v>50</v>
      </c>
      <c r="H564" s="46">
        <v>600</v>
      </c>
      <c r="I564" s="38">
        <v>695</v>
      </c>
      <c r="J564" s="38">
        <v>0</v>
      </c>
      <c r="K564" s="39"/>
      <c r="L564" s="39"/>
      <c r="M564" s="39"/>
      <c r="N564" s="39"/>
      <c r="O564" s="39"/>
      <c r="P564" s="39"/>
      <c r="Q564" s="39"/>
      <c r="R564" s="39"/>
      <c r="S564" s="39"/>
      <c r="T564" s="39"/>
    </row>
    <row r="565" spans="1:20" ht="15.75">
      <c r="A565" s="13">
        <v>58348</v>
      </c>
      <c r="B565" s="47">
        <v>30</v>
      </c>
      <c r="C565" s="38">
        <v>194.20500000000001</v>
      </c>
      <c r="D565" s="38">
        <v>267.46600000000001</v>
      </c>
      <c r="E565" s="44">
        <v>812.32899999999995</v>
      </c>
      <c r="F565" s="38">
        <v>1274</v>
      </c>
      <c r="G565" s="38">
        <v>50</v>
      </c>
      <c r="H565" s="46">
        <v>600</v>
      </c>
      <c r="I565" s="38">
        <v>695</v>
      </c>
      <c r="J565" s="38">
        <v>0</v>
      </c>
      <c r="K565" s="39"/>
      <c r="L565" s="39"/>
      <c r="M565" s="39"/>
      <c r="N565" s="39"/>
      <c r="O565" s="39"/>
      <c r="P565" s="39"/>
      <c r="Q565" s="39"/>
      <c r="R565" s="39"/>
      <c r="S565" s="39"/>
      <c r="T565" s="39"/>
    </row>
    <row r="566" spans="1:20" ht="15.75">
      <c r="A566" s="13">
        <v>58379</v>
      </c>
      <c r="B566" s="47">
        <v>31</v>
      </c>
      <c r="C566" s="38">
        <v>131.881</v>
      </c>
      <c r="D566" s="38">
        <v>277.16699999999997</v>
      </c>
      <c r="E566" s="44">
        <v>829.952</v>
      </c>
      <c r="F566" s="38">
        <v>1239</v>
      </c>
      <c r="G566" s="38">
        <v>75</v>
      </c>
      <c r="H566" s="46">
        <v>600</v>
      </c>
      <c r="I566" s="38">
        <v>695</v>
      </c>
      <c r="J566" s="38">
        <v>0</v>
      </c>
      <c r="K566" s="39"/>
      <c r="L566" s="39"/>
      <c r="M566" s="39"/>
      <c r="N566" s="39"/>
      <c r="O566" s="39"/>
      <c r="P566" s="39"/>
      <c r="Q566" s="39"/>
      <c r="R566" s="39"/>
      <c r="S566" s="39"/>
      <c r="T566" s="39"/>
    </row>
    <row r="567" spans="1:20" ht="15.75">
      <c r="A567" s="13">
        <v>58409</v>
      </c>
      <c r="B567" s="47">
        <v>30</v>
      </c>
      <c r="C567" s="38">
        <v>122.58</v>
      </c>
      <c r="D567" s="38">
        <v>297.94099999999997</v>
      </c>
      <c r="E567" s="44">
        <v>729.47900000000004</v>
      </c>
      <c r="F567" s="38">
        <v>1150</v>
      </c>
      <c r="G567" s="38">
        <v>100</v>
      </c>
      <c r="H567" s="46">
        <v>600</v>
      </c>
      <c r="I567" s="38">
        <v>695</v>
      </c>
      <c r="J567" s="38">
        <v>50</v>
      </c>
      <c r="K567" s="39"/>
      <c r="L567" s="39"/>
      <c r="M567" s="39"/>
      <c r="N567" s="39"/>
      <c r="O567" s="39"/>
      <c r="P567" s="39"/>
      <c r="Q567" s="39"/>
      <c r="R567" s="39"/>
      <c r="S567" s="39"/>
      <c r="T567" s="39"/>
    </row>
    <row r="568" spans="1:20" ht="15.75">
      <c r="A568" s="13">
        <v>58440</v>
      </c>
      <c r="B568" s="47">
        <v>31</v>
      </c>
      <c r="C568" s="38">
        <v>122.58</v>
      </c>
      <c r="D568" s="38">
        <v>297.94099999999997</v>
      </c>
      <c r="E568" s="44">
        <v>729.47900000000004</v>
      </c>
      <c r="F568" s="38">
        <v>1150</v>
      </c>
      <c r="G568" s="38">
        <v>100</v>
      </c>
      <c r="H568" s="46">
        <v>600</v>
      </c>
      <c r="I568" s="38">
        <v>695</v>
      </c>
      <c r="J568" s="38">
        <v>50</v>
      </c>
      <c r="K568" s="39"/>
      <c r="L568" s="39"/>
      <c r="M568" s="39"/>
      <c r="N568" s="39"/>
      <c r="O568" s="39"/>
      <c r="P568" s="39"/>
      <c r="Q568" s="39"/>
      <c r="R568" s="39"/>
      <c r="S568" s="39"/>
      <c r="T568" s="39"/>
    </row>
    <row r="569" spans="1:20" ht="15.75">
      <c r="A569" s="13">
        <v>58471</v>
      </c>
      <c r="B569" s="47">
        <v>31</v>
      </c>
      <c r="C569" s="38">
        <v>122.58</v>
      </c>
      <c r="D569" s="38">
        <v>297.94099999999997</v>
      </c>
      <c r="E569" s="44">
        <v>729.47900000000004</v>
      </c>
      <c r="F569" s="38">
        <v>1150</v>
      </c>
      <c r="G569" s="38">
        <v>100</v>
      </c>
      <c r="H569" s="46">
        <v>600</v>
      </c>
      <c r="I569" s="38">
        <v>695</v>
      </c>
      <c r="J569" s="38">
        <v>50</v>
      </c>
      <c r="K569" s="39"/>
      <c r="L569" s="39"/>
      <c r="M569" s="39"/>
      <c r="N569" s="39"/>
      <c r="O569" s="39"/>
      <c r="P569" s="39"/>
      <c r="Q569" s="39"/>
      <c r="R569" s="39"/>
      <c r="S569" s="39"/>
      <c r="T569" s="39"/>
    </row>
    <row r="570" spans="1:20" ht="15.75">
      <c r="A570" s="13">
        <v>58499</v>
      </c>
      <c r="B570" s="47">
        <v>29</v>
      </c>
      <c r="C570" s="38">
        <v>122.58</v>
      </c>
      <c r="D570" s="38">
        <v>297.94099999999997</v>
      </c>
      <c r="E570" s="44">
        <v>729.47900000000004</v>
      </c>
      <c r="F570" s="38">
        <v>1150</v>
      </c>
      <c r="G570" s="38">
        <v>100</v>
      </c>
      <c r="H570" s="46">
        <v>600</v>
      </c>
      <c r="I570" s="38">
        <v>695</v>
      </c>
      <c r="J570" s="38">
        <v>50</v>
      </c>
      <c r="K570" s="39"/>
      <c r="L570" s="39"/>
      <c r="M570" s="39"/>
      <c r="N570" s="39"/>
      <c r="O570" s="39"/>
      <c r="P570" s="39"/>
      <c r="Q570" s="39"/>
      <c r="R570" s="39"/>
      <c r="S570" s="39"/>
      <c r="T570" s="39"/>
    </row>
    <row r="571" spans="1:20" ht="15.75">
      <c r="A571" s="13">
        <v>58531</v>
      </c>
      <c r="B571" s="47">
        <v>31</v>
      </c>
      <c r="C571" s="38">
        <v>122.58</v>
      </c>
      <c r="D571" s="38">
        <v>297.94099999999997</v>
      </c>
      <c r="E571" s="44">
        <v>729.47900000000004</v>
      </c>
      <c r="F571" s="38">
        <v>1150</v>
      </c>
      <c r="G571" s="38">
        <v>100</v>
      </c>
      <c r="H571" s="46">
        <v>600</v>
      </c>
      <c r="I571" s="38">
        <v>695</v>
      </c>
      <c r="J571" s="38">
        <v>50</v>
      </c>
      <c r="K571" s="39"/>
      <c r="L571" s="39"/>
      <c r="M571" s="39"/>
      <c r="N571" s="39"/>
      <c r="O571" s="39"/>
      <c r="P571" s="39"/>
      <c r="Q571" s="39"/>
      <c r="R571" s="39"/>
      <c r="S571" s="39"/>
      <c r="T571" s="39"/>
    </row>
    <row r="572" spans="1:20" ht="15.75">
      <c r="A572" s="13">
        <v>58561</v>
      </c>
      <c r="B572" s="47">
        <v>30</v>
      </c>
      <c r="C572" s="38">
        <v>141.29300000000001</v>
      </c>
      <c r="D572" s="38">
        <v>267.99299999999999</v>
      </c>
      <c r="E572" s="44">
        <v>829.71400000000006</v>
      </c>
      <c r="F572" s="38">
        <v>1239</v>
      </c>
      <c r="G572" s="38">
        <v>100</v>
      </c>
      <c r="H572" s="46">
        <v>600</v>
      </c>
      <c r="I572" s="38">
        <v>695</v>
      </c>
      <c r="J572" s="38">
        <v>50</v>
      </c>
      <c r="K572" s="39"/>
      <c r="L572" s="39"/>
      <c r="M572" s="39"/>
      <c r="N572" s="39"/>
      <c r="O572" s="39"/>
      <c r="P572" s="39"/>
      <c r="Q572" s="39"/>
      <c r="R572" s="39"/>
      <c r="S572" s="39"/>
      <c r="T572" s="39"/>
    </row>
    <row r="573" spans="1:20" ht="15.75">
      <c r="A573" s="13">
        <v>58592</v>
      </c>
      <c r="B573" s="47">
        <v>31</v>
      </c>
      <c r="C573" s="38">
        <v>194.20500000000001</v>
      </c>
      <c r="D573" s="38">
        <v>267.46600000000001</v>
      </c>
      <c r="E573" s="44">
        <v>812.32899999999995</v>
      </c>
      <c r="F573" s="38">
        <v>1274</v>
      </c>
      <c r="G573" s="38">
        <v>75</v>
      </c>
      <c r="H573" s="46">
        <v>600</v>
      </c>
      <c r="I573" s="38">
        <v>695</v>
      </c>
      <c r="J573" s="38">
        <v>50</v>
      </c>
      <c r="K573" s="39"/>
      <c r="L573" s="39"/>
      <c r="M573" s="39"/>
      <c r="N573" s="39"/>
      <c r="O573" s="39"/>
      <c r="P573" s="39"/>
      <c r="Q573" s="39"/>
      <c r="R573" s="39"/>
      <c r="S573" s="39"/>
      <c r="T573" s="39"/>
    </row>
    <row r="574" spans="1:20" ht="15.75">
      <c r="A574" s="13">
        <v>58622</v>
      </c>
      <c r="B574" s="47">
        <v>30</v>
      </c>
      <c r="C574" s="38">
        <v>194.20500000000001</v>
      </c>
      <c r="D574" s="38">
        <v>267.46600000000001</v>
      </c>
      <c r="E574" s="44">
        <v>812.32899999999995</v>
      </c>
      <c r="F574" s="38">
        <v>1274</v>
      </c>
      <c r="G574" s="38">
        <v>50</v>
      </c>
      <c r="H574" s="46">
        <v>600</v>
      </c>
      <c r="I574" s="38">
        <v>695</v>
      </c>
      <c r="J574" s="38">
        <v>50</v>
      </c>
      <c r="K574" s="39"/>
      <c r="L574" s="39"/>
      <c r="M574" s="39"/>
      <c r="N574" s="39"/>
      <c r="O574" s="39"/>
      <c r="P574" s="39"/>
      <c r="Q574" s="39"/>
      <c r="R574" s="39"/>
      <c r="S574" s="39"/>
      <c r="T574" s="39"/>
    </row>
    <row r="575" spans="1:20" ht="15.75">
      <c r="A575" s="13">
        <v>58653</v>
      </c>
      <c r="B575" s="47">
        <v>31</v>
      </c>
      <c r="C575" s="38">
        <v>194.20500000000001</v>
      </c>
      <c r="D575" s="38">
        <v>267.46600000000001</v>
      </c>
      <c r="E575" s="44">
        <v>812.32899999999995</v>
      </c>
      <c r="F575" s="38">
        <v>1274</v>
      </c>
      <c r="G575" s="38">
        <v>50</v>
      </c>
      <c r="H575" s="46">
        <v>600</v>
      </c>
      <c r="I575" s="38">
        <v>695</v>
      </c>
      <c r="J575" s="38">
        <v>0</v>
      </c>
      <c r="K575" s="39"/>
      <c r="L575" s="39"/>
      <c r="M575" s="39"/>
      <c r="N575" s="39"/>
      <c r="O575" s="39"/>
      <c r="P575" s="39"/>
      <c r="Q575" s="39"/>
      <c r="R575" s="39"/>
      <c r="S575" s="39"/>
      <c r="T575" s="39"/>
    </row>
    <row r="576" spans="1:20" ht="15.75">
      <c r="A576" s="13">
        <v>58684</v>
      </c>
      <c r="B576" s="47">
        <v>31</v>
      </c>
      <c r="C576" s="38">
        <v>194.20500000000001</v>
      </c>
      <c r="D576" s="38">
        <v>267.46600000000001</v>
      </c>
      <c r="E576" s="44">
        <v>812.32899999999995</v>
      </c>
      <c r="F576" s="38">
        <v>1274</v>
      </c>
      <c r="G576" s="38">
        <v>50</v>
      </c>
      <c r="H576" s="46">
        <v>600</v>
      </c>
      <c r="I576" s="38">
        <v>695</v>
      </c>
      <c r="J576" s="38">
        <v>0</v>
      </c>
      <c r="K576" s="39"/>
      <c r="L576" s="39"/>
      <c r="M576" s="39"/>
      <c r="N576" s="39"/>
      <c r="O576" s="39"/>
      <c r="P576" s="39"/>
      <c r="Q576" s="39"/>
      <c r="R576" s="39"/>
      <c r="S576" s="39"/>
      <c r="T576" s="39"/>
    </row>
    <row r="577" spans="1:20" ht="15.75">
      <c r="A577" s="13">
        <v>58714</v>
      </c>
      <c r="B577" s="47">
        <v>30</v>
      </c>
      <c r="C577" s="38">
        <v>194.20500000000001</v>
      </c>
      <c r="D577" s="38">
        <v>267.46600000000001</v>
      </c>
      <c r="E577" s="44">
        <v>812.32899999999995</v>
      </c>
      <c r="F577" s="38">
        <v>1274</v>
      </c>
      <c r="G577" s="38">
        <v>50</v>
      </c>
      <c r="H577" s="46">
        <v>600</v>
      </c>
      <c r="I577" s="38">
        <v>695</v>
      </c>
      <c r="J577" s="38">
        <v>0</v>
      </c>
      <c r="K577" s="39"/>
      <c r="L577" s="39"/>
      <c r="M577" s="39"/>
      <c r="N577" s="39"/>
      <c r="O577" s="39"/>
      <c r="P577" s="39"/>
      <c r="Q577" s="39"/>
      <c r="R577" s="39"/>
      <c r="S577" s="39"/>
      <c r="T577" s="39"/>
    </row>
    <row r="578" spans="1:20" ht="15.75">
      <c r="A578" s="13">
        <v>58745</v>
      </c>
      <c r="B578" s="47">
        <v>31</v>
      </c>
      <c r="C578" s="38">
        <v>131.881</v>
      </c>
      <c r="D578" s="38">
        <v>277.16699999999997</v>
      </c>
      <c r="E578" s="44">
        <v>829.952</v>
      </c>
      <c r="F578" s="38">
        <v>1239</v>
      </c>
      <c r="G578" s="38">
        <v>75</v>
      </c>
      <c r="H578" s="46">
        <v>600</v>
      </c>
      <c r="I578" s="38">
        <v>695</v>
      </c>
      <c r="J578" s="38">
        <v>0</v>
      </c>
      <c r="K578" s="39"/>
      <c r="L578" s="39"/>
      <c r="M578" s="39"/>
      <c r="N578" s="39"/>
      <c r="O578" s="39"/>
      <c r="P578" s="39"/>
      <c r="Q578" s="39"/>
      <c r="R578" s="39"/>
      <c r="S578" s="39"/>
      <c r="T578" s="39"/>
    </row>
    <row r="579" spans="1:20" ht="15.75">
      <c r="A579" s="13">
        <v>58775</v>
      </c>
      <c r="B579" s="47">
        <v>30</v>
      </c>
      <c r="C579" s="38">
        <v>122.58</v>
      </c>
      <c r="D579" s="38">
        <v>297.94099999999997</v>
      </c>
      <c r="E579" s="44">
        <v>729.47900000000004</v>
      </c>
      <c r="F579" s="38">
        <v>1150</v>
      </c>
      <c r="G579" s="38">
        <v>100</v>
      </c>
      <c r="H579" s="46">
        <v>600</v>
      </c>
      <c r="I579" s="38">
        <v>695</v>
      </c>
      <c r="J579" s="38">
        <v>50</v>
      </c>
      <c r="K579" s="39"/>
      <c r="L579" s="39"/>
      <c r="M579" s="39"/>
      <c r="N579" s="39"/>
      <c r="O579" s="39"/>
      <c r="P579" s="39"/>
      <c r="Q579" s="39"/>
      <c r="R579" s="39"/>
      <c r="S579" s="39"/>
      <c r="T579" s="39"/>
    </row>
    <row r="580" spans="1:20" ht="15.75">
      <c r="A580" s="13">
        <v>58806</v>
      </c>
      <c r="B580" s="47">
        <v>31</v>
      </c>
      <c r="C580" s="38">
        <v>122.58</v>
      </c>
      <c r="D580" s="38">
        <v>297.94099999999997</v>
      </c>
      <c r="E580" s="44">
        <v>729.47900000000004</v>
      </c>
      <c r="F580" s="38">
        <v>1150</v>
      </c>
      <c r="G580" s="38">
        <v>100</v>
      </c>
      <c r="H580" s="46">
        <v>600</v>
      </c>
      <c r="I580" s="38">
        <v>695</v>
      </c>
      <c r="J580" s="38">
        <v>50</v>
      </c>
      <c r="K580" s="39"/>
      <c r="L580" s="39"/>
      <c r="M580" s="39"/>
      <c r="N580" s="39"/>
      <c r="O580" s="39"/>
      <c r="P580" s="39"/>
      <c r="Q580" s="39"/>
      <c r="R580" s="39"/>
      <c r="S580" s="39"/>
      <c r="T580" s="39"/>
    </row>
    <row r="581" spans="1:20" ht="15.75">
      <c r="A581" s="13">
        <v>58837</v>
      </c>
      <c r="B581" s="47">
        <v>31</v>
      </c>
      <c r="C581" s="38">
        <v>122.58</v>
      </c>
      <c r="D581" s="38">
        <v>297.94099999999997</v>
      </c>
      <c r="E581" s="44">
        <v>729.47900000000004</v>
      </c>
      <c r="F581" s="38">
        <v>1150</v>
      </c>
      <c r="G581" s="38">
        <v>100</v>
      </c>
      <c r="H581" s="46">
        <v>600</v>
      </c>
      <c r="I581" s="38">
        <v>695</v>
      </c>
      <c r="J581" s="38">
        <v>50</v>
      </c>
      <c r="K581" s="39"/>
      <c r="L581" s="39"/>
      <c r="M581" s="39"/>
      <c r="N581" s="39"/>
      <c r="O581" s="39"/>
      <c r="P581" s="39"/>
      <c r="Q581" s="39"/>
      <c r="R581" s="39"/>
      <c r="S581" s="39"/>
      <c r="T581" s="39"/>
    </row>
    <row r="582" spans="1:20" ht="15.75">
      <c r="A582" s="13">
        <v>58865</v>
      </c>
      <c r="B582" s="47">
        <v>28</v>
      </c>
      <c r="C582" s="38">
        <v>122.58</v>
      </c>
      <c r="D582" s="38">
        <v>297.94099999999997</v>
      </c>
      <c r="E582" s="44">
        <v>729.47900000000004</v>
      </c>
      <c r="F582" s="38">
        <v>1150</v>
      </c>
      <c r="G582" s="38">
        <v>100</v>
      </c>
      <c r="H582" s="46">
        <v>600</v>
      </c>
      <c r="I582" s="38">
        <v>695</v>
      </c>
      <c r="J582" s="38">
        <v>50</v>
      </c>
      <c r="K582" s="39"/>
      <c r="L582" s="39"/>
      <c r="M582" s="39"/>
      <c r="N582" s="39"/>
      <c r="O582" s="39"/>
      <c r="P582" s="39"/>
      <c r="Q582" s="39"/>
      <c r="R582" s="39"/>
      <c r="S582" s="39"/>
      <c r="T582" s="39"/>
    </row>
    <row r="583" spans="1:20" ht="15.75">
      <c r="A583" s="13">
        <v>58893</v>
      </c>
      <c r="B583" s="47">
        <v>31</v>
      </c>
      <c r="C583" s="38">
        <v>122.58</v>
      </c>
      <c r="D583" s="38">
        <v>297.94099999999997</v>
      </c>
      <c r="E583" s="44">
        <v>729.47900000000004</v>
      </c>
      <c r="F583" s="38">
        <v>1150</v>
      </c>
      <c r="G583" s="38">
        <v>100</v>
      </c>
      <c r="H583" s="46">
        <v>600</v>
      </c>
      <c r="I583" s="38">
        <v>695</v>
      </c>
      <c r="J583" s="38">
        <v>50</v>
      </c>
      <c r="K583" s="39"/>
      <c r="L583" s="39"/>
      <c r="M583" s="39"/>
      <c r="N583" s="39"/>
      <c r="O583" s="39"/>
      <c r="P583" s="39"/>
      <c r="Q583" s="39"/>
      <c r="R583" s="39"/>
      <c r="S583" s="39"/>
      <c r="T583" s="39"/>
    </row>
    <row r="584" spans="1:20" ht="15.75">
      <c r="A584" s="13">
        <v>58926</v>
      </c>
      <c r="B584" s="47">
        <v>30</v>
      </c>
      <c r="C584" s="38">
        <v>141.29300000000001</v>
      </c>
      <c r="D584" s="38">
        <v>267.99299999999999</v>
      </c>
      <c r="E584" s="44">
        <v>829.71400000000006</v>
      </c>
      <c r="F584" s="38">
        <v>1239</v>
      </c>
      <c r="G584" s="38">
        <v>100</v>
      </c>
      <c r="H584" s="46">
        <v>600</v>
      </c>
      <c r="I584" s="38">
        <v>695</v>
      </c>
      <c r="J584" s="38">
        <v>50</v>
      </c>
      <c r="K584" s="39"/>
      <c r="L584" s="39"/>
      <c r="M584" s="39"/>
      <c r="N584" s="39"/>
      <c r="O584" s="39"/>
      <c r="P584" s="39"/>
      <c r="Q584" s="39"/>
      <c r="R584" s="39"/>
      <c r="S584" s="39"/>
      <c r="T584" s="39"/>
    </row>
    <row r="585" spans="1:20" ht="15.75">
      <c r="A585" s="13">
        <v>58957</v>
      </c>
      <c r="B585" s="47">
        <v>31</v>
      </c>
      <c r="C585" s="38">
        <v>194.20500000000001</v>
      </c>
      <c r="D585" s="38">
        <v>267.46600000000001</v>
      </c>
      <c r="E585" s="44">
        <v>812.32899999999995</v>
      </c>
      <c r="F585" s="38">
        <v>1274</v>
      </c>
      <c r="G585" s="38">
        <v>75</v>
      </c>
      <c r="H585" s="46">
        <v>600</v>
      </c>
      <c r="I585" s="38">
        <v>695</v>
      </c>
      <c r="J585" s="38">
        <v>50</v>
      </c>
      <c r="K585" s="39"/>
      <c r="L585" s="39"/>
      <c r="M585" s="39"/>
      <c r="N585" s="39"/>
      <c r="O585" s="39"/>
      <c r="P585" s="39"/>
      <c r="Q585" s="39"/>
      <c r="R585" s="39"/>
      <c r="S585" s="39"/>
      <c r="T585" s="39"/>
    </row>
    <row r="586" spans="1:20" ht="15.75">
      <c r="A586" s="13">
        <v>58987</v>
      </c>
      <c r="B586" s="47">
        <v>30</v>
      </c>
      <c r="C586" s="38">
        <v>194.20500000000001</v>
      </c>
      <c r="D586" s="38">
        <v>267.46600000000001</v>
      </c>
      <c r="E586" s="44">
        <v>812.32899999999995</v>
      </c>
      <c r="F586" s="38">
        <v>1274</v>
      </c>
      <c r="G586" s="38">
        <v>50</v>
      </c>
      <c r="H586" s="46">
        <v>600</v>
      </c>
      <c r="I586" s="38">
        <v>695</v>
      </c>
      <c r="J586" s="38">
        <v>50</v>
      </c>
      <c r="K586" s="39"/>
      <c r="L586" s="39"/>
      <c r="M586" s="39"/>
      <c r="N586" s="39"/>
      <c r="O586" s="39"/>
      <c r="P586" s="39"/>
      <c r="Q586" s="39"/>
      <c r="R586" s="39"/>
      <c r="S586" s="39"/>
      <c r="T586" s="39"/>
    </row>
    <row r="587" spans="1:20" ht="15.75">
      <c r="A587" s="13">
        <v>59018</v>
      </c>
      <c r="B587" s="47">
        <v>31</v>
      </c>
      <c r="C587" s="38">
        <v>194.20500000000001</v>
      </c>
      <c r="D587" s="38">
        <v>267.46600000000001</v>
      </c>
      <c r="E587" s="44">
        <v>812.32899999999995</v>
      </c>
      <c r="F587" s="38">
        <v>1274</v>
      </c>
      <c r="G587" s="38">
        <v>50</v>
      </c>
      <c r="H587" s="46">
        <v>600</v>
      </c>
      <c r="I587" s="38">
        <v>695</v>
      </c>
      <c r="J587" s="38">
        <v>0</v>
      </c>
      <c r="K587" s="39"/>
      <c r="L587" s="39"/>
      <c r="M587" s="39"/>
      <c r="N587" s="39"/>
      <c r="O587" s="39"/>
      <c r="P587" s="39"/>
      <c r="Q587" s="39"/>
      <c r="R587" s="39"/>
      <c r="S587" s="39"/>
      <c r="T587" s="39"/>
    </row>
    <row r="588" spans="1:20" ht="15.75">
      <c r="A588" s="13">
        <v>59049</v>
      </c>
      <c r="B588" s="47">
        <v>31</v>
      </c>
      <c r="C588" s="38">
        <v>194.20500000000001</v>
      </c>
      <c r="D588" s="38">
        <v>267.46600000000001</v>
      </c>
      <c r="E588" s="44">
        <v>812.32899999999995</v>
      </c>
      <c r="F588" s="38">
        <v>1274</v>
      </c>
      <c r="G588" s="38">
        <v>50</v>
      </c>
      <c r="H588" s="46">
        <v>600</v>
      </c>
      <c r="I588" s="38">
        <v>695</v>
      </c>
      <c r="J588" s="38">
        <v>0</v>
      </c>
      <c r="K588" s="39"/>
      <c r="L588" s="39"/>
      <c r="M588" s="39"/>
      <c r="N588" s="39"/>
      <c r="O588" s="39"/>
      <c r="P588" s="39"/>
      <c r="Q588" s="39"/>
      <c r="R588" s="39"/>
      <c r="S588" s="39"/>
      <c r="T588" s="39"/>
    </row>
    <row r="589" spans="1:20" ht="15.75">
      <c r="A589" s="13">
        <v>59079</v>
      </c>
      <c r="B589" s="47">
        <v>30</v>
      </c>
      <c r="C589" s="38">
        <v>194.20500000000001</v>
      </c>
      <c r="D589" s="38">
        <v>267.46600000000001</v>
      </c>
      <c r="E589" s="44">
        <v>812.32899999999995</v>
      </c>
      <c r="F589" s="38">
        <v>1274</v>
      </c>
      <c r="G589" s="38">
        <v>50</v>
      </c>
      <c r="H589" s="46">
        <v>600</v>
      </c>
      <c r="I589" s="38">
        <v>695</v>
      </c>
      <c r="J589" s="38">
        <v>0</v>
      </c>
      <c r="K589" s="39"/>
      <c r="L589" s="39"/>
      <c r="M589" s="39"/>
      <c r="N589" s="39"/>
      <c r="O589" s="39"/>
      <c r="P589" s="39"/>
      <c r="Q589" s="39"/>
      <c r="R589" s="39"/>
      <c r="S589" s="39"/>
      <c r="T589" s="39"/>
    </row>
    <row r="590" spans="1:20" ht="15.75">
      <c r="A590" s="13">
        <v>59110</v>
      </c>
      <c r="B590" s="47">
        <v>31</v>
      </c>
      <c r="C590" s="38">
        <v>131.881</v>
      </c>
      <c r="D590" s="38">
        <v>277.16699999999997</v>
      </c>
      <c r="E590" s="44">
        <v>829.952</v>
      </c>
      <c r="F590" s="38">
        <v>1239</v>
      </c>
      <c r="G590" s="38">
        <v>75</v>
      </c>
      <c r="H590" s="46">
        <v>600</v>
      </c>
      <c r="I590" s="38">
        <v>695</v>
      </c>
      <c r="J590" s="38">
        <v>0</v>
      </c>
      <c r="K590" s="39"/>
      <c r="L590" s="39"/>
      <c r="M590" s="39"/>
      <c r="N590" s="39"/>
      <c r="O590" s="39"/>
      <c r="P590" s="39"/>
      <c r="Q590" s="39"/>
      <c r="R590" s="39"/>
      <c r="S590" s="39"/>
      <c r="T590" s="39"/>
    </row>
    <row r="591" spans="1:20" ht="15.75">
      <c r="A591" s="13">
        <v>59140</v>
      </c>
      <c r="B591" s="47">
        <v>30</v>
      </c>
      <c r="C591" s="38">
        <v>122.58</v>
      </c>
      <c r="D591" s="38">
        <v>297.94099999999997</v>
      </c>
      <c r="E591" s="44">
        <v>729.47900000000004</v>
      </c>
      <c r="F591" s="38">
        <v>1150</v>
      </c>
      <c r="G591" s="38">
        <v>100</v>
      </c>
      <c r="H591" s="46">
        <v>600</v>
      </c>
      <c r="I591" s="38">
        <v>695</v>
      </c>
      <c r="J591" s="38">
        <v>50</v>
      </c>
      <c r="K591" s="39"/>
      <c r="L591" s="39"/>
      <c r="M591" s="39"/>
      <c r="N591" s="39"/>
      <c r="O591" s="39"/>
      <c r="P591" s="39"/>
      <c r="Q591" s="39"/>
      <c r="R591" s="39"/>
      <c r="S591" s="39"/>
      <c r="T591" s="39"/>
    </row>
    <row r="592" spans="1:20" ht="15.75">
      <c r="A592" s="13">
        <v>59171</v>
      </c>
      <c r="B592" s="47">
        <v>31</v>
      </c>
      <c r="C592" s="38">
        <v>122.58</v>
      </c>
      <c r="D592" s="38">
        <v>297.94099999999997</v>
      </c>
      <c r="E592" s="44">
        <v>729.47900000000004</v>
      </c>
      <c r="F592" s="38">
        <v>1150</v>
      </c>
      <c r="G592" s="38">
        <v>100</v>
      </c>
      <c r="H592" s="46">
        <v>600</v>
      </c>
      <c r="I592" s="38">
        <v>695</v>
      </c>
      <c r="J592" s="38">
        <v>50</v>
      </c>
      <c r="K592" s="39"/>
      <c r="L592" s="39"/>
      <c r="M592" s="39"/>
      <c r="N592" s="39"/>
      <c r="O592" s="39"/>
      <c r="P592" s="39"/>
      <c r="Q592" s="39"/>
      <c r="R592" s="39"/>
      <c r="S592" s="39"/>
      <c r="T592" s="39"/>
    </row>
    <row r="593" spans="1:20" ht="15.75">
      <c r="A593" s="13">
        <v>59202</v>
      </c>
      <c r="B593" s="47">
        <f t="shared" ref="B593:B656" si="0">EOMONTH(A593,0)-EOMONTH(A593,-1)</f>
        <v>31</v>
      </c>
      <c r="C593" s="38">
        <v>122.58</v>
      </c>
      <c r="D593" s="38">
        <v>297.94099999999997</v>
      </c>
      <c r="E593" s="44">
        <v>729.47900000000004</v>
      </c>
      <c r="F593" s="38">
        <v>1150</v>
      </c>
      <c r="G593" s="38">
        <v>100</v>
      </c>
      <c r="H593" s="46">
        <v>600</v>
      </c>
      <c r="I593" s="38">
        <v>695</v>
      </c>
      <c r="J593" s="38">
        <v>50</v>
      </c>
      <c r="K593" s="39"/>
      <c r="L593" s="39"/>
      <c r="M593" s="39"/>
      <c r="N593" s="39"/>
      <c r="O593" s="39"/>
      <c r="P593" s="39"/>
      <c r="Q593" s="39"/>
      <c r="R593" s="39"/>
      <c r="S593" s="39"/>
      <c r="T593" s="39"/>
    </row>
    <row r="594" spans="1:20" ht="15.75">
      <c r="A594" s="13">
        <v>59230</v>
      </c>
      <c r="B594" s="47">
        <f t="shared" si="0"/>
        <v>28</v>
      </c>
      <c r="C594" s="38">
        <v>122.58</v>
      </c>
      <c r="D594" s="38">
        <v>297.94099999999997</v>
      </c>
      <c r="E594" s="44">
        <v>729.47900000000004</v>
      </c>
      <c r="F594" s="38">
        <v>1150</v>
      </c>
      <c r="G594" s="38">
        <v>100</v>
      </c>
      <c r="H594" s="46">
        <v>600</v>
      </c>
      <c r="I594" s="38">
        <v>695</v>
      </c>
      <c r="J594" s="38">
        <v>50</v>
      </c>
      <c r="K594" s="39"/>
      <c r="L594" s="39"/>
      <c r="M594" s="39"/>
      <c r="N594" s="39"/>
      <c r="O594" s="39"/>
      <c r="P594" s="39"/>
      <c r="Q594" s="39"/>
      <c r="R594" s="39"/>
      <c r="S594" s="39"/>
      <c r="T594" s="39"/>
    </row>
    <row r="595" spans="1:20" ht="15.75">
      <c r="A595" s="13">
        <v>59261</v>
      </c>
      <c r="B595" s="47">
        <f t="shared" si="0"/>
        <v>31</v>
      </c>
      <c r="C595" s="38">
        <v>122.58</v>
      </c>
      <c r="D595" s="38">
        <v>297.94099999999997</v>
      </c>
      <c r="E595" s="44">
        <v>729.47900000000004</v>
      </c>
      <c r="F595" s="38">
        <v>1150</v>
      </c>
      <c r="G595" s="38">
        <v>100</v>
      </c>
      <c r="H595" s="46">
        <v>600</v>
      </c>
      <c r="I595" s="38">
        <v>695</v>
      </c>
      <c r="J595" s="38">
        <v>50</v>
      </c>
      <c r="K595" s="39"/>
      <c r="L595" s="39"/>
      <c r="M595" s="39"/>
      <c r="N595" s="39"/>
      <c r="O595" s="39"/>
      <c r="P595" s="39"/>
      <c r="Q595" s="39"/>
      <c r="R595" s="39"/>
      <c r="S595" s="39"/>
      <c r="T595" s="39"/>
    </row>
    <row r="596" spans="1:20" ht="15.75">
      <c r="A596" s="13">
        <v>59291</v>
      </c>
      <c r="B596" s="47">
        <f t="shared" si="0"/>
        <v>30</v>
      </c>
      <c r="C596" s="38">
        <v>141.29300000000001</v>
      </c>
      <c r="D596" s="38">
        <v>267.99299999999999</v>
      </c>
      <c r="E596" s="44">
        <v>829.71400000000006</v>
      </c>
      <c r="F596" s="38">
        <v>1239</v>
      </c>
      <c r="G596" s="38">
        <v>100</v>
      </c>
      <c r="H596" s="46">
        <v>600</v>
      </c>
      <c r="I596" s="38">
        <v>695</v>
      </c>
      <c r="J596" s="38">
        <v>50</v>
      </c>
      <c r="K596" s="39"/>
      <c r="L596" s="39"/>
      <c r="M596" s="39"/>
      <c r="N596" s="39"/>
      <c r="O596" s="39"/>
      <c r="P596" s="39"/>
      <c r="Q596" s="39"/>
      <c r="R596" s="39"/>
      <c r="S596" s="39"/>
      <c r="T596" s="39"/>
    </row>
    <row r="597" spans="1:20" ht="15.75">
      <c r="A597" s="13">
        <v>59322</v>
      </c>
      <c r="B597" s="47">
        <f t="shared" si="0"/>
        <v>31</v>
      </c>
      <c r="C597" s="38">
        <v>194.20500000000001</v>
      </c>
      <c r="D597" s="38">
        <v>267.46600000000001</v>
      </c>
      <c r="E597" s="44">
        <v>812.32899999999995</v>
      </c>
      <c r="F597" s="38">
        <v>1274</v>
      </c>
      <c r="G597" s="38">
        <v>75</v>
      </c>
      <c r="H597" s="46">
        <v>600</v>
      </c>
      <c r="I597" s="38">
        <v>695</v>
      </c>
      <c r="J597" s="38">
        <v>50</v>
      </c>
      <c r="K597" s="39"/>
      <c r="L597" s="39"/>
      <c r="M597" s="39"/>
      <c r="N597" s="39"/>
      <c r="O597" s="39"/>
      <c r="P597" s="39"/>
      <c r="Q597" s="39"/>
      <c r="R597" s="39"/>
      <c r="S597" s="39"/>
      <c r="T597" s="39"/>
    </row>
    <row r="598" spans="1:20" ht="15.75">
      <c r="A598" s="13">
        <v>59352</v>
      </c>
      <c r="B598" s="47">
        <f t="shared" si="0"/>
        <v>30</v>
      </c>
      <c r="C598" s="38">
        <v>194.20500000000001</v>
      </c>
      <c r="D598" s="38">
        <v>267.46600000000001</v>
      </c>
      <c r="E598" s="44">
        <v>812.32899999999995</v>
      </c>
      <c r="F598" s="38">
        <v>1274</v>
      </c>
      <c r="G598" s="38">
        <v>50</v>
      </c>
      <c r="H598" s="46">
        <v>600</v>
      </c>
      <c r="I598" s="38">
        <v>695</v>
      </c>
      <c r="J598" s="38">
        <v>50</v>
      </c>
      <c r="K598" s="39"/>
      <c r="L598" s="39"/>
      <c r="M598" s="39"/>
      <c r="N598" s="39"/>
      <c r="O598" s="39"/>
      <c r="P598" s="39"/>
      <c r="Q598" s="39"/>
      <c r="R598" s="39"/>
      <c r="S598" s="39"/>
      <c r="T598" s="39"/>
    </row>
    <row r="599" spans="1:20" ht="15.75">
      <c r="A599" s="13">
        <v>59383</v>
      </c>
      <c r="B599" s="47">
        <f t="shared" si="0"/>
        <v>31</v>
      </c>
      <c r="C599" s="38">
        <v>194.20500000000001</v>
      </c>
      <c r="D599" s="38">
        <v>267.46600000000001</v>
      </c>
      <c r="E599" s="44">
        <v>812.32899999999995</v>
      </c>
      <c r="F599" s="38">
        <v>1274</v>
      </c>
      <c r="G599" s="38">
        <v>50</v>
      </c>
      <c r="H599" s="46">
        <v>600</v>
      </c>
      <c r="I599" s="38">
        <v>695</v>
      </c>
      <c r="J599" s="38">
        <v>0</v>
      </c>
      <c r="K599" s="39"/>
      <c r="L599" s="39"/>
      <c r="M599" s="39"/>
      <c r="N599" s="39"/>
      <c r="O599" s="39"/>
      <c r="P599" s="39"/>
      <c r="Q599" s="39"/>
      <c r="R599" s="39"/>
      <c r="S599" s="39"/>
      <c r="T599" s="39"/>
    </row>
    <row r="600" spans="1:20" ht="15.75">
      <c r="A600" s="13">
        <v>59414</v>
      </c>
      <c r="B600" s="47">
        <f t="shared" si="0"/>
        <v>31</v>
      </c>
      <c r="C600" s="38">
        <v>194.20500000000001</v>
      </c>
      <c r="D600" s="38">
        <v>267.46600000000001</v>
      </c>
      <c r="E600" s="44">
        <v>812.32899999999995</v>
      </c>
      <c r="F600" s="38">
        <v>1274</v>
      </c>
      <c r="G600" s="38">
        <v>50</v>
      </c>
      <c r="H600" s="46">
        <v>600</v>
      </c>
      <c r="I600" s="38">
        <v>695</v>
      </c>
      <c r="J600" s="38">
        <v>0</v>
      </c>
      <c r="K600" s="39"/>
      <c r="L600" s="39"/>
      <c r="M600" s="39"/>
      <c r="N600" s="39"/>
      <c r="O600" s="39"/>
      <c r="P600" s="39"/>
      <c r="Q600" s="39"/>
      <c r="R600" s="39"/>
      <c r="S600" s="39"/>
      <c r="T600" s="39"/>
    </row>
    <row r="601" spans="1:20" ht="15.75">
      <c r="A601" s="13">
        <v>59444</v>
      </c>
      <c r="B601" s="47">
        <f t="shared" si="0"/>
        <v>30</v>
      </c>
      <c r="C601" s="38">
        <v>194.20500000000001</v>
      </c>
      <c r="D601" s="38">
        <v>267.46600000000001</v>
      </c>
      <c r="E601" s="44">
        <v>812.32899999999995</v>
      </c>
      <c r="F601" s="38">
        <v>1274</v>
      </c>
      <c r="G601" s="38">
        <v>50</v>
      </c>
      <c r="H601" s="46">
        <v>600</v>
      </c>
      <c r="I601" s="38">
        <v>695</v>
      </c>
      <c r="J601" s="38">
        <v>0</v>
      </c>
      <c r="K601" s="39"/>
      <c r="L601" s="39"/>
      <c r="M601" s="39"/>
      <c r="N601" s="39"/>
      <c r="O601" s="39"/>
      <c r="P601" s="39"/>
      <c r="Q601" s="39"/>
      <c r="R601" s="39"/>
      <c r="S601" s="39"/>
      <c r="T601" s="39"/>
    </row>
    <row r="602" spans="1:20" ht="15.75">
      <c r="A602" s="13">
        <v>59475</v>
      </c>
      <c r="B602" s="47">
        <f t="shared" si="0"/>
        <v>31</v>
      </c>
      <c r="C602" s="38">
        <v>131.881</v>
      </c>
      <c r="D602" s="38">
        <v>277.16699999999997</v>
      </c>
      <c r="E602" s="44">
        <v>829.952</v>
      </c>
      <c r="F602" s="38">
        <v>1239</v>
      </c>
      <c r="G602" s="38">
        <v>75</v>
      </c>
      <c r="H602" s="46">
        <v>600</v>
      </c>
      <c r="I602" s="38">
        <v>695</v>
      </c>
      <c r="J602" s="38">
        <v>0</v>
      </c>
      <c r="K602" s="39"/>
      <c r="L602" s="39"/>
      <c r="M602" s="39"/>
      <c r="N602" s="39"/>
      <c r="O602" s="39"/>
      <c r="P602" s="39"/>
      <c r="Q602" s="39"/>
      <c r="R602" s="39"/>
      <c r="S602" s="39"/>
      <c r="T602" s="39"/>
    </row>
    <row r="603" spans="1:20" ht="15.75">
      <c r="A603" s="13">
        <v>59505</v>
      </c>
      <c r="B603" s="47">
        <f t="shared" si="0"/>
        <v>30</v>
      </c>
      <c r="C603" s="38">
        <v>122.58</v>
      </c>
      <c r="D603" s="38">
        <v>297.94099999999997</v>
      </c>
      <c r="E603" s="44">
        <v>729.47900000000004</v>
      </c>
      <c r="F603" s="38">
        <v>1150</v>
      </c>
      <c r="G603" s="38">
        <v>100</v>
      </c>
      <c r="H603" s="46">
        <v>600</v>
      </c>
      <c r="I603" s="38">
        <v>695</v>
      </c>
      <c r="J603" s="38">
        <v>50</v>
      </c>
      <c r="K603" s="39"/>
      <c r="L603" s="39"/>
      <c r="M603" s="39"/>
      <c r="N603" s="39"/>
      <c r="O603" s="39"/>
      <c r="P603" s="39"/>
      <c r="Q603" s="39"/>
      <c r="R603" s="39"/>
      <c r="S603" s="39"/>
      <c r="T603" s="39"/>
    </row>
    <row r="604" spans="1:20" ht="15.75">
      <c r="A604" s="13">
        <v>59536</v>
      </c>
      <c r="B604" s="47">
        <f t="shared" si="0"/>
        <v>31</v>
      </c>
      <c r="C604" s="38">
        <v>122.58</v>
      </c>
      <c r="D604" s="38">
        <v>297.94099999999997</v>
      </c>
      <c r="E604" s="44">
        <v>729.47900000000004</v>
      </c>
      <c r="F604" s="38">
        <v>1150</v>
      </c>
      <c r="G604" s="38">
        <v>100</v>
      </c>
      <c r="H604" s="46">
        <v>600</v>
      </c>
      <c r="I604" s="38">
        <v>695</v>
      </c>
      <c r="J604" s="38">
        <v>50</v>
      </c>
      <c r="K604" s="39"/>
      <c r="L604" s="39"/>
      <c r="M604" s="39"/>
      <c r="N604" s="39"/>
      <c r="O604" s="39"/>
      <c r="P604" s="39"/>
      <c r="Q604" s="39"/>
      <c r="R604" s="39"/>
      <c r="S604" s="39"/>
      <c r="T604" s="39"/>
    </row>
    <row r="605" spans="1:20" ht="15.75">
      <c r="A605" s="13">
        <v>59567</v>
      </c>
      <c r="B605" s="47">
        <f t="shared" si="0"/>
        <v>31</v>
      </c>
      <c r="C605" s="38">
        <v>122.58</v>
      </c>
      <c r="D605" s="38">
        <v>297.94099999999997</v>
      </c>
      <c r="E605" s="44">
        <v>729.47900000000004</v>
      </c>
      <c r="F605" s="38">
        <v>1150</v>
      </c>
      <c r="G605" s="38">
        <v>100</v>
      </c>
      <c r="H605" s="46">
        <v>600</v>
      </c>
      <c r="I605" s="38">
        <v>695</v>
      </c>
      <c r="J605" s="38">
        <v>50</v>
      </c>
      <c r="K605" s="39"/>
      <c r="L605" s="39"/>
      <c r="M605" s="39"/>
      <c r="N605" s="39"/>
      <c r="O605" s="39"/>
      <c r="P605" s="39"/>
      <c r="Q605" s="39"/>
      <c r="R605" s="39"/>
      <c r="S605" s="39"/>
      <c r="T605" s="39"/>
    </row>
    <row r="606" spans="1:20" ht="15.75">
      <c r="A606" s="13">
        <v>59595</v>
      </c>
      <c r="B606" s="47">
        <f t="shared" si="0"/>
        <v>28</v>
      </c>
      <c r="C606" s="38">
        <v>122.58</v>
      </c>
      <c r="D606" s="38">
        <v>297.94099999999997</v>
      </c>
      <c r="E606" s="44">
        <v>729.47900000000004</v>
      </c>
      <c r="F606" s="38">
        <v>1150</v>
      </c>
      <c r="G606" s="38">
        <v>100</v>
      </c>
      <c r="H606" s="46">
        <v>600</v>
      </c>
      <c r="I606" s="38">
        <v>695</v>
      </c>
      <c r="J606" s="38">
        <v>50</v>
      </c>
      <c r="K606" s="39"/>
      <c r="L606" s="39"/>
      <c r="M606" s="39"/>
      <c r="N606" s="39"/>
      <c r="O606" s="39"/>
      <c r="P606" s="39"/>
      <c r="Q606" s="39"/>
      <c r="R606" s="39"/>
      <c r="S606" s="39"/>
      <c r="T606" s="39"/>
    </row>
    <row r="607" spans="1:20" ht="15.75">
      <c r="A607" s="13">
        <v>59626</v>
      </c>
      <c r="B607" s="47">
        <f t="shared" si="0"/>
        <v>31</v>
      </c>
      <c r="C607" s="38">
        <v>122.58</v>
      </c>
      <c r="D607" s="38">
        <v>297.94099999999997</v>
      </c>
      <c r="E607" s="44">
        <v>729.47900000000004</v>
      </c>
      <c r="F607" s="38">
        <v>1150</v>
      </c>
      <c r="G607" s="38">
        <v>100</v>
      </c>
      <c r="H607" s="46">
        <v>600</v>
      </c>
      <c r="I607" s="38">
        <v>695</v>
      </c>
      <c r="J607" s="38">
        <v>50</v>
      </c>
      <c r="K607" s="39"/>
      <c r="L607" s="39"/>
      <c r="M607" s="39"/>
      <c r="N607" s="39"/>
      <c r="O607" s="39"/>
      <c r="P607" s="39"/>
      <c r="Q607" s="39"/>
      <c r="R607" s="39"/>
      <c r="S607" s="39"/>
      <c r="T607" s="39"/>
    </row>
    <row r="608" spans="1:20" ht="15.75">
      <c r="A608" s="13">
        <v>59656</v>
      </c>
      <c r="B608" s="47">
        <f t="shared" si="0"/>
        <v>30</v>
      </c>
      <c r="C608" s="38">
        <v>141.29300000000001</v>
      </c>
      <c r="D608" s="38">
        <v>267.99299999999999</v>
      </c>
      <c r="E608" s="44">
        <v>829.71400000000006</v>
      </c>
      <c r="F608" s="38">
        <v>1239</v>
      </c>
      <c r="G608" s="38">
        <v>100</v>
      </c>
      <c r="H608" s="46">
        <v>600</v>
      </c>
      <c r="I608" s="38">
        <v>695</v>
      </c>
      <c r="J608" s="38">
        <v>50</v>
      </c>
      <c r="K608" s="39"/>
      <c r="L608" s="39"/>
      <c r="M608" s="39"/>
      <c r="N608" s="39"/>
      <c r="O608" s="39"/>
      <c r="P608" s="39"/>
      <c r="Q608" s="39"/>
      <c r="R608" s="39"/>
      <c r="S608" s="39"/>
      <c r="T608" s="39"/>
    </row>
    <row r="609" spans="1:20" ht="15.75">
      <c r="A609" s="13">
        <v>59687</v>
      </c>
      <c r="B609" s="47">
        <f t="shared" si="0"/>
        <v>31</v>
      </c>
      <c r="C609" s="38">
        <v>194.20500000000001</v>
      </c>
      <c r="D609" s="38">
        <v>267.46600000000001</v>
      </c>
      <c r="E609" s="44">
        <v>812.32899999999995</v>
      </c>
      <c r="F609" s="38">
        <v>1274</v>
      </c>
      <c r="G609" s="38">
        <v>75</v>
      </c>
      <c r="H609" s="46">
        <v>600</v>
      </c>
      <c r="I609" s="38">
        <v>695</v>
      </c>
      <c r="J609" s="38">
        <v>50</v>
      </c>
      <c r="K609" s="39"/>
      <c r="L609" s="39"/>
      <c r="M609" s="39"/>
      <c r="N609" s="39"/>
      <c r="O609" s="39"/>
      <c r="P609" s="39"/>
      <c r="Q609" s="39"/>
      <c r="R609" s="39"/>
      <c r="S609" s="39"/>
      <c r="T609" s="39"/>
    </row>
    <row r="610" spans="1:20" ht="15.75">
      <c r="A610" s="13">
        <v>59717</v>
      </c>
      <c r="B610" s="47">
        <f t="shared" si="0"/>
        <v>30</v>
      </c>
      <c r="C610" s="38">
        <v>194.20500000000001</v>
      </c>
      <c r="D610" s="38">
        <v>267.46600000000001</v>
      </c>
      <c r="E610" s="44">
        <v>812.32899999999995</v>
      </c>
      <c r="F610" s="38">
        <v>1274</v>
      </c>
      <c r="G610" s="38">
        <v>50</v>
      </c>
      <c r="H610" s="46">
        <v>600</v>
      </c>
      <c r="I610" s="38">
        <v>695</v>
      </c>
      <c r="J610" s="38">
        <v>50</v>
      </c>
      <c r="K610" s="39"/>
      <c r="L610" s="39"/>
      <c r="M610" s="39"/>
      <c r="N610" s="39"/>
      <c r="O610" s="39"/>
      <c r="P610" s="39"/>
      <c r="Q610" s="39"/>
      <c r="R610" s="39"/>
      <c r="S610" s="39"/>
      <c r="T610" s="39"/>
    </row>
    <row r="611" spans="1:20" ht="15.75">
      <c r="A611" s="13">
        <v>59748</v>
      </c>
      <c r="B611" s="47">
        <f t="shared" si="0"/>
        <v>31</v>
      </c>
      <c r="C611" s="38">
        <v>194.20500000000001</v>
      </c>
      <c r="D611" s="38">
        <v>267.46600000000001</v>
      </c>
      <c r="E611" s="44">
        <v>812.32899999999995</v>
      </c>
      <c r="F611" s="38">
        <v>1274</v>
      </c>
      <c r="G611" s="38">
        <v>50</v>
      </c>
      <c r="H611" s="46">
        <v>600</v>
      </c>
      <c r="I611" s="38">
        <v>695</v>
      </c>
      <c r="J611" s="38">
        <v>0</v>
      </c>
      <c r="K611" s="39"/>
      <c r="L611" s="39"/>
      <c r="M611" s="39"/>
      <c r="N611" s="39"/>
      <c r="O611" s="39"/>
      <c r="P611" s="39"/>
      <c r="Q611" s="39"/>
      <c r="R611" s="39"/>
      <c r="S611" s="39"/>
      <c r="T611" s="39"/>
    </row>
    <row r="612" spans="1:20" ht="15.75">
      <c r="A612" s="13">
        <v>59779</v>
      </c>
      <c r="B612" s="47">
        <f t="shared" si="0"/>
        <v>31</v>
      </c>
      <c r="C612" s="38">
        <v>194.20500000000001</v>
      </c>
      <c r="D612" s="38">
        <v>267.46600000000001</v>
      </c>
      <c r="E612" s="44">
        <v>812.32899999999995</v>
      </c>
      <c r="F612" s="38">
        <v>1274</v>
      </c>
      <c r="G612" s="38">
        <v>50</v>
      </c>
      <c r="H612" s="46">
        <v>600</v>
      </c>
      <c r="I612" s="38">
        <v>695</v>
      </c>
      <c r="J612" s="38">
        <v>0</v>
      </c>
      <c r="K612" s="39"/>
      <c r="L612" s="39"/>
      <c r="M612" s="39"/>
      <c r="N612" s="39"/>
      <c r="O612" s="39"/>
      <c r="P612" s="39"/>
      <c r="Q612" s="39"/>
      <c r="R612" s="39"/>
      <c r="S612" s="39"/>
      <c r="T612" s="39"/>
    </row>
    <row r="613" spans="1:20" ht="15.75">
      <c r="A613" s="13">
        <v>59809</v>
      </c>
      <c r="B613" s="47">
        <f t="shared" si="0"/>
        <v>30</v>
      </c>
      <c r="C613" s="38">
        <v>194.20500000000001</v>
      </c>
      <c r="D613" s="38">
        <v>267.46600000000001</v>
      </c>
      <c r="E613" s="44">
        <v>812.32899999999995</v>
      </c>
      <c r="F613" s="38">
        <v>1274</v>
      </c>
      <c r="G613" s="38">
        <v>50</v>
      </c>
      <c r="H613" s="46">
        <v>600</v>
      </c>
      <c r="I613" s="38">
        <v>695</v>
      </c>
      <c r="J613" s="38">
        <v>0</v>
      </c>
      <c r="K613" s="39"/>
      <c r="L613" s="39"/>
      <c r="M613" s="39"/>
      <c r="N613" s="39"/>
      <c r="O613" s="39"/>
      <c r="P613" s="39"/>
      <c r="Q613" s="39"/>
      <c r="R613" s="39"/>
      <c r="S613" s="39"/>
      <c r="T613" s="39"/>
    </row>
    <row r="614" spans="1:20" ht="15.75">
      <c r="A614" s="13">
        <v>59840</v>
      </c>
      <c r="B614" s="47">
        <f t="shared" si="0"/>
        <v>31</v>
      </c>
      <c r="C614" s="38">
        <v>131.881</v>
      </c>
      <c r="D614" s="38">
        <v>277.16699999999997</v>
      </c>
      <c r="E614" s="44">
        <v>829.952</v>
      </c>
      <c r="F614" s="38">
        <v>1239</v>
      </c>
      <c r="G614" s="38">
        <v>75</v>
      </c>
      <c r="H614" s="46">
        <v>600</v>
      </c>
      <c r="I614" s="38">
        <v>695</v>
      </c>
      <c r="J614" s="38">
        <v>0</v>
      </c>
      <c r="K614" s="39"/>
      <c r="L614" s="39"/>
      <c r="M614" s="39"/>
      <c r="N614" s="39"/>
      <c r="O614" s="39"/>
      <c r="P614" s="39"/>
      <c r="Q614" s="39"/>
      <c r="R614" s="39"/>
      <c r="S614" s="39"/>
      <c r="T614" s="39"/>
    </row>
    <row r="615" spans="1:20" ht="15.75">
      <c r="A615" s="13">
        <v>59870</v>
      </c>
      <c r="B615" s="47">
        <f t="shared" si="0"/>
        <v>30</v>
      </c>
      <c r="C615" s="38">
        <v>122.58</v>
      </c>
      <c r="D615" s="38">
        <v>297.94099999999997</v>
      </c>
      <c r="E615" s="44">
        <v>729.47900000000004</v>
      </c>
      <c r="F615" s="38">
        <v>1150</v>
      </c>
      <c r="G615" s="38">
        <v>100</v>
      </c>
      <c r="H615" s="46">
        <v>600</v>
      </c>
      <c r="I615" s="38">
        <v>695</v>
      </c>
      <c r="J615" s="38">
        <v>50</v>
      </c>
      <c r="K615" s="39"/>
      <c r="L615" s="39"/>
      <c r="M615" s="39"/>
      <c r="N615" s="39"/>
      <c r="O615" s="39"/>
      <c r="P615" s="39"/>
      <c r="Q615" s="39"/>
      <c r="R615" s="39"/>
      <c r="S615" s="39"/>
      <c r="T615" s="39"/>
    </row>
    <row r="616" spans="1:20" ht="15.75">
      <c r="A616" s="13">
        <v>59901</v>
      </c>
      <c r="B616" s="47">
        <f t="shared" si="0"/>
        <v>31</v>
      </c>
      <c r="C616" s="38">
        <v>122.58</v>
      </c>
      <c r="D616" s="38">
        <v>297.94099999999997</v>
      </c>
      <c r="E616" s="44">
        <v>729.47900000000004</v>
      </c>
      <c r="F616" s="38">
        <v>1150</v>
      </c>
      <c r="G616" s="38">
        <v>100</v>
      </c>
      <c r="H616" s="46">
        <v>600</v>
      </c>
      <c r="I616" s="38">
        <v>695</v>
      </c>
      <c r="J616" s="38">
        <v>50</v>
      </c>
      <c r="K616" s="39"/>
      <c r="L616" s="39"/>
      <c r="M616" s="39"/>
      <c r="N616" s="39"/>
      <c r="O616" s="39"/>
      <c r="P616" s="39"/>
      <c r="Q616" s="39"/>
      <c r="R616" s="39"/>
      <c r="S616" s="39"/>
      <c r="T616" s="39"/>
    </row>
    <row r="617" spans="1:20" ht="15.75">
      <c r="A617" s="13">
        <v>59932</v>
      </c>
      <c r="B617" s="47">
        <f t="shared" si="0"/>
        <v>31</v>
      </c>
      <c r="C617" s="38">
        <v>122.58</v>
      </c>
      <c r="D617" s="38">
        <v>297.94099999999997</v>
      </c>
      <c r="E617" s="44">
        <v>729.47900000000004</v>
      </c>
      <c r="F617" s="38">
        <v>1150</v>
      </c>
      <c r="G617" s="38">
        <v>100</v>
      </c>
      <c r="H617" s="46">
        <v>600</v>
      </c>
      <c r="I617" s="38">
        <v>695</v>
      </c>
      <c r="J617" s="38">
        <v>50</v>
      </c>
      <c r="K617" s="39"/>
      <c r="L617" s="39"/>
      <c r="M617" s="39"/>
      <c r="N617" s="39"/>
      <c r="O617" s="39"/>
      <c r="P617" s="39"/>
      <c r="Q617" s="39"/>
      <c r="R617" s="39"/>
      <c r="S617" s="39"/>
      <c r="T617" s="39"/>
    </row>
    <row r="618" spans="1:20" ht="15.75">
      <c r="A618" s="13">
        <v>59961</v>
      </c>
      <c r="B618" s="47">
        <f t="shared" si="0"/>
        <v>29</v>
      </c>
      <c r="C618" s="38">
        <v>122.58</v>
      </c>
      <c r="D618" s="38">
        <v>297.94099999999997</v>
      </c>
      <c r="E618" s="44">
        <v>729.47900000000004</v>
      </c>
      <c r="F618" s="38">
        <v>1150</v>
      </c>
      <c r="G618" s="38">
        <v>100</v>
      </c>
      <c r="H618" s="46">
        <v>600</v>
      </c>
      <c r="I618" s="38">
        <v>695</v>
      </c>
      <c r="J618" s="38">
        <v>50</v>
      </c>
      <c r="K618" s="39"/>
      <c r="L618" s="39"/>
      <c r="M618" s="39"/>
      <c r="N618" s="39"/>
      <c r="O618" s="39"/>
      <c r="P618" s="39"/>
      <c r="Q618" s="39"/>
      <c r="R618" s="39"/>
      <c r="S618" s="39"/>
      <c r="T618" s="39"/>
    </row>
    <row r="619" spans="1:20" ht="15.75">
      <c r="A619" s="13">
        <v>59992</v>
      </c>
      <c r="B619" s="47">
        <f t="shared" si="0"/>
        <v>31</v>
      </c>
      <c r="C619" s="38">
        <v>122.58</v>
      </c>
      <c r="D619" s="38">
        <v>297.94099999999997</v>
      </c>
      <c r="E619" s="44">
        <v>729.47900000000004</v>
      </c>
      <c r="F619" s="38">
        <v>1150</v>
      </c>
      <c r="G619" s="38">
        <v>100</v>
      </c>
      <c r="H619" s="46">
        <v>600</v>
      </c>
      <c r="I619" s="38">
        <v>695</v>
      </c>
      <c r="J619" s="38">
        <v>50</v>
      </c>
      <c r="K619" s="39"/>
      <c r="L619" s="39"/>
      <c r="M619" s="39"/>
      <c r="N619" s="39"/>
      <c r="O619" s="39"/>
      <c r="P619" s="39"/>
      <c r="Q619" s="39"/>
      <c r="R619" s="39"/>
      <c r="S619" s="39"/>
      <c r="T619" s="39"/>
    </row>
    <row r="620" spans="1:20" ht="15.75">
      <c r="A620" s="13">
        <v>60022</v>
      </c>
      <c r="B620" s="47">
        <f t="shared" si="0"/>
        <v>30</v>
      </c>
      <c r="C620" s="38">
        <v>141.29300000000001</v>
      </c>
      <c r="D620" s="38">
        <v>267.99299999999999</v>
      </c>
      <c r="E620" s="44">
        <v>829.71400000000006</v>
      </c>
      <c r="F620" s="38">
        <v>1239</v>
      </c>
      <c r="G620" s="38">
        <v>100</v>
      </c>
      <c r="H620" s="46">
        <v>600</v>
      </c>
      <c r="I620" s="38">
        <v>695</v>
      </c>
      <c r="J620" s="38">
        <v>50</v>
      </c>
      <c r="K620" s="39"/>
      <c r="L620" s="39"/>
      <c r="M620" s="39"/>
      <c r="N620" s="39"/>
      <c r="O620" s="39"/>
      <c r="P620" s="39"/>
      <c r="Q620" s="39"/>
      <c r="R620" s="39"/>
      <c r="S620" s="39"/>
      <c r="T620" s="39"/>
    </row>
    <row r="621" spans="1:20" ht="15.75">
      <c r="A621" s="13">
        <v>60053</v>
      </c>
      <c r="B621" s="47">
        <f t="shared" si="0"/>
        <v>31</v>
      </c>
      <c r="C621" s="38">
        <v>194.20500000000001</v>
      </c>
      <c r="D621" s="38">
        <v>267.46600000000001</v>
      </c>
      <c r="E621" s="44">
        <v>812.32899999999995</v>
      </c>
      <c r="F621" s="38">
        <v>1274</v>
      </c>
      <c r="G621" s="38">
        <v>75</v>
      </c>
      <c r="H621" s="46">
        <v>600</v>
      </c>
      <c r="I621" s="38">
        <v>695</v>
      </c>
      <c r="J621" s="38">
        <v>50</v>
      </c>
      <c r="K621" s="39"/>
      <c r="L621" s="39"/>
      <c r="M621" s="39"/>
      <c r="N621" s="39"/>
      <c r="O621" s="39"/>
      <c r="P621" s="39"/>
      <c r="Q621" s="39"/>
      <c r="R621" s="39"/>
      <c r="S621" s="39"/>
      <c r="T621" s="39"/>
    </row>
    <row r="622" spans="1:20" ht="15.75">
      <c r="A622" s="13">
        <v>60083</v>
      </c>
      <c r="B622" s="47">
        <f t="shared" si="0"/>
        <v>30</v>
      </c>
      <c r="C622" s="38">
        <v>194.20500000000001</v>
      </c>
      <c r="D622" s="38">
        <v>267.46600000000001</v>
      </c>
      <c r="E622" s="44">
        <v>812.32899999999995</v>
      </c>
      <c r="F622" s="38">
        <v>1274</v>
      </c>
      <c r="G622" s="38">
        <v>50</v>
      </c>
      <c r="H622" s="46">
        <v>600</v>
      </c>
      <c r="I622" s="38">
        <v>695</v>
      </c>
      <c r="J622" s="38">
        <v>50</v>
      </c>
      <c r="K622" s="39"/>
      <c r="L622" s="39"/>
      <c r="M622" s="39"/>
      <c r="N622" s="39"/>
      <c r="O622" s="39"/>
      <c r="P622" s="39"/>
      <c r="Q622" s="39"/>
      <c r="R622" s="39"/>
      <c r="S622" s="39"/>
      <c r="T622" s="39"/>
    </row>
    <row r="623" spans="1:20" ht="15.75">
      <c r="A623" s="13">
        <v>60114</v>
      </c>
      <c r="B623" s="47">
        <f t="shared" si="0"/>
        <v>31</v>
      </c>
      <c r="C623" s="38">
        <v>194.20500000000001</v>
      </c>
      <c r="D623" s="38">
        <v>267.46600000000001</v>
      </c>
      <c r="E623" s="44">
        <v>812.32899999999995</v>
      </c>
      <c r="F623" s="38">
        <v>1274</v>
      </c>
      <c r="G623" s="38">
        <v>50</v>
      </c>
      <c r="H623" s="46">
        <v>600</v>
      </c>
      <c r="I623" s="38">
        <v>695</v>
      </c>
      <c r="J623" s="38">
        <v>0</v>
      </c>
      <c r="K623" s="39"/>
      <c r="L623" s="39"/>
      <c r="M623" s="39"/>
      <c r="N623" s="39"/>
      <c r="O623" s="39"/>
      <c r="P623" s="39"/>
      <c r="Q623" s="39"/>
      <c r="R623" s="39"/>
      <c r="S623" s="39"/>
      <c r="T623" s="39"/>
    </row>
    <row r="624" spans="1:20" ht="15.75">
      <c r="A624" s="13">
        <v>60145</v>
      </c>
      <c r="B624" s="47">
        <f t="shared" si="0"/>
        <v>31</v>
      </c>
      <c r="C624" s="38">
        <v>194.20500000000001</v>
      </c>
      <c r="D624" s="38">
        <v>267.46600000000001</v>
      </c>
      <c r="E624" s="44">
        <v>812.32899999999995</v>
      </c>
      <c r="F624" s="38">
        <v>1274</v>
      </c>
      <c r="G624" s="38">
        <v>50</v>
      </c>
      <c r="H624" s="46">
        <v>600</v>
      </c>
      <c r="I624" s="38">
        <v>695</v>
      </c>
      <c r="J624" s="38">
        <v>0</v>
      </c>
      <c r="K624" s="39"/>
      <c r="L624" s="39"/>
      <c r="M624" s="39"/>
      <c r="N624" s="39"/>
      <c r="O624" s="39"/>
      <c r="P624" s="39"/>
      <c r="Q624" s="39"/>
      <c r="R624" s="39"/>
      <c r="S624" s="39"/>
      <c r="T624" s="39"/>
    </row>
    <row r="625" spans="1:20" ht="15.75">
      <c r="A625" s="13">
        <v>60175</v>
      </c>
      <c r="B625" s="47">
        <f t="shared" si="0"/>
        <v>30</v>
      </c>
      <c r="C625" s="38">
        <v>194.20500000000001</v>
      </c>
      <c r="D625" s="38">
        <v>267.46600000000001</v>
      </c>
      <c r="E625" s="44">
        <v>812.32899999999995</v>
      </c>
      <c r="F625" s="38">
        <v>1274</v>
      </c>
      <c r="G625" s="38">
        <v>50</v>
      </c>
      <c r="H625" s="46">
        <v>600</v>
      </c>
      <c r="I625" s="38">
        <v>695</v>
      </c>
      <c r="J625" s="38">
        <v>0</v>
      </c>
      <c r="K625" s="39"/>
      <c r="L625" s="39"/>
      <c r="M625" s="39"/>
      <c r="N625" s="39"/>
      <c r="O625" s="39"/>
      <c r="P625" s="39"/>
      <c r="Q625" s="39"/>
      <c r="R625" s="39"/>
      <c r="S625" s="39"/>
      <c r="T625" s="39"/>
    </row>
    <row r="626" spans="1:20" ht="15.75">
      <c r="A626" s="13">
        <v>60206</v>
      </c>
      <c r="B626" s="47">
        <f t="shared" si="0"/>
        <v>31</v>
      </c>
      <c r="C626" s="38">
        <v>131.881</v>
      </c>
      <c r="D626" s="38">
        <v>277.16699999999997</v>
      </c>
      <c r="E626" s="44">
        <v>829.952</v>
      </c>
      <c r="F626" s="38">
        <v>1239</v>
      </c>
      <c r="G626" s="38">
        <v>75</v>
      </c>
      <c r="H626" s="46">
        <v>600</v>
      </c>
      <c r="I626" s="38">
        <v>695</v>
      </c>
      <c r="J626" s="38">
        <v>0</v>
      </c>
      <c r="K626" s="39"/>
      <c r="L626" s="39"/>
      <c r="M626" s="39"/>
      <c r="N626" s="39"/>
      <c r="O626" s="39"/>
      <c r="P626" s="39"/>
      <c r="Q626" s="39"/>
      <c r="R626" s="39"/>
      <c r="S626" s="39"/>
      <c r="T626" s="39"/>
    </row>
    <row r="627" spans="1:20" ht="15.75">
      <c r="A627" s="13">
        <v>60236</v>
      </c>
      <c r="B627" s="47">
        <f t="shared" si="0"/>
        <v>30</v>
      </c>
      <c r="C627" s="38">
        <v>122.58</v>
      </c>
      <c r="D627" s="38">
        <v>297.94099999999997</v>
      </c>
      <c r="E627" s="44">
        <v>729.47900000000004</v>
      </c>
      <c r="F627" s="38">
        <v>1150</v>
      </c>
      <c r="G627" s="38">
        <v>100</v>
      </c>
      <c r="H627" s="46">
        <v>600</v>
      </c>
      <c r="I627" s="38">
        <v>695</v>
      </c>
      <c r="J627" s="38">
        <v>50</v>
      </c>
      <c r="K627" s="39"/>
      <c r="L627" s="39"/>
      <c r="M627" s="39"/>
      <c r="N627" s="39"/>
      <c r="O627" s="39"/>
      <c r="P627" s="39"/>
      <c r="Q627" s="39"/>
      <c r="R627" s="39"/>
      <c r="S627" s="39"/>
      <c r="T627" s="39"/>
    </row>
    <row r="628" spans="1:20" ht="15.75">
      <c r="A628" s="13">
        <v>60267</v>
      </c>
      <c r="B628" s="47">
        <f t="shared" si="0"/>
        <v>31</v>
      </c>
      <c r="C628" s="38">
        <v>122.58</v>
      </c>
      <c r="D628" s="38">
        <v>297.94099999999997</v>
      </c>
      <c r="E628" s="44">
        <v>729.47900000000004</v>
      </c>
      <c r="F628" s="38">
        <v>1150</v>
      </c>
      <c r="G628" s="38">
        <v>100</v>
      </c>
      <c r="H628" s="46">
        <v>600</v>
      </c>
      <c r="I628" s="38">
        <v>695</v>
      </c>
      <c r="J628" s="38">
        <v>50</v>
      </c>
      <c r="K628" s="39"/>
      <c r="L628" s="39"/>
      <c r="M628" s="39"/>
      <c r="N628" s="39"/>
      <c r="O628" s="39"/>
      <c r="P628" s="39"/>
      <c r="Q628" s="39"/>
      <c r="R628" s="39"/>
      <c r="S628" s="39"/>
      <c r="T628" s="39"/>
    </row>
    <row r="629" spans="1:20" ht="15.75">
      <c r="A629" s="13">
        <v>60298</v>
      </c>
      <c r="B629" s="47">
        <f t="shared" si="0"/>
        <v>31</v>
      </c>
      <c r="C629" s="38">
        <v>122.58</v>
      </c>
      <c r="D629" s="38">
        <v>297.94099999999997</v>
      </c>
      <c r="E629" s="44">
        <v>729.47900000000004</v>
      </c>
      <c r="F629" s="38">
        <v>1150</v>
      </c>
      <c r="G629" s="38">
        <v>100</v>
      </c>
      <c r="H629" s="46">
        <v>600</v>
      </c>
      <c r="I629" s="38">
        <v>695</v>
      </c>
      <c r="J629" s="38">
        <v>50</v>
      </c>
      <c r="K629" s="39"/>
      <c r="L629" s="39"/>
      <c r="M629" s="39"/>
      <c r="N629" s="39"/>
      <c r="O629" s="39"/>
      <c r="P629" s="39"/>
      <c r="Q629" s="39"/>
      <c r="R629" s="39"/>
      <c r="S629" s="39"/>
      <c r="T629" s="39"/>
    </row>
    <row r="630" spans="1:20" ht="15.75">
      <c r="A630" s="13">
        <v>60326</v>
      </c>
      <c r="B630" s="47">
        <f t="shared" si="0"/>
        <v>28</v>
      </c>
      <c r="C630" s="38">
        <v>122.58</v>
      </c>
      <c r="D630" s="38">
        <v>297.94099999999997</v>
      </c>
      <c r="E630" s="44">
        <v>729.47900000000004</v>
      </c>
      <c r="F630" s="38">
        <v>1150</v>
      </c>
      <c r="G630" s="38">
        <v>100</v>
      </c>
      <c r="H630" s="46">
        <v>600</v>
      </c>
      <c r="I630" s="38">
        <v>695</v>
      </c>
      <c r="J630" s="38">
        <v>50</v>
      </c>
      <c r="K630" s="39"/>
      <c r="L630" s="39"/>
      <c r="M630" s="39"/>
      <c r="N630" s="39"/>
      <c r="O630" s="39"/>
      <c r="P630" s="39"/>
      <c r="Q630" s="39"/>
      <c r="R630" s="39"/>
      <c r="S630" s="39"/>
      <c r="T630" s="39"/>
    </row>
    <row r="631" spans="1:20" ht="15.75">
      <c r="A631" s="13">
        <v>60357</v>
      </c>
      <c r="B631" s="47">
        <f t="shared" si="0"/>
        <v>31</v>
      </c>
      <c r="C631" s="38">
        <v>122.58</v>
      </c>
      <c r="D631" s="38">
        <v>297.94099999999997</v>
      </c>
      <c r="E631" s="44">
        <v>729.47900000000004</v>
      </c>
      <c r="F631" s="38">
        <v>1150</v>
      </c>
      <c r="G631" s="38">
        <v>100</v>
      </c>
      <c r="H631" s="46">
        <v>600</v>
      </c>
      <c r="I631" s="38">
        <v>695</v>
      </c>
      <c r="J631" s="38">
        <v>50</v>
      </c>
      <c r="K631" s="39"/>
      <c r="L631" s="39"/>
      <c r="M631" s="39"/>
      <c r="N631" s="39"/>
      <c r="O631" s="39"/>
      <c r="P631" s="39"/>
      <c r="Q631" s="39"/>
      <c r="R631" s="39"/>
      <c r="S631" s="39"/>
      <c r="T631" s="39"/>
    </row>
    <row r="632" spans="1:20" ht="15.75">
      <c r="A632" s="13">
        <v>60387</v>
      </c>
      <c r="B632" s="47">
        <f t="shared" si="0"/>
        <v>30</v>
      </c>
      <c r="C632" s="38">
        <v>141.29300000000001</v>
      </c>
      <c r="D632" s="38">
        <v>267.99299999999999</v>
      </c>
      <c r="E632" s="44">
        <v>829.71400000000006</v>
      </c>
      <c r="F632" s="38">
        <v>1239</v>
      </c>
      <c r="G632" s="38">
        <v>100</v>
      </c>
      <c r="H632" s="46">
        <v>600</v>
      </c>
      <c r="I632" s="38">
        <v>695</v>
      </c>
      <c r="J632" s="38">
        <v>50</v>
      </c>
      <c r="K632" s="39"/>
      <c r="L632" s="39"/>
      <c r="M632" s="39"/>
      <c r="N632" s="39"/>
      <c r="O632" s="39"/>
      <c r="P632" s="39"/>
      <c r="Q632" s="39"/>
      <c r="R632" s="39"/>
      <c r="S632" s="39"/>
      <c r="T632" s="39"/>
    </row>
    <row r="633" spans="1:20" ht="15.75">
      <c r="A633" s="13">
        <v>60418</v>
      </c>
      <c r="B633" s="47">
        <f t="shared" si="0"/>
        <v>31</v>
      </c>
      <c r="C633" s="38">
        <v>194.20500000000001</v>
      </c>
      <c r="D633" s="38">
        <v>267.46600000000001</v>
      </c>
      <c r="E633" s="44">
        <v>812.32899999999995</v>
      </c>
      <c r="F633" s="38">
        <v>1274</v>
      </c>
      <c r="G633" s="38">
        <v>75</v>
      </c>
      <c r="H633" s="46">
        <v>600</v>
      </c>
      <c r="I633" s="38">
        <v>695</v>
      </c>
      <c r="J633" s="38">
        <v>50</v>
      </c>
      <c r="K633" s="39"/>
      <c r="L633" s="39"/>
      <c r="M633" s="39"/>
      <c r="N633" s="39"/>
      <c r="O633" s="39"/>
      <c r="P633" s="39"/>
      <c r="Q633" s="39"/>
      <c r="R633" s="39"/>
      <c r="S633" s="39"/>
      <c r="T633" s="39"/>
    </row>
    <row r="634" spans="1:20" ht="15.75">
      <c r="A634" s="13">
        <v>60448</v>
      </c>
      <c r="B634" s="47">
        <f t="shared" si="0"/>
        <v>30</v>
      </c>
      <c r="C634" s="38">
        <v>194.20500000000001</v>
      </c>
      <c r="D634" s="38">
        <v>267.46600000000001</v>
      </c>
      <c r="E634" s="44">
        <v>812.32899999999995</v>
      </c>
      <c r="F634" s="38">
        <v>1274</v>
      </c>
      <c r="G634" s="38">
        <v>50</v>
      </c>
      <c r="H634" s="46">
        <v>600</v>
      </c>
      <c r="I634" s="38">
        <v>695</v>
      </c>
      <c r="J634" s="38">
        <v>50</v>
      </c>
      <c r="K634" s="39"/>
      <c r="L634" s="39"/>
      <c r="M634" s="39"/>
      <c r="N634" s="39"/>
      <c r="O634" s="39"/>
      <c r="P634" s="39"/>
      <c r="Q634" s="39"/>
      <c r="R634" s="39"/>
      <c r="S634" s="39"/>
      <c r="T634" s="39"/>
    </row>
    <row r="635" spans="1:20" ht="15.75">
      <c r="A635" s="13">
        <v>60479</v>
      </c>
      <c r="B635" s="47">
        <f t="shared" si="0"/>
        <v>31</v>
      </c>
      <c r="C635" s="38">
        <v>194.20500000000001</v>
      </c>
      <c r="D635" s="38">
        <v>267.46600000000001</v>
      </c>
      <c r="E635" s="44">
        <v>812.32899999999995</v>
      </c>
      <c r="F635" s="38">
        <v>1274</v>
      </c>
      <c r="G635" s="38">
        <v>50</v>
      </c>
      <c r="H635" s="46">
        <v>600</v>
      </c>
      <c r="I635" s="38">
        <v>695</v>
      </c>
      <c r="J635" s="38">
        <v>0</v>
      </c>
      <c r="K635" s="39"/>
      <c r="L635" s="39"/>
      <c r="M635" s="39"/>
      <c r="N635" s="39"/>
      <c r="O635" s="39"/>
      <c r="P635" s="39"/>
      <c r="Q635" s="39"/>
      <c r="R635" s="39"/>
      <c r="S635" s="39"/>
      <c r="T635" s="39"/>
    </row>
    <row r="636" spans="1:20" ht="15.75">
      <c r="A636" s="13">
        <v>60510</v>
      </c>
      <c r="B636" s="47">
        <f t="shared" si="0"/>
        <v>31</v>
      </c>
      <c r="C636" s="38">
        <v>194.20500000000001</v>
      </c>
      <c r="D636" s="38">
        <v>267.46600000000001</v>
      </c>
      <c r="E636" s="44">
        <v>812.32899999999995</v>
      </c>
      <c r="F636" s="38">
        <v>1274</v>
      </c>
      <c r="G636" s="38">
        <v>50</v>
      </c>
      <c r="H636" s="46">
        <v>600</v>
      </c>
      <c r="I636" s="38">
        <v>695</v>
      </c>
      <c r="J636" s="38">
        <v>0</v>
      </c>
      <c r="K636" s="39"/>
      <c r="L636" s="39"/>
      <c r="M636" s="39"/>
      <c r="N636" s="39"/>
      <c r="O636" s="39"/>
      <c r="P636" s="39"/>
      <c r="Q636" s="39"/>
      <c r="R636" s="39"/>
      <c r="S636" s="39"/>
      <c r="T636" s="39"/>
    </row>
    <row r="637" spans="1:20" ht="15.75">
      <c r="A637" s="13">
        <v>60540</v>
      </c>
      <c r="B637" s="47">
        <f t="shared" si="0"/>
        <v>30</v>
      </c>
      <c r="C637" s="38">
        <v>194.20500000000001</v>
      </c>
      <c r="D637" s="38">
        <v>267.46600000000001</v>
      </c>
      <c r="E637" s="44">
        <v>812.32899999999995</v>
      </c>
      <c r="F637" s="38">
        <v>1274</v>
      </c>
      <c r="G637" s="38">
        <v>50</v>
      </c>
      <c r="H637" s="46">
        <v>600</v>
      </c>
      <c r="I637" s="38">
        <v>695</v>
      </c>
      <c r="J637" s="38">
        <v>0</v>
      </c>
      <c r="K637" s="39"/>
      <c r="L637" s="39"/>
      <c r="M637" s="39"/>
      <c r="N637" s="39"/>
      <c r="O637" s="39"/>
      <c r="P637" s="39"/>
      <c r="Q637" s="39"/>
      <c r="R637" s="39"/>
      <c r="S637" s="39"/>
      <c r="T637" s="39"/>
    </row>
    <row r="638" spans="1:20" ht="15.75">
      <c r="A638" s="13">
        <v>60571</v>
      </c>
      <c r="B638" s="47">
        <f t="shared" si="0"/>
        <v>31</v>
      </c>
      <c r="C638" s="38">
        <v>131.881</v>
      </c>
      <c r="D638" s="38">
        <v>277.16699999999997</v>
      </c>
      <c r="E638" s="44">
        <v>829.952</v>
      </c>
      <c r="F638" s="38">
        <v>1239</v>
      </c>
      <c r="G638" s="38">
        <v>75</v>
      </c>
      <c r="H638" s="46">
        <v>600</v>
      </c>
      <c r="I638" s="38">
        <v>695</v>
      </c>
      <c r="J638" s="38">
        <v>0</v>
      </c>
      <c r="K638" s="39"/>
      <c r="L638" s="39"/>
      <c r="M638" s="39"/>
      <c r="N638" s="39"/>
      <c r="O638" s="39"/>
      <c r="P638" s="39"/>
      <c r="Q638" s="39"/>
      <c r="R638" s="39"/>
      <c r="S638" s="39"/>
      <c r="T638" s="39"/>
    </row>
    <row r="639" spans="1:20" ht="15.75">
      <c r="A639" s="13">
        <v>60601</v>
      </c>
      <c r="B639" s="47">
        <f t="shared" si="0"/>
        <v>30</v>
      </c>
      <c r="C639" s="38">
        <v>122.58</v>
      </c>
      <c r="D639" s="38">
        <v>297.94099999999997</v>
      </c>
      <c r="E639" s="44">
        <v>729.47900000000004</v>
      </c>
      <c r="F639" s="38">
        <v>1150</v>
      </c>
      <c r="G639" s="38">
        <v>100</v>
      </c>
      <c r="H639" s="46">
        <v>600</v>
      </c>
      <c r="I639" s="38">
        <v>695</v>
      </c>
      <c r="J639" s="38">
        <v>50</v>
      </c>
      <c r="K639" s="39"/>
      <c r="L639" s="39"/>
      <c r="M639" s="39"/>
      <c r="N639" s="39"/>
      <c r="O639" s="39"/>
      <c r="P639" s="39"/>
      <c r="Q639" s="39"/>
      <c r="R639" s="39"/>
      <c r="S639" s="39"/>
      <c r="T639" s="39"/>
    </row>
    <row r="640" spans="1:20" ht="15.75">
      <c r="A640" s="13">
        <v>60632</v>
      </c>
      <c r="B640" s="47">
        <f t="shared" si="0"/>
        <v>31</v>
      </c>
      <c r="C640" s="38">
        <v>122.58</v>
      </c>
      <c r="D640" s="38">
        <v>297.94099999999997</v>
      </c>
      <c r="E640" s="44">
        <v>729.47900000000004</v>
      </c>
      <c r="F640" s="38">
        <v>1150</v>
      </c>
      <c r="G640" s="38">
        <v>100</v>
      </c>
      <c r="H640" s="46">
        <v>600</v>
      </c>
      <c r="I640" s="38">
        <v>695</v>
      </c>
      <c r="J640" s="38">
        <v>50</v>
      </c>
      <c r="K640" s="39"/>
      <c r="L640" s="39"/>
      <c r="M640" s="39"/>
      <c r="N640" s="39"/>
      <c r="O640" s="39"/>
      <c r="P640" s="39"/>
      <c r="Q640" s="39"/>
      <c r="R640" s="39"/>
      <c r="S640" s="39"/>
      <c r="T640" s="39"/>
    </row>
    <row r="641" spans="1:20" ht="15.75">
      <c r="A641" s="13">
        <v>60663</v>
      </c>
      <c r="B641" s="47">
        <f t="shared" si="0"/>
        <v>31</v>
      </c>
      <c r="C641" s="38">
        <v>122.58</v>
      </c>
      <c r="D641" s="38">
        <v>297.94099999999997</v>
      </c>
      <c r="E641" s="44">
        <v>729.47900000000004</v>
      </c>
      <c r="F641" s="38">
        <v>1150</v>
      </c>
      <c r="G641" s="38">
        <v>100</v>
      </c>
      <c r="H641" s="46">
        <v>600</v>
      </c>
      <c r="I641" s="38">
        <v>695</v>
      </c>
      <c r="J641" s="38">
        <v>50</v>
      </c>
      <c r="K641" s="39"/>
      <c r="L641" s="39"/>
      <c r="M641" s="39"/>
      <c r="N641" s="39"/>
      <c r="O641" s="39"/>
      <c r="P641" s="39"/>
      <c r="Q641" s="39"/>
      <c r="R641" s="39"/>
      <c r="S641" s="39"/>
      <c r="T641" s="39"/>
    </row>
    <row r="642" spans="1:20" ht="15.75">
      <c r="A642" s="13">
        <v>60691</v>
      </c>
      <c r="B642" s="47">
        <f t="shared" si="0"/>
        <v>28</v>
      </c>
      <c r="C642" s="38">
        <v>122.58</v>
      </c>
      <c r="D642" s="38">
        <v>297.94099999999997</v>
      </c>
      <c r="E642" s="44">
        <v>729.47900000000004</v>
      </c>
      <c r="F642" s="38">
        <v>1150</v>
      </c>
      <c r="G642" s="38">
        <v>100</v>
      </c>
      <c r="H642" s="46">
        <v>600</v>
      </c>
      <c r="I642" s="38">
        <v>695</v>
      </c>
      <c r="J642" s="38">
        <v>50</v>
      </c>
      <c r="K642" s="39"/>
      <c r="L642" s="39"/>
      <c r="M642" s="39"/>
      <c r="N642" s="39"/>
      <c r="O642" s="39"/>
      <c r="P642" s="39"/>
      <c r="Q642" s="39"/>
      <c r="R642" s="39"/>
      <c r="S642" s="39"/>
      <c r="T642" s="39"/>
    </row>
    <row r="643" spans="1:20" ht="15.75">
      <c r="A643" s="13">
        <v>60722</v>
      </c>
      <c r="B643" s="47">
        <f t="shared" si="0"/>
        <v>31</v>
      </c>
      <c r="C643" s="38">
        <v>122.58</v>
      </c>
      <c r="D643" s="38">
        <v>297.94099999999997</v>
      </c>
      <c r="E643" s="44">
        <v>729.47900000000004</v>
      </c>
      <c r="F643" s="38">
        <v>1150</v>
      </c>
      <c r="G643" s="38">
        <v>100</v>
      </c>
      <c r="H643" s="46">
        <v>600</v>
      </c>
      <c r="I643" s="38">
        <v>695</v>
      </c>
      <c r="J643" s="38">
        <v>50</v>
      </c>
      <c r="K643" s="39"/>
      <c r="L643" s="39"/>
      <c r="M643" s="39"/>
      <c r="N643" s="39"/>
      <c r="O643" s="39"/>
      <c r="P643" s="39"/>
      <c r="Q643" s="39"/>
      <c r="R643" s="39"/>
      <c r="S643" s="39"/>
      <c r="T643" s="39"/>
    </row>
    <row r="644" spans="1:20" ht="15.75">
      <c r="A644" s="13">
        <v>60752</v>
      </c>
      <c r="B644" s="47">
        <f t="shared" si="0"/>
        <v>30</v>
      </c>
      <c r="C644" s="38">
        <v>141.29300000000001</v>
      </c>
      <c r="D644" s="38">
        <v>267.99299999999999</v>
      </c>
      <c r="E644" s="44">
        <v>829.71400000000006</v>
      </c>
      <c r="F644" s="38">
        <v>1239</v>
      </c>
      <c r="G644" s="38">
        <v>100</v>
      </c>
      <c r="H644" s="46">
        <v>600</v>
      </c>
      <c r="I644" s="38">
        <v>695</v>
      </c>
      <c r="J644" s="38">
        <v>50</v>
      </c>
      <c r="K644" s="39"/>
      <c r="L644" s="39"/>
      <c r="M644" s="39"/>
      <c r="N644" s="39"/>
      <c r="O644" s="39"/>
      <c r="P644" s="39"/>
      <c r="Q644" s="39"/>
      <c r="R644" s="39"/>
      <c r="S644" s="39"/>
      <c r="T644" s="39"/>
    </row>
    <row r="645" spans="1:20" ht="15.75">
      <c r="A645" s="13">
        <v>60783</v>
      </c>
      <c r="B645" s="47">
        <f t="shared" si="0"/>
        <v>31</v>
      </c>
      <c r="C645" s="38">
        <v>194.20500000000001</v>
      </c>
      <c r="D645" s="38">
        <v>267.46600000000001</v>
      </c>
      <c r="E645" s="44">
        <v>812.32899999999995</v>
      </c>
      <c r="F645" s="38">
        <v>1274</v>
      </c>
      <c r="G645" s="38">
        <v>75</v>
      </c>
      <c r="H645" s="46">
        <v>600</v>
      </c>
      <c r="I645" s="38">
        <v>695</v>
      </c>
      <c r="J645" s="38">
        <v>50</v>
      </c>
      <c r="K645" s="39"/>
      <c r="L645" s="39"/>
      <c r="M645" s="39"/>
      <c r="N645" s="39"/>
      <c r="O645" s="39"/>
      <c r="P645" s="39"/>
      <c r="Q645" s="39"/>
      <c r="R645" s="39"/>
      <c r="S645" s="39"/>
      <c r="T645" s="39"/>
    </row>
    <row r="646" spans="1:20" ht="15.75">
      <c r="A646" s="13">
        <v>60813</v>
      </c>
      <c r="B646" s="47">
        <f t="shared" si="0"/>
        <v>30</v>
      </c>
      <c r="C646" s="38">
        <v>194.20500000000001</v>
      </c>
      <c r="D646" s="38">
        <v>267.46600000000001</v>
      </c>
      <c r="E646" s="44">
        <v>812.32899999999995</v>
      </c>
      <c r="F646" s="38">
        <v>1274</v>
      </c>
      <c r="G646" s="38">
        <v>50</v>
      </c>
      <c r="H646" s="46">
        <v>600</v>
      </c>
      <c r="I646" s="38">
        <v>695</v>
      </c>
      <c r="J646" s="38">
        <v>50</v>
      </c>
      <c r="K646" s="39"/>
      <c r="L646" s="39"/>
      <c r="M646" s="39"/>
      <c r="N646" s="39"/>
      <c r="O646" s="39"/>
      <c r="P646" s="39"/>
      <c r="Q646" s="39"/>
      <c r="R646" s="39"/>
      <c r="S646" s="39"/>
      <c r="T646" s="39"/>
    </row>
    <row r="647" spans="1:20" ht="15.75">
      <c r="A647" s="13">
        <v>60844</v>
      </c>
      <c r="B647" s="47">
        <f t="shared" si="0"/>
        <v>31</v>
      </c>
      <c r="C647" s="38">
        <v>194.20500000000001</v>
      </c>
      <c r="D647" s="38">
        <v>267.46600000000001</v>
      </c>
      <c r="E647" s="44">
        <v>812.32899999999995</v>
      </c>
      <c r="F647" s="38">
        <v>1274</v>
      </c>
      <c r="G647" s="38">
        <v>50</v>
      </c>
      <c r="H647" s="46">
        <v>600</v>
      </c>
      <c r="I647" s="38">
        <v>695</v>
      </c>
      <c r="J647" s="38">
        <v>0</v>
      </c>
      <c r="K647" s="39"/>
      <c r="L647" s="39"/>
      <c r="M647" s="39"/>
      <c r="N647" s="39"/>
      <c r="O647" s="39"/>
      <c r="P647" s="39"/>
      <c r="Q647" s="39"/>
      <c r="R647" s="39"/>
      <c r="S647" s="39"/>
      <c r="T647" s="39"/>
    </row>
    <row r="648" spans="1:20" ht="15.75">
      <c r="A648" s="13">
        <v>60875</v>
      </c>
      <c r="B648" s="47">
        <f t="shared" si="0"/>
        <v>31</v>
      </c>
      <c r="C648" s="38">
        <v>194.20500000000001</v>
      </c>
      <c r="D648" s="38">
        <v>267.46600000000001</v>
      </c>
      <c r="E648" s="44">
        <v>812.32899999999995</v>
      </c>
      <c r="F648" s="38">
        <v>1274</v>
      </c>
      <c r="G648" s="38">
        <v>50</v>
      </c>
      <c r="H648" s="46">
        <v>600</v>
      </c>
      <c r="I648" s="38">
        <v>695</v>
      </c>
      <c r="J648" s="38">
        <v>0</v>
      </c>
      <c r="K648" s="39"/>
      <c r="L648" s="39"/>
      <c r="M648" s="39"/>
      <c r="N648" s="39"/>
      <c r="O648" s="39"/>
      <c r="P648" s="39"/>
      <c r="Q648" s="39"/>
      <c r="R648" s="39"/>
      <c r="S648" s="39"/>
      <c r="T648" s="39"/>
    </row>
    <row r="649" spans="1:20" ht="15.75">
      <c r="A649" s="13">
        <v>60905</v>
      </c>
      <c r="B649" s="47">
        <f t="shared" si="0"/>
        <v>30</v>
      </c>
      <c r="C649" s="38">
        <v>194.20500000000001</v>
      </c>
      <c r="D649" s="38">
        <v>267.46600000000001</v>
      </c>
      <c r="E649" s="44">
        <v>812.32899999999995</v>
      </c>
      <c r="F649" s="38">
        <v>1274</v>
      </c>
      <c r="G649" s="38">
        <v>50</v>
      </c>
      <c r="H649" s="46">
        <v>600</v>
      </c>
      <c r="I649" s="38">
        <v>695</v>
      </c>
      <c r="J649" s="38">
        <v>0</v>
      </c>
      <c r="K649" s="39"/>
      <c r="L649" s="39"/>
      <c r="M649" s="39"/>
      <c r="N649" s="39"/>
      <c r="O649" s="39"/>
      <c r="P649" s="39"/>
      <c r="Q649" s="39"/>
      <c r="R649" s="39"/>
      <c r="S649" s="39"/>
      <c r="T649" s="39"/>
    </row>
    <row r="650" spans="1:20" ht="15.75">
      <c r="A650" s="13">
        <v>60936</v>
      </c>
      <c r="B650" s="47">
        <f t="shared" si="0"/>
        <v>31</v>
      </c>
      <c r="C650" s="38">
        <v>131.881</v>
      </c>
      <c r="D650" s="38">
        <v>277.16699999999997</v>
      </c>
      <c r="E650" s="44">
        <v>829.952</v>
      </c>
      <c r="F650" s="38">
        <v>1239</v>
      </c>
      <c r="G650" s="38">
        <v>75</v>
      </c>
      <c r="H650" s="46">
        <v>600</v>
      </c>
      <c r="I650" s="38">
        <v>695</v>
      </c>
      <c r="J650" s="38">
        <v>0</v>
      </c>
      <c r="K650" s="39"/>
      <c r="L650" s="39"/>
      <c r="M650" s="39"/>
      <c r="N650" s="39"/>
      <c r="O650" s="39"/>
      <c r="P650" s="39"/>
      <c r="Q650" s="39"/>
      <c r="R650" s="39"/>
      <c r="S650" s="39"/>
      <c r="T650" s="39"/>
    </row>
    <row r="651" spans="1:20" ht="15.75">
      <c r="A651" s="13">
        <v>60966</v>
      </c>
      <c r="B651" s="47">
        <f t="shared" si="0"/>
        <v>30</v>
      </c>
      <c r="C651" s="38">
        <v>122.58</v>
      </c>
      <c r="D651" s="38">
        <v>297.94099999999997</v>
      </c>
      <c r="E651" s="44">
        <v>729.47900000000004</v>
      </c>
      <c r="F651" s="38">
        <v>1150</v>
      </c>
      <c r="G651" s="38">
        <v>100</v>
      </c>
      <c r="H651" s="46">
        <v>600</v>
      </c>
      <c r="I651" s="38">
        <v>695</v>
      </c>
      <c r="J651" s="38">
        <v>50</v>
      </c>
      <c r="K651" s="39"/>
      <c r="L651" s="39"/>
      <c r="M651" s="39"/>
      <c r="N651" s="39"/>
      <c r="O651" s="39"/>
      <c r="P651" s="39"/>
      <c r="Q651" s="39"/>
      <c r="R651" s="39"/>
      <c r="S651" s="39"/>
      <c r="T651" s="39"/>
    </row>
    <row r="652" spans="1:20" ht="15.75">
      <c r="A652" s="13">
        <v>60997</v>
      </c>
      <c r="B652" s="47">
        <f t="shared" si="0"/>
        <v>31</v>
      </c>
      <c r="C652" s="38">
        <v>122.58</v>
      </c>
      <c r="D652" s="38">
        <v>297.94099999999997</v>
      </c>
      <c r="E652" s="44">
        <v>729.47900000000004</v>
      </c>
      <c r="F652" s="38">
        <v>1150</v>
      </c>
      <c r="G652" s="38">
        <v>100</v>
      </c>
      <c r="H652" s="46">
        <v>600</v>
      </c>
      <c r="I652" s="38">
        <v>695</v>
      </c>
      <c r="J652" s="38">
        <v>50</v>
      </c>
      <c r="K652" s="39"/>
      <c r="L652" s="39"/>
      <c r="M652" s="39"/>
      <c r="N652" s="39"/>
      <c r="O652" s="39"/>
      <c r="P652" s="39"/>
      <c r="Q652" s="39"/>
      <c r="R652" s="39"/>
      <c r="S652" s="39"/>
      <c r="T652" s="39"/>
    </row>
    <row r="653" spans="1:20" ht="15.75">
      <c r="A653" s="13">
        <v>61028</v>
      </c>
      <c r="B653" s="47">
        <f t="shared" si="0"/>
        <v>31</v>
      </c>
      <c r="C653" s="38">
        <v>122.58</v>
      </c>
      <c r="D653" s="38">
        <v>297.94099999999997</v>
      </c>
      <c r="E653" s="44">
        <v>729.47900000000004</v>
      </c>
      <c r="F653" s="38">
        <v>1150</v>
      </c>
      <c r="G653" s="38">
        <v>100</v>
      </c>
      <c r="H653" s="46">
        <v>600</v>
      </c>
      <c r="I653" s="38">
        <v>695</v>
      </c>
      <c r="J653" s="38">
        <v>50</v>
      </c>
      <c r="K653" s="39"/>
      <c r="L653" s="39"/>
      <c r="M653" s="39"/>
      <c r="N653" s="39"/>
      <c r="O653" s="39"/>
      <c r="P653" s="39"/>
      <c r="Q653" s="39"/>
      <c r="R653" s="39"/>
      <c r="S653" s="39"/>
      <c r="T653" s="39"/>
    </row>
    <row r="654" spans="1:20" ht="15.75">
      <c r="A654" s="13">
        <v>61056</v>
      </c>
      <c r="B654" s="47">
        <f t="shared" si="0"/>
        <v>28</v>
      </c>
      <c r="C654" s="38">
        <v>122.58</v>
      </c>
      <c r="D654" s="38">
        <v>297.94099999999997</v>
      </c>
      <c r="E654" s="44">
        <v>729.47900000000004</v>
      </c>
      <c r="F654" s="38">
        <v>1150</v>
      </c>
      <c r="G654" s="38">
        <v>100</v>
      </c>
      <c r="H654" s="46">
        <v>600</v>
      </c>
      <c r="I654" s="38">
        <v>695</v>
      </c>
      <c r="J654" s="38">
        <v>50</v>
      </c>
      <c r="K654" s="39"/>
      <c r="L654" s="39"/>
      <c r="M654" s="39"/>
      <c r="N654" s="39"/>
      <c r="O654" s="39"/>
      <c r="P654" s="39"/>
      <c r="Q654" s="39"/>
      <c r="R654" s="39"/>
      <c r="S654" s="39"/>
      <c r="T654" s="39"/>
    </row>
    <row r="655" spans="1:20" ht="15.75">
      <c r="A655" s="13">
        <v>61087</v>
      </c>
      <c r="B655" s="47">
        <f t="shared" si="0"/>
        <v>31</v>
      </c>
      <c r="C655" s="38">
        <v>122.58</v>
      </c>
      <c r="D655" s="38">
        <v>297.94099999999997</v>
      </c>
      <c r="E655" s="44">
        <v>729.47900000000004</v>
      </c>
      <c r="F655" s="38">
        <v>1150</v>
      </c>
      <c r="G655" s="38">
        <v>100</v>
      </c>
      <c r="H655" s="46">
        <v>600</v>
      </c>
      <c r="I655" s="38">
        <v>695</v>
      </c>
      <c r="J655" s="38">
        <v>50</v>
      </c>
      <c r="K655" s="39"/>
      <c r="L655" s="39"/>
      <c r="M655" s="39"/>
      <c r="N655" s="39"/>
      <c r="O655" s="39"/>
      <c r="P655" s="39"/>
      <c r="Q655" s="39"/>
      <c r="R655" s="39"/>
      <c r="S655" s="39"/>
      <c r="T655" s="39"/>
    </row>
    <row r="656" spans="1:20" ht="15.75">
      <c r="A656" s="13">
        <v>61117</v>
      </c>
      <c r="B656" s="47">
        <f t="shared" si="0"/>
        <v>30</v>
      </c>
      <c r="C656" s="38">
        <v>141.29300000000001</v>
      </c>
      <c r="D656" s="38">
        <v>267.99299999999999</v>
      </c>
      <c r="E656" s="44">
        <v>829.71400000000006</v>
      </c>
      <c r="F656" s="38">
        <v>1239</v>
      </c>
      <c r="G656" s="38">
        <v>100</v>
      </c>
      <c r="H656" s="46">
        <v>600</v>
      </c>
      <c r="I656" s="38">
        <v>695</v>
      </c>
      <c r="J656" s="38">
        <v>50</v>
      </c>
      <c r="K656" s="39"/>
      <c r="L656" s="39"/>
      <c r="M656" s="39"/>
      <c r="N656" s="39"/>
      <c r="O656" s="39"/>
      <c r="P656" s="39"/>
      <c r="Q656" s="39"/>
      <c r="R656" s="39"/>
      <c r="S656" s="39"/>
      <c r="T656" s="39"/>
    </row>
    <row r="657" spans="1:20" ht="15.75">
      <c r="A657" s="13">
        <v>61148</v>
      </c>
      <c r="B657" s="47">
        <f t="shared" ref="B657:B720" si="1">EOMONTH(A657,0)-EOMONTH(A657,-1)</f>
        <v>31</v>
      </c>
      <c r="C657" s="38">
        <v>194.20500000000001</v>
      </c>
      <c r="D657" s="38">
        <v>267.46600000000001</v>
      </c>
      <c r="E657" s="44">
        <v>812.32899999999995</v>
      </c>
      <c r="F657" s="38">
        <v>1274</v>
      </c>
      <c r="G657" s="38">
        <v>75</v>
      </c>
      <c r="H657" s="46">
        <v>600</v>
      </c>
      <c r="I657" s="38">
        <v>695</v>
      </c>
      <c r="J657" s="38">
        <v>50</v>
      </c>
      <c r="K657" s="39"/>
      <c r="L657" s="39"/>
      <c r="M657" s="39"/>
      <c r="N657" s="39"/>
      <c r="O657" s="39"/>
      <c r="P657" s="39"/>
      <c r="Q657" s="39"/>
      <c r="R657" s="39"/>
      <c r="S657" s="39"/>
      <c r="T657" s="39"/>
    </row>
    <row r="658" spans="1:20" ht="15.75">
      <c r="A658" s="13">
        <v>61178</v>
      </c>
      <c r="B658" s="47">
        <f t="shared" si="1"/>
        <v>30</v>
      </c>
      <c r="C658" s="38">
        <v>194.20500000000001</v>
      </c>
      <c r="D658" s="38">
        <v>267.46600000000001</v>
      </c>
      <c r="E658" s="44">
        <v>812.32899999999995</v>
      </c>
      <c r="F658" s="38">
        <v>1274</v>
      </c>
      <c r="G658" s="38">
        <v>50</v>
      </c>
      <c r="H658" s="46">
        <v>600</v>
      </c>
      <c r="I658" s="38">
        <v>695</v>
      </c>
      <c r="J658" s="38">
        <v>50</v>
      </c>
      <c r="K658" s="39"/>
      <c r="L658" s="39"/>
      <c r="M658" s="39"/>
      <c r="N658" s="39"/>
      <c r="O658" s="39"/>
      <c r="P658" s="39"/>
      <c r="Q658" s="39"/>
      <c r="R658" s="39"/>
      <c r="S658" s="39"/>
      <c r="T658" s="39"/>
    </row>
    <row r="659" spans="1:20" ht="15.75">
      <c r="A659" s="13">
        <v>61209</v>
      </c>
      <c r="B659" s="47">
        <f t="shared" si="1"/>
        <v>31</v>
      </c>
      <c r="C659" s="38">
        <v>194.20500000000001</v>
      </c>
      <c r="D659" s="38">
        <v>267.46600000000001</v>
      </c>
      <c r="E659" s="44">
        <v>812.32899999999995</v>
      </c>
      <c r="F659" s="38">
        <v>1274</v>
      </c>
      <c r="G659" s="38">
        <v>50</v>
      </c>
      <c r="H659" s="46">
        <v>600</v>
      </c>
      <c r="I659" s="38">
        <v>695</v>
      </c>
      <c r="J659" s="38">
        <v>0</v>
      </c>
      <c r="K659" s="39"/>
      <c r="L659" s="39"/>
      <c r="M659" s="39"/>
      <c r="N659" s="39"/>
      <c r="O659" s="39"/>
      <c r="P659" s="39"/>
      <c r="Q659" s="39"/>
      <c r="R659" s="39"/>
      <c r="S659" s="39"/>
      <c r="T659" s="39"/>
    </row>
    <row r="660" spans="1:20" ht="15.75">
      <c r="A660" s="13">
        <v>61240</v>
      </c>
      <c r="B660" s="47">
        <f t="shared" si="1"/>
        <v>31</v>
      </c>
      <c r="C660" s="38">
        <v>194.20500000000001</v>
      </c>
      <c r="D660" s="38">
        <v>267.46600000000001</v>
      </c>
      <c r="E660" s="44">
        <v>812.32899999999995</v>
      </c>
      <c r="F660" s="38">
        <v>1274</v>
      </c>
      <c r="G660" s="38">
        <v>50</v>
      </c>
      <c r="H660" s="46">
        <v>600</v>
      </c>
      <c r="I660" s="38">
        <v>695</v>
      </c>
      <c r="J660" s="38">
        <v>0</v>
      </c>
      <c r="K660" s="39"/>
      <c r="L660" s="39"/>
      <c r="M660" s="39"/>
      <c r="N660" s="39"/>
      <c r="O660" s="39"/>
      <c r="P660" s="39"/>
      <c r="Q660" s="39"/>
      <c r="R660" s="39"/>
      <c r="S660" s="39"/>
      <c r="T660" s="39"/>
    </row>
    <row r="661" spans="1:20" ht="15.75">
      <c r="A661" s="13">
        <v>61270</v>
      </c>
      <c r="B661" s="47">
        <f t="shared" si="1"/>
        <v>30</v>
      </c>
      <c r="C661" s="38">
        <v>194.20500000000001</v>
      </c>
      <c r="D661" s="38">
        <v>267.46600000000001</v>
      </c>
      <c r="E661" s="44">
        <v>812.32899999999995</v>
      </c>
      <c r="F661" s="38">
        <v>1274</v>
      </c>
      <c r="G661" s="38">
        <v>50</v>
      </c>
      <c r="H661" s="46">
        <v>600</v>
      </c>
      <c r="I661" s="38">
        <v>695</v>
      </c>
      <c r="J661" s="38">
        <v>0</v>
      </c>
      <c r="K661" s="39"/>
      <c r="L661" s="39"/>
      <c r="M661" s="39"/>
      <c r="N661" s="39"/>
      <c r="O661" s="39"/>
      <c r="P661" s="39"/>
      <c r="Q661" s="39"/>
      <c r="R661" s="39"/>
      <c r="S661" s="39"/>
      <c r="T661" s="39"/>
    </row>
    <row r="662" spans="1:20" ht="15.75">
      <c r="A662" s="13">
        <v>61301</v>
      </c>
      <c r="B662" s="47">
        <f t="shared" si="1"/>
        <v>31</v>
      </c>
      <c r="C662" s="38">
        <v>131.881</v>
      </c>
      <c r="D662" s="38">
        <v>277.16699999999997</v>
      </c>
      <c r="E662" s="44">
        <v>829.952</v>
      </c>
      <c r="F662" s="38">
        <v>1239</v>
      </c>
      <c r="G662" s="38">
        <v>75</v>
      </c>
      <c r="H662" s="46">
        <v>600</v>
      </c>
      <c r="I662" s="38">
        <v>695</v>
      </c>
      <c r="J662" s="38">
        <v>0</v>
      </c>
      <c r="K662" s="39"/>
      <c r="L662" s="39"/>
      <c r="M662" s="39"/>
      <c r="N662" s="39"/>
      <c r="O662" s="39"/>
      <c r="P662" s="39"/>
      <c r="Q662" s="39"/>
      <c r="R662" s="39"/>
      <c r="S662" s="39"/>
      <c r="T662" s="39"/>
    </row>
    <row r="663" spans="1:20" ht="15.75">
      <c r="A663" s="13">
        <v>61331</v>
      </c>
      <c r="B663" s="47">
        <f t="shared" si="1"/>
        <v>30</v>
      </c>
      <c r="C663" s="38">
        <v>122.58</v>
      </c>
      <c r="D663" s="38">
        <v>297.94099999999997</v>
      </c>
      <c r="E663" s="44">
        <v>729.47900000000004</v>
      </c>
      <c r="F663" s="38">
        <v>1150</v>
      </c>
      <c r="G663" s="38">
        <v>100</v>
      </c>
      <c r="H663" s="46">
        <v>600</v>
      </c>
      <c r="I663" s="38">
        <v>695</v>
      </c>
      <c r="J663" s="38">
        <v>50</v>
      </c>
      <c r="K663" s="39"/>
      <c r="L663" s="39"/>
      <c r="M663" s="39"/>
      <c r="N663" s="39"/>
      <c r="O663" s="39"/>
      <c r="P663" s="39"/>
      <c r="Q663" s="39"/>
      <c r="R663" s="39"/>
      <c r="S663" s="39"/>
      <c r="T663" s="39"/>
    </row>
    <row r="664" spans="1:20" ht="15.75">
      <c r="A664" s="13">
        <v>61362</v>
      </c>
      <c r="B664" s="47">
        <f t="shared" si="1"/>
        <v>31</v>
      </c>
      <c r="C664" s="38">
        <v>122.58</v>
      </c>
      <c r="D664" s="38">
        <v>297.94099999999997</v>
      </c>
      <c r="E664" s="44">
        <v>729.47900000000004</v>
      </c>
      <c r="F664" s="38">
        <v>1150</v>
      </c>
      <c r="G664" s="38">
        <v>100</v>
      </c>
      <c r="H664" s="46">
        <v>600</v>
      </c>
      <c r="I664" s="38">
        <v>695</v>
      </c>
      <c r="J664" s="38">
        <v>50</v>
      </c>
      <c r="K664" s="39"/>
      <c r="L664" s="39"/>
      <c r="M664" s="39"/>
      <c r="N664" s="39"/>
      <c r="O664" s="39"/>
      <c r="P664" s="39"/>
      <c r="Q664" s="39"/>
      <c r="R664" s="39"/>
      <c r="S664" s="39"/>
      <c r="T664" s="39"/>
    </row>
    <row r="665" spans="1:20" ht="15.75">
      <c r="A665" s="13">
        <v>61393</v>
      </c>
      <c r="B665" s="47">
        <f t="shared" si="1"/>
        <v>31</v>
      </c>
      <c r="C665" s="38">
        <v>122.58</v>
      </c>
      <c r="D665" s="38">
        <v>297.94099999999997</v>
      </c>
      <c r="E665" s="44">
        <v>729.47900000000004</v>
      </c>
      <c r="F665" s="38">
        <v>1150</v>
      </c>
      <c r="G665" s="38">
        <v>100</v>
      </c>
      <c r="H665" s="46">
        <v>600</v>
      </c>
      <c r="I665" s="38">
        <v>695</v>
      </c>
      <c r="J665" s="38">
        <v>50</v>
      </c>
      <c r="K665" s="39"/>
      <c r="L665" s="39"/>
      <c r="M665" s="39"/>
      <c r="N665" s="39"/>
      <c r="O665" s="39"/>
      <c r="P665" s="39"/>
      <c r="Q665" s="39"/>
      <c r="R665" s="39"/>
      <c r="S665" s="39"/>
      <c r="T665" s="39"/>
    </row>
    <row r="666" spans="1:20" ht="15.75">
      <c r="A666" s="13">
        <v>61422</v>
      </c>
      <c r="B666" s="47">
        <f t="shared" si="1"/>
        <v>29</v>
      </c>
      <c r="C666" s="38">
        <v>122.58</v>
      </c>
      <c r="D666" s="38">
        <v>297.94099999999997</v>
      </c>
      <c r="E666" s="44">
        <v>729.47900000000004</v>
      </c>
      <c r="F666" s="38">
        <v>1150</v>
      </c>
      <c r="G666" s="38">
        <v>100</v>
      </c>
      <c r="H666" s="46">
        <v>600</v>
      </c>
      <c r="I666" s="38">
        <v>695</v>
      </c>
      <c r="J666" s="38">
        <v>50</v>
      </c>
      <c r="K666" s="39"/>
      <c r="L666" s="39"/>
      <c r="M666" s="39"/>
      <c r="N666" s="39"/>
      <c r="O666" s="39"/>
      <c r="P666" s="39"/>
      <c r="Q666" s="39"/>
      <c r="R666" s="39"/>
      <c r="S666" s="39"/>
      <c r="T666" s="39"/>
    </row>
    <row r="667" spans="1:20" ht="15.75">
      <c r="A667" s="13">
        <v>61453</v>
      </c>
      <c r="B667" s="47">
        <f t="shared" si="1"/>
        <v>31</v>
      </c>
      <c r="C667" s="38">
        <v>122.58</v>
      </c>
      <c r="D667" s="38">
        <v>297.94099999999997</v>
      </c>
      <c r="E667" s="44">
        <v>729.47900000000004</v>
      </c>
      <c r="F667" s="38">
        <v>1150</v>
      </c>
      <c r="G667" s="38">
        <v>100</v>
      </c>
      <c r="H667" s="46">
        <v>600</v>
      </c>
      <c r="I667" s="38">
        <v>695</v>
      </c>
      <c r="J667" s="38">
        <v>50</v>
      </c>
      <c r="K667" s="39"/>
      <c r="L667" s="39"/>
      <c r="M667" s="39"/>
      <c r="N667" s="39"/>
      <c r="O667" s="39"/>
      <c r="P667" s="39"/>
      <c r="Q667" s="39"/>
      <c r="R667" s="39"/>
      <c r="S667" s="39"/>
      <c r="T667" s="39"/>
    </row>
    <row r="668" spans="1:20" ht="15.75">
      <c r="A668" s="13">
        <v>61483</v>
      </c>
      <c r="B668" s="47">
        <f t="shared" si="1"/>
        <v>30</v>
      </c>
      <c r="C668" s="38">
        <v>141.29300000000001</v>
      </c>
      <c r="D668" s="38">
        <v>267.99299999999999</v>
      </c>
      <c r="E668" s="44">
        <v>829.71400000000006</v>
      </c>
      <c r="F668" s="38">
        <v>1239</v>
      </c>
      <c r="G668" s="38">
        <v>100</v>
      </c>
      <c r="H668" s="46">
        <v>600</v>
      </c>
      <c r="I668" s="38">
        <v>695</v>
      </c>
      <c r="J668" s="38">
        <v>50</v>
      </c>
      <c r="K668" s="39"/>
      <c r="L668" s="39"/>
      <c r="M668" s="39"/>
      <c r="N668" s="39"/>
      <c r="O668" s="39"/>
      <c r="P668" s="39"/>
      <c r="Q668" s="39"/>
      <c r="R668" s="39"/>
      <c r="S668" s="39"/>
      <c r="T668" s="39"/>
    </row>
    <row r="669" spans="1:20" ht="15.75">
      <c r="A669" s="13">
        <v>61514</v>
      </c>
      <c r="B669" s="47">
        <f t="shared" si="1"/>
        <v>31</v>
      </c>
      <c r="C669" s="38">
        <v>194.20500000000001</v>
      </c>
      <c r="D669" s="38">
        <v>267.46600000000001</v>
      </c>
      <c r="E669" s="44">
        <v>812.32899999999995</v>
      </c>
      <c r="F669" s="38">
        <v>1274</v>
      </c>
      <c r="G669" s="38">
        <v>75</v>
      </c>
      <c r="H669" s="46">
        <v>600</v>
      </c>
      <c r="I669" s="38">
        <v>695</v>
      </c>
      <c r="J669" s="38">
        <v>50</v>
      </c>
      <c r="K669" s="39"/>
      <c r="L669" s="39"/>
      <c r="M669" s="39"/>
      <c r="N669" s="39"/>
      <c r="O669" s="39"/>
      <c r="P669" s="39"/>
      <c r="Q669" s="39"/>
      <c r="R669" s="39"/>
      <c r="S669" s="39"/>
      <c r="T669" s="39"/>
    </row>
    <row r="670" spans="1:20" ht="15.75">
      <c r="A670" s="13">
        <v>61544</v>
      </c>
      <c r="B670" s="47">
        <f t="shared" si="1"/>
        <v>30</v>
      </c>
      <c r="C670" s="38">
        <v>194.20500000000001</v>
      </c>
      <c r="D670" s="38">
        <v>267.46600000000001</v>
      </c>
      <c r="E670" s="44">
        <v>812.32899999999995</v>
      </c>
      <c r="F670" s="38">
        <v>1274</v>
      </c>
      <c r="G670" s="38">
        <v>50</v>
      </c>
      <c r="H670" s="46">
        <v>600</v>
      </c>
      <c r="I670" s="38">
        <v>695</v>
      </c>
      <c r="J670" s="38">
        <v>50</v>
      </c>
      <c r="K670" s="39"/>
      <c r="L670" s="39"/>
      <c r="M670" s="39"/>
      <c r="N670" s="39"/>
      <c r="O670" s="39"/>
      <c r="P670" s="39"/>
      <c r="Q670" s="39"/>
      <c r="R670" s="39"/>
      <c r="S670" s="39"/>
      <c r="T670" s="39"/>
    </row>
    <row r="671" spans="1:20" ht="15.75">
      <c r="A671" s="13">
        <v>61575</v>
      </c>
      <c r="B671" s="47">
        <f t="shared" si="1"/>
        <v>31</v>
      </c>
      <c r="C671" s="38">
        <v>194.20500000000001</v>
      </c>
      <c r="D671" s="38">
        <v>267.46600000000001</v>
      </c>
      <c r="E671" s="44">
        <v>812.32899999999995</v>
      </c>
      <c r="F671" s="38">
        <v>1274</v>
      </c>
      <c r="G671" s="38">
        <v>50</v>
      </c>
      <c r="H671" s="46">
        <v>600</v>
      </c>
      <c r="I671" s="38">
        <v>695</v>
      </c>
      <c r="J671" s="38">
        <v>0</v>
      </c>
      <c r="K671" s="39"/>
      <c r="L671" s="39"/>
      <c r="M671" s="39"/>
      <c r="N671" s="39"/>
      <c r="O671" s="39"/>
      <c r="P671" s="39"/>
      <c r="Q671" s="39"/>
      <c r="R671" s="39"/>
      <c r="S671" s="39"/>
      <c r="T671" s="39"/>
    </row>
    <row r="672" spans="1:20" ht="15.75">
      <c r="A672" s="13">
        <v>61606</v>
      </c>
      <c r="B672" s="47">
        <f t="shared" si="1"/>
        <v>31</v>
      </c>
      <c r="C672" s="38">
        <v>194.20500000000001</v>
      </c>
      <c r="D672" s="38">
        <v>267.46600000000001</v>
      </c>
      <c r="E672" s="44">
        <v>812.32899999999995</v>
      </c>
      <c r="F672" s="38">
        <v>1274</v>
      </c>
      <c r="G672" s="38">
        <v>50</v>
      </c>
      <c r="H672" s="46">
        <v>600</v>
      </c>
      <c r="I672" s="38">
        <v>695</v>
      </c>
      <c r="J672" s="38">
        <v>0</v>
      </c>
      <c r="K672" s="39"/>
      <c r="L672" s="39"/>
      <c r="M672" s="39"/>
      <c r="N672" s="39"/>
      <c r="O672" s="39"/>
      <c r="P672" s="39"/>
      <c r="Q672" s="39"/>
      <c r="R672" s="39"/>
      <c r="S672" s="39"/>
      <c r="T672" s="39"/>
    </row>
    <row r="673" spans="1:20" ht="15.75">
      <c r="A673" s="13">
        <v>61636</v>
      </c>
      <c r="B673" s="47">
        <f t="shared" si="1"/>
        <v>30</v>
      </c>
      <c r="C673" s="38">
        <v>194.20500000000001</v>
      </c>
      <c r="D673" s="38">
        <v>267.46600000000001</v>
      </c>
      <c r="E673" s="44">
        <v>812.32899999999995</v>
      </c>
      <c r="F673" s="38">
        <v>1274</v>
      </c>
      <c r="G673" s="38">
        <v>50</v>
      </c>
      <c r="H673" s="46">
        <v>600</v>
      </c>
      <c r="I673" s="38">
        <v>695</v>
      </c>
      <c r="J673" s="38">
        <v>0</v>
      </c>
      <c r="K673" s="39"/>
      <c r="L673" s="39"/>
      <c r="M673" s="39"/>
      <c r="N673" s="39"/>
      <c r="O673" s="39"/>
      <c r="P673" s="39"/>
      <c r="Q673" s="39"/>
      <c r="R673" s="39"/>
      <c r="S673" s="39"/>
      <c r="T673" s="39"/>
    </row>
    <row r="674" spans="1:20" ht="15.75">
      <c r="A674" s="13">
        <v>61667</v>
      </c>
      <c r="B674" s="47">
        <f t="shared" si="1"/>
        <v>31</v>
      </c>
      <c r="C674" s="38">
        <v>131.881</v>
      </c>
      <c r="D674" s="38">
        <v>277.16699999999997</v>
      </c>
      <c r="E674" s="44">
        <v>829.952</v>
      </c>
      <c r="F674" s="38">
        <v>1239</v>
      </c>
      <c r="G674" s="38">
        <v>75</v>
      </c>
      <c r="H674" s="46">
        <v>600</v>
      </c>
      <c r="I674" s="38">
        <v>695</v>
      </c>
      <c r="J674" s="38">
        <v>0</v>
      </c>
      <c r="K674" s="39"/>
      <c r="L674" s="39"/>
      <c r="M674" s="39"/>
      <c r="N674" s="39"/>
      <c r="O674" s="39"/>
      <c r="P674" s="39"/>
      <c r="Q674" s="39"/>
      <c r="R674" s="39"/>
      <c r="S674" s="39"/>
      <c r="T674" s="39"/>
    </row>
    <row r="675" spans="1:20" ht="15.75">
      <c r="A675" s="13">
        <v>61697</v>
      </c>
      <c r="B675" s="47">
        <f t="shared" si="1"/>
        <v>30</v>
      </c>
      <c r="C675" s="38">
        <v>122.58</v>
      </c>
      <c r="D675" s="38">
        <v>297.94099999999997</v>
      </c>
      <c r="E675" s="44">
        <v>729.47900000000004</v>
      </c>
      <c r="F675" s="38">
        <v>1150</v>
      </c>
      <c r="G675" s="38">
        <v>100</v>
      </c>
      <c r="H675" s="46">
        <v>600</v>
      </c>
      <c r="I675" s="38">
        <v>695</v>
      </c>
      <c r="J675" s="38">
        <v>50</v>
      </c>
      <c r="K675" s="39"/>
      <c r="L675" s="39"/>
      <c r="M675" s="39"/>
      <c r="N675" s="39"/>
      <c r="O675" s="39"/>
      <c r="P675" s="39"/>
      <c r="Q675" s="39"/>
      <c r="R675" s="39"/>
      <c r="S675" s="39"/>
      <c r="T675" s="39"/>
    </row>
    <row r="676" spans="1:20" ht="15.75">
      <c r="A676" s="13">
        <v>61728</v>
      </c>
      <c r="B676" s="47">
        <f t="shared" si="1"/>
        <v>31</v>
      </c>
      <c r="C676" s="38">
        <v>122.58</v>
      </c>
      <c r="D676" s="38">
        <v>297.94099999999997</v>
      </c>
      <c r="E676" s="44">
        <v>729.47900000000004</v>
      </c>
      <c r="F676" s="38">
        <v>1150</v>
      </c>
      <c r="G676" s="38">
        <v>100</v>
      </c>
      <c r="H676" s="46">
        <v>600</v>
      </c>
      <c r="I676" s="38">
        <v>695</v>
      </c>
      <c r="J676" s="38">
        <v>50</v>
      </c>
      <c r="K676" s="39"/>
      <c r="L676" s="39"/>
      <c r="M676" s="39"/>
      <c r="N676" s="39"/>
      <c r="O676" s="39"/>
      <c r="P676" s="39"/>
      <c r="Q676" s="39"/>
      <c r="R676" s="39"/>
      <c r="S676" s="39"/>
      <c r="T676" s="39"/>
    </row>
    <row r="677" spans="1:20" ht="15.75">
      <c r="A677" s="13">
        <v>61759</v>
      </c>
      <c r="B677" s="47">
        <f t="shared" si="1"/>
        <v>31</v>
      </c>
      <c r="C677" s="38">
        <v>122.58</v>
      </c>
      <c r="D677" s="38">
        <v>297.94099999999997</v>
      </c>
      <c r="E677" s="44">
        <v>729.47900000000004</v>
      </c>
      <c r="F677" s="38">
        <v>1150</v>
      </c>
      <c r="G677" s="38">
        <v>100</v>
      </c>
      <c r="H677" s="46">
        <v>600</v>
      </c>
      <c r="I677" s="38">
        <v>695</v>
      </c>
      <c r="J677" s="38">
        <v>50</v>
      </c>
      <c r="K677" s="39"/>
      <c r="L677" s="39"/>
      <c r="M677" s="39"/>
      <c r="N677" s="39"/>
      <c r="O677" s="39"/>
      <c r="P677" s="39"/>
      <c r="Q677" s="39"/>
      <c r="R677" s="39"/>
      <c r="S677" s="39"/>
      <c r="T677" s="39"/>
    </row>
    <row r="678" spans="1:20" ht="15.75">
      <c r="A678" s="13">
        <v>61787</v>
      </c>
      <c r="B678" s="47">
        <f t="shared" si="1"/>
        <v>28</v>
      </c>
      <c r="C678" s="38">
        <v>122.58</v>
      </c>
      <c r="D678" s="38">
        <v>297.94099999999997</v>
      </c>
      <c r="E678" s="44">
        <v>729.47900000000004</v>
      </c>
      <c r="F678" s="38">
        <v>1150</v>
      </c>
      <c r="G678" s="38">
        <v>100</v>
      </c>
      <c r="H678" s="46">
        <v>600</v>
      </c>
      <c r="I678" s="38">
        <v>695</v>
      </c>
      <c r="J678" s="38">
        <v>50</v>
      </c>
      <c r="K678" s="39"/>
      <c r="L678" s="39"/>
      <c r="M678" s="39"/>
      <c r="N678" s="39"/>
      <c r="O678" s="39"/>
      <c r="P678" s="39"/>
      <c r="Q678" s="39"/>
      <c r="R678" s="39"/>
      <c r="S678" s="39"/>
      <c r="T678" s="39"/>
    </row>
    <row r="679" spans="1:20" ht="15.75">
      <c r="A679" s="13">
        <v>61818</v>
      </c>
      <c r="B679" s="47">
        <f t="shared" si="1"/>
        <v>31</v>
      </c>
      <c r="C679" s="38">
        <v>122.58</v>
      </c>
      <c r="D679" s="38">
        <v>297.94099999999997</v>
      </c>
      <c r="E679" s="44">
        <v>729.47900000000004</v>
      </c>
      <c r="F679" s="38">
        <v>1150</v>
      </c>
      <c r="G679" s="38">
        <v>100</v>
      </c>
      <c r="H679" s="46">
        <v>600</v>
      </c>
      <c r="I679" s="38">
        <v>695</v>
      </c>
      <c r="J679" s="38">
        <v>50</v>
      </c>
      <c r="K679" s="39"/>
      <c r="L679" s="39"/>
      <c r="M679" s="39"/>
      <c r="N679" s="39"/>
      <c r="O679" s="39"/>
      <c r="P679" s="39"/>
      <c r="Q679" s="39"/>
      <c r="R679" s="39"/>
      <c r="S679" s="39"/>
      <c r="T679" s="39"/>
    </row>
    <row r="680" spans="1:20" ht="15.75">
      <c r="A680" s="13">
        <v>61848</v>
      </c>
      <c r="B680" s="47">
        <f t="shared" si="1"/>
        <v>30</v>
      </c>
      <c r="C680" s="38">
        <v>141.29300000000001</v>
      </c>
      <c r="D680" s="38">
        <v>267.99299999999999</v>
      </c>
      <c r="E680" s="44">
        <v>829.71400000000006</v>
      </c>
      <c r="F680" s="38">
        <v>1239</v>
      </c>
      <c r="G680" s="38">
        <v>100</v>
      </c>
      <c r="H680" s="46">
        <v>600</v>
      </c>
      <c r="I680" s="38">
        <v>695</v>
      </c>
      <c r="J680" s="38">
        <v>50</v>
      </c>
      <c r="K680" s="39"/>
      <c r="L680" s="39"/>
      <c r="M680" s="39"/>
      <c r="N680" s="39"/>
      <c r="O680" s="39"/>
      <c r="P680" s="39"/>
      <c r="Q680" s="39"/>
      <c r="R680" s="39"/>
      <c r="S680" s="39"/>
      <c r="T680" s="39"/>
    </row>
    <row r="681" spans="1:20" ht="15.75">
      <c r="A681" s="13">
        <v>61879</v>
      </c>
      <c r="B681" s="47">
        <f t="shared" si="1"/>
        <v>31</v>
      </c>
      <c r="C681" s="38">
        <v>194.20500000000001</v>
      </c>
      <c r="D681" s="38">
        <v>267.46600000000001</v>
      </c>
      <c r="E681" s="44">
        <v>812.32899999999995</v>
      </c>
      <c r="F681" s="38">
        <v>1274</v>
      </c>
      <c r="G681" s="38">
        <v>75</v>
      </c>
      <c r="H681" s="46">
        <v>600</v>
      </c>
      <c r="I681" s="38">
        <v>695</v>
      </c>
      <c r="J681" s="38">
        <v>50</v>
      </c>
      <c r="K681" s="39"/>
      <c r="L681" s="39"/>
      <c r="M681" s="39"/>
      <c r="N681" s="39"/>
      <c r="O681" s="39"/>
      <c r="P681" s="39"/>
      <c r="Q681" s="39"/>
      <c r="R681" s="39"/>
      <c r="S681" s="39"/>
      <c r="T681" s="39"/>
    </row>
    <row r="682" spans="1:20" ht="15.75">
      <c r="A682" s="13">
        <v>61909</v>
      </c>
      <c r="B682" s="47">
        <f t="shared" si="1"/>
        <v>30</v>
      </c>
      <c r="C682" s="38">
        <v>194.20500000000001</v>
      </c>
      <c r="D682" s="38">
        <v>267.46600000000001</v>
      </c>
      <c r="E682" s="44">
        <v>812.32899999999995</v>
      </c>
      <c r="F682" s="38">
        <v>1274</v>
      </c>
      <c r="G682" s="38">
        <v>50</v>
      </c>
      <c r="H682" s="46">
        <v>600</v>
      </c>
      <c r="I682" s="38">
        <v>695</v>
      </c>
      <c r="J682" s="38">
        <v>50</v>
      </c>
      <c r="K682" s="39"/>
      <c r="L682" s="39"/>
      <c r="M682" s="39"/>
      <c r="N682" s="39"/>
      <c r="O682" s="39"/>
      <c r="P682" s="39"/>
      <c r="Q682" s="39"/>
      <c r="R682" s="39"/>
      <c r="S682" s="39"/>
      <c r="T682" s="39"/>
    </row>
    <row r="683" spans="1:20" ht="15.75">
      <c r="A683" s="13">
        <v>61940</v>
      </c>
      <c r="B683" s="47">
        <f t="shared" si="1"/>
        <v>31</v>
      </c>
      <c r="C683" s="38">
        <v>194.20500000000001</v>
      </c>
      <c r="D683" s="38">
        <v>267.46600000000001</v>
      </c>
      <c r="E683" s="44">
        <v>812.32899999999995</v>
      </c>
      <c r="F683" s="38">
        <v>1274</v>
      </c>
      <c r="G683" s="38">
        <v>50</v>
      </c>
      <c r="H683" s="46">
        <v>600</v>
      </c>
      <c r="I683" s="38">
        <v>695</v>
      </c>
      <c r="J683" s="38">
        <v>0</v>
      </c>
      <c r="K683" s="39"/>
      <c r="L683" s="39"/>
      <c r="M683" s="39"/>
      <c r="N683" s="39"/>
      <c r="O683" s="39"/>
      <c r="P683" s="39"/>
      <c r="Q683" s="39"/>
      <c r="R683" s="39"/>
      <c r="S683" s="39"/>
      <c r="T683" s="39"/>
    </row>
    <row r="684" spans="1:20" ht="15.75">
      <c r="A684" s="13">
        <v>61971</v>
      </c>
      <c r="B684" s="47">
        <f t="shared" si="1"/>
        <v>31</v>
      </c>
      <c r="C684" s="38">
        <v>194.20500000000001</v>
      </c>
      <c r="D684" s="38">
        <v>267.46600000000001</v>
      </c>
      <c r="E684" s="44">
        <v>812.32899999999995</v>
      </c>
      <c r="F684" s="38">
        <v>1274</v>
      </c>
      <c r="G684" s="38">
        <v>50</v>
      </c>
      <c r="H684" s="46">
        <v>600</v>
      </c>
      <c r="I684" s="38">
        <v>695</v>
      </c>
      <c r="J684" s="38">
        <v>0</v>
      </c>
      <c r="K684" s="39"/>
      <c r="L684" s="39"/>
      <c r="M684" s="39"/>
      <c r="N684" s="39"/>
      <c r="O684" s="39"/>
      <c r="P684" s="39"/>
      <c r="Q684" s="39"/>
      <c r="R684" s="39"/>
      <c r="S684" s="39"/>
      <c r="T684" s="39"/>
    </row>
    <row r="685" spans="1:20" ht="15.75">
      <c r="A685" s="13">
        <v>62001</v>
      </c>
      <c r="B685" s="47">
        <f t="shared" si="1"/>
        <v>30</v>
      </c>
      <c r="C685" s="38">
        <v>194.20500000000001</v>
      </c>
      <c r="D685" s="38">
        <v>267.46600000000001</v>
      </c>
      <c r="E685" s="44">
        <v>812.32899999999995</v>
      </c>
      <c r="F685" s="38">
        <v>1274</v>
      </c>
      <c r="G685" s="38">
        <v>50</v>
      </c>
      <c r="H685" s="46">
        <v>600</v>
      </c>
      <c r="I685" s="38">
        <v>695</v>
      </c>
      <c r="J685" s="38">
        <v>0</v>
      </c>
      <c r="K685" s="39"/>
      <c r="L685" s="39"/>
      <c r="M685" s="39"/>
      <c r="N685" s="39"/>
      <c r="O685" s="39"/>
      <c r="P685" s="39"/>
      <c r="Q685" s="39"/>
      <c r="R685" s="39"/>
      <c r="S685" s="39"/>
      <c r="T685" s="39"/>
    </row>
    <row r="686" spans="1:20" ht="15.75">
      <c r="A686" s="13">
        <v>62032</v>
      </c>
      <c r="B686" s="47">
        <f t="shared" si="1"/>
        <v>31</v>
      </c>
      <c r="C686" s="38">
        <v>131.881</v>
      </c>
      <c r="D686" s="38">
        <v>277.16699999999997</v>
      </c>
      <c r="E686" s="44">
        <v>829.952</v>
      </c>
      <c r="F686" s="38">
        <v>1239</v>
      </c>
      <c r="G686" s="38">
        <v>75</v>
      </c>
      <c r="H686" s="46">
        <v>600</v>
      </c>
      <c r="I686" s="38">
        <v>695</v>
      </c>
      <c r="J686" s="38">
        <v>0</v>
      </c>
      <c r="K686" s="39"/>
      <c r="L686" s="39"/>
      <c r="M686" s="39"/>
      <c r="N686" s="39"/>
      <c r="O686" s="39"/>
      <c r="P686" s="39"/>
      <c r="Q686" s="39"/>
      <c r="R686" s="39"/>
      <c r="S686" s="39"/>
      <c r="T686" s="39"/>
    </row>
    <row r="687" spans="1:20" ht="15.75">
      <c r="A687" s="13">
        <v>62062</v>
      </c>
      <c r="B687" s="47">
        <f t="shared" si="1"/>
        <v>30</v>
      </c>
      <c r="C687" s="38">
        <v>122.58</v>
      </c>
      <c r="D687" s="38">
        <v>297.94099999999997</v>
      </c>
      <c r="E687" s="44">
        <v>729.47900000000004</v>
      </c>
      <c r="F687" s="38">
        <v>1150</v>
      </c>
      <c r="G687" s="38">
        <v>100</v>
      </c>
      <c r="H687" s="46">
        <v>600</v>
      </c>
      <c r="I687" s="38">
        <v>695</v>
      </c>
      <c r="J687" s="38">
        <v>50</v>
      </c>
      <c r="K687" s="39"/>
      <c r="L687" s="39"/>
      <c r="M687" s="39"/>
      <c r="N687" s="39"/>
      <c r="O687" s="39"/>
      <c r="P687" s="39"/>
      <c r="Q687" s="39"/>
      <c r="R687" s="39"/>
      <c r="S687" s="39"/>
      <c r="T687" s="39"/>
    </row>
    <row r="688" spans="1:20" ht="15.75">
      <c r="A688" s="13">
        <v>62093</v>
      </c>
      <c r="B688" s="47">
        <f t="shared" si="1"/>
        <v>31</v>
      </c>
      <c r="C688" s="38">
        <v>122.58</v>
      </c>
      <c r="D688" s="38">
        <v>297.94099999999997</v>
      </c>
      <c r="E688" s="44">
        <v>729.47900000000004</v>
      </c>
      <c r="F688" s="38">
        <v>1150</v>
      </c>
      <c r="G688" s="38">
        <v>100</v>
      </c>
      <c r="H688" s="46">
        <v>600</v>
      </c>
      <c r="I688" s="38">
        <v>695</v>
      </c>
      <c r="J688" s="38">
        <v>50</v>
      </c>
      <c r="K688" s="39"/>
      <c r="L688" s="39"/>
      <c r="M688" s="39"/>
      <c r="N688" s="39"/>
      <c r="O688" s="39"/>
      <c r="P688" s="39"/>
      <c r="Q688" s="39"/>
      <c r="R688" s="39"/>
      <c r="S688" s="39"/>
      <c r="T688" s="39"/>
    </row>
    <row r="689" spans="1:20" ht="15.75">
      <c r="A689" s="13">
        <v>62124</v>
      </c>
      <c r="B689" s="47">
        <f t="shared" si="1"/>
        <v>31</v>
      </c>
      <c r="C689" s="38">
        <v>122.58</v>
      </c>
      <c r="D689" s="38">
        <v>297.94099999999997</v>
      </c>
      <c r="E689" s="44">
        <v>729.47900000000004</v>
      </c>
      <c r="F689" s="38">
        <v>1150</v>
      </c>
      <c r="G689" s="38">
        <v>100</v>
      </c>
      <c r="H689" s="46">
        <v>600</v>
      </c>
      <c r="I689" s="38">
        <v>695</v>
      </c>
      <c r="J689" s="38">
        <v>50</v>
      </c>
      <c r="K689" s="39"/>
      <c r="L689" s="39"/>
      <c r="M689" s="39"/>
      <c r="N689" s="39"/>
      <c r="O689" s="39"/>
      <c r="P689" s="39"/>
      <c r="Q689" s="39"/>
      <c r="R689" s="39"/>
      <c r="S689" s="39"/>
      <c r="T689" s="39"/>
    </row>
    <row r="690" spans="1:20" ht="15.75">
      <c r="A690" s="13">
        <v>62152</v>
      </c>
      <c r="B690" s="47">
        <f t="shared" si="1"/>
        <v>28</v>
      </c>
      <c r="C690" s="38">
        <v>122.58</v>
      </c>
      <c r="D690" s="38">
        <v>297.94099999999997</v>
      </c>
      <c r="E690" s="44">
        <v>729.47900000000004</v>
      </c>
      <c r="F690" s="38">
        <v>1150</v>
      </c>
      <c r="G690" s="38">
        <v>100</v>
      </c>
      <c r="H690" s="46">
        <v>600</v>
      </c>
      <c r="I690" s="38">
        <v>695</v>
      </c>
      <c r="J690" s="38">
        <v>50</v>
      </c>
      <c r="K690" s="39"/>
      <c r="L690" s="39"/>
      <c r="M690" s="39"/>
      <c r="N690" s="39"/>
      <c r="O690" s="39"/>
      <c r="P690" s="39"/>
      <c r="Q690" s="39"/>
      <c r="R690" s="39"/>
      <c r="S690" s="39"/>
      <c r="T690" s="39"/>
    </row>
    <row r="691" spans="1:20" ht="15.75">
      <c r="A691" s="13">
        <v>62183</v>
      </c>
      <c r="B691" s="47">
        <f t="shared" si="1"/>
        <v>31</v>
      </c>
      <c r="C691" s="38">
        <v>122.58</v>
      </c>
      <c r="D691" s="38">
        <v>297.94099999999997</v>
      </c>
      <c r="E691" s="44">
        <v>729.47900000000004</v>
      </c>
      <c r="F691" s="38">
        <v>1150</v>
      </c>
      <c r="G691" s="38">
        <v>100</v>
      </c>
      <c r="H691" s="46">
        <v>600</v>
      </c>
      <c r="I691" s="38">
        <v>695</v>
      </c>
      <c r="J691" s="38">
        <v>50</v>
      </c>
      <c r="K691" s="39"/>
      <c r="L691" s="39"/>
      <c r="M691" s="39"/>
      <c r="N691" s="39"/>
      <c r="O691" s="39"/>
      <c r="P691" s="39"/>
      <c r="Q691" s="39"/>
      <c r="R691" s="39"/>
      <c r="S691" s="39"/>
      <c r="T691" s="39"/>
    </row>
    <row r="692" spans="1:20" ht="15.75">
      <c r="A692" s="13">
        <v>62213</v>
      </c>
      <c r="B692" s="47">
        <f t="shared" si="1"/>
        <v>30</v>
      </c>
      <c r="C692" s="38">
        <v>141.29300000000001</v>
      </c>
      <c r="D692" s="38">
        <v>267.99299999999999</v>
      </c>
      <c r="E692" s="44">
        <v>829.71400000000006</v>
      </c>
      <c r="F692" s="38">
        <v>1239</v>
      </c>
      <c r="G692" s="38">
        <v>100</v>
      </c>
      <c r="H692" s="46">
        <v>600</v>
      </c>
      <c r="I692" s="38">
        <v>695</v>
      </c>
      <c r="J692" s="38">
        <v>50</v>
      </c>
      <c r="K692" s="39"/>
      <c r="L692" s="39"/>
      <c r="M692" s="39"/>
      <c r="N692" s="39"/>
      <c r="O692" s="39"/>
      <c r="P692" s="39"/>
      <c r="Q692" s="39"/>
      <c r="R692" s="39"/>
      <c r="S692" s="39"/>
      <c r="T692" s="39"/>
    </row>
    <row r="693" spans="1:20" ht="15.75">
      <c r="A693" s="13">
        <v>62244</v>
      </c>
      <c r="B693" s="47">
        <f t="shared" si="1"/>
        <v>31</v>
      </c>
      <c r="C693" s="38">
        <v>194.20500000000001</v>
      </c>
      <c r="D693" s="38">
        <v>267.46600000000001</v>
      </c>
      <c r="E693" s="44">
        <v>812.32899999999995</v>
      </c>
      <c r="F693" s="38">
        <v>1274</v>
      </c>
      <c r="G693" s="38">
        <v>75</v>
      </c>
      <c r="H693" s="46">
        <v>600</v>
      </c>
      <c r="I693" s="38">
        <v>695</v>
      </c>
      <c r="J693" s="38">
        <v>50</v>
      </c>
      <c r="K693" s="39"/>
      <c r="L693" s="39"/>
      <c r="M693" s="39"/>
      <c r="N693" s="39"/>
      <c r="O693" s="39"/>
      <c r="P693" s="39"/>
      <c r="Q693" s="39"/>
      <c r="R693" s="39"/>
      <c r="S693" s="39"/>
      <c r="T693" s="39"/>
    </row>
    <row r="694" spans="1:20" ht="15.75">
      <c r="A694" s="13">
        <v>62274</v>
      </c>
      <c r="B694" s="47">
        <f t="shared" si="1"/>
        <v>30</v>
      </c>
      <c r="C694" s="38">
        <v>194.20500000000001</v>
      </c>
      <c r="D694" s="38">
        <v>267.46600000000001</v>
      </c>
      <c r="E694" s="44">
        <v>812.32899999999995</v>
      </c>
      <c r="F694" s="38">
        <v>1274</v>
      </c>
      <c r="G694" s="38">
        <v>50</v>
      </c>
      <c r="H694" s="46">
        <v>600</v>
      </c>
      <c r="I694" s="38">
        <v>695</v>
      </c>
      <c r="J694" s="38">
        <v>50</v>
      </c>
      <c r="K694" s="39"/>
      <c r="L694" s="39"/>
      <c r="M694" s="39"/>
      <c r="N694" s="39"/>
      <c r="O694" s="39"/>
      <c r="P694" s="39"/>
      <c r="Q694" s="39"/>
      <c r="R694" s="39"/>
      <c r="S694" s="39"/>
      <c r="T694" s="39"/>
    </row>
    <row r="695" spans="1:20" ht="15.75">
      <c r="A695" s="13">
        <v>62305</v>
      </c>
      <c r="B695" s="47">
        <f t="shared" si="1"/>
        <v>31</v>
      </c>
      <c r="C695" s="38">
        <v>194.20500000000001</v>
      </c>
      <c r="D695" s="38">
        <v>267.46600000000001</v>
      </c>
      <c r="E695" s="44">
        <v>812.32899999999995</v>
      </c>
      <c r="F695" s="38">
        <v>1274</v>
      </c>
      <c r="G695" s="38">
        <v>50</v>
      </c>
      <c r="H695" s="46">
        <v>600</v>
      </c>
      <c r="I695" s="38">
        <v>695</v>
      </c>
      <c r="J695" s="38">
        <v>0</v>
      </c>
      <c r="K695" s="39"/>
      <c r="L695" s="39"/>
      <c r="M695" s="39"/>
      <c r="N695" s="39"/>
      <c r="O695" s="39"/>
      <c r="P695" s="39"/>
      <c r="Q695" s="39"/>
      <c r="R695" s="39"/>
      <c r="S695" s="39"/>
      <c r="T695" s="39"/>
    </row>
    <row r="696" spans="1:20" ht="15.75">
      <c r="A696" s="13">
        <v>62336</v>
      </c>
      <c r="B696" s="47">
        <f t="shared" si="1"/>
        <v>31</v>
      </c>
      <c r="C696" s="38">
        <v>194.20500000000001</v>
      </c>
      <c r="D696" s="38">
        <v>267.46600000000001</v>
      </c>
      <c r="E696" s="44">
        <v>812.32899999999995</v>
      </c>
      <c r="F696" s="38">
        <v>1274</v>
      </c>
      <c r="G696" s="38">
        <v>50</v>
      </c>
      <c r="H696" s="46">
        <v>600</v>
      </c>
      <c r="I696" s="38">
        <v>695</v>
      </c>
      <c r="J696" s="38">
        <v>0</v>
      </c>
      <c r="K696" s="39"/>
      <c r="L696" s="39"/>
      <c r="M696" s="39"/>
      <c r="N696" s="39"/>
      <c r="O696" s="39"/>
      <c r="P696" s="39"/>
      <c r="Q696" s="39"/>
      <c r="R696" s="39"/>
      <c r="S696" s="39"/>
      <c r="T696" s="39"/>
    </row>
    <row r="697" spans="1:20" ht="15.75">
      <c r="A697" s="13">
        <v>62366</v>
      </c>
      <c r="B697" s="47">
        <f t="shared" si="1"/>
        <v>30</v>
      </c>
      <c r="C697" s="38">
        <v>194.20500000000001</v>
      </c>
      <c r="D697" s="38">
        <v>267.46600000000001</v>
      </c>
      <c r="E697" s="44">
        <v>812.32899999999995</v>
      </c>
      <c r="F697" s="38">
        <v>1274</v>
      </c>
      <c r="G697" s="38">
        <v>50</v>
      </c>
      <c r="H697" s="46">
        <v>600</v>
      </c>
      <c r="I697" s="38">
        <v>695</v>
      </c>
      <c r="J697" s="38">
        <v>0</v>
      </c>
      <c r="K697" s="39"/>
      <c r="L697" s="39"/>
      <c r="M697" s="39"/>
      <c r="N697" s="39"/>
      <c r="O697" s="39"/>
      <c r="P697" s="39"/>
      <c r="Q697" s="39"/>
      <c r="R697" s="39"/>
      <c r="S697" s="39"/>
      <c r="T697" s="39"/>
    </row>
    <row r="698" spans="1:20" ht="15.75">
      <c r="A698" s="13">
        <v>62397</v>
      </c>
      <c r="B698" s="47">
        <f t="shared" si="1"/>
        <v>31</v>
      </c>
      <c r="C698" s="38">
        <v>131.881</v>
      </c>
      <c r="D698" s="38">
        <v>277.16699999999997</v>
      </c>
      <c r="E698" s="44">
        <v>829.952</v>
      </c>
      <c r="F698" s="38">
        <v>1239</v>
      </c>
      <c r="G698" s="38">
        <v>75</v>
      </c>
      <c r="H698" s="46">
        <v>600</v>
      </c>
      <c r="I698" s="38">
        <v>695</v>
      </c>
      <c r="J698" s="38">
        <v>0</v>
      </c>
      <c r="K698" s="39"/>
      <c r="L698" s="39"/>
      <c r="M698" s="39"/>
      <c r="N698" s="39"/>
      <c r="O698" s="39"/>
      <c r="P698" s="39"/>
      <c r="Q698" s="39"/>
      <c r="R698" s="39"/>
      <c r="S698" s="39"/>
      <c r="T698" s="39"/>
    </row>
    <row r="699" spans="1:20" ht="15.75">
      <c r="A699" s="13">
        <v>62427</v>
      </c>
      <c r="B699" s="47">
        <f t="shared" si="1"/>
        <v>30</v>
      </c>
      <c r="C699" s="38">
        <v>122.58</v>
      </c>
      <c r="D699" s="38">
        <v>297.94099999999997</v>
      </c>
      <c r="E699" s="44">
        <v>729.47900000000004</v>
      </c>
      <c r="F699" s="38">
        <v>1150</v>
      </c>
      <c r="G699" s="38">
        <v>100</v>
      </c>
      <c r="H699" s="46">
        <v>600</v>
      </c>
      <c r="I699" s="38">
        <v>695</v>
      </c>
      <c r="J699" s="38">
        <v>50</v>
      </c>
      <c r="K699" s="39"/>
      <c r="L699" s="39"/>
      <c r="M699" s="39"/>
      <c r="N699" s="39"/>
      <c r="O699" s="39"/>
      <c r="P699" s="39"/>
      <c r="Q699" s="39"/>
      <c r="R699" s="39"/>
      <c r="S699" s="39"/>
      <c r="T699" s="39"/>
    </row>
    <row r="700" spans="1:20" ht="15.75">
      <c r="A700" s="13">
        <v>62458</v>
      </c>
      <c r="B700" s="47">
        <f t="shared" si="1"/>
        <v>31</v>
      </c>
      <c r="C700" s="38">
        <v>122.58</v>
      </c>
      <c r="D700" s="38">
        <v>297.94099999999997</v>
      </c>
      <c r="E700" s="44">
        <v>729.47900000000004</v>
      </c>
      <c r="F700" s="38">
        <v>1150</v>
      </c>
      <c r="G700" s="38">
        <v>100</v>
      </c>
      <c r="H700" s="46">
        <v>600</v>
      </c>
      <c r="I700" s="38">
        <v>695</v>
      </c>
      <c r="J700" s="38">
        <v>50</v>
      </c>
      <c r="K700" s="39"/>
      <c r="L700" s="39"/>
      <c r="M700" s="39"/>
      <c r="N700" s="39"/>
      <c r="O700" s="39"/>
      <c r="P700" s="39"/>
      <c r="Q700" s="39"/>
      <c r="R700" s="39"/>
      <c r="S700" s="39"/>
      <c r="T700" s="39"/>
    </row>
    <row r="701" spans="1:20" ht="15.75">
      <c r="A701" s="13">
        <v>62489</v>
      </c>
      <c r="B701" s="47">
        <f t="shared" si="1"/>
        <v>31</v>
      </c>
      <c r="C701" s="38">
        <v>122.58</v>
      </c>
      <c r="D701" s="38">
        <v>297.94099999999997</v>
      </c>
      <c r="E701" s="44">
        <v>729.47900000000004</v>
      </c>
      <c r="F701" s="38">
        <v>1150</v>
      </c>
      <c r="G701" s="38">
        <v>100</v>
      </c>
      <c r="H701" s="46">
        <v>600</v>
      </c>
      <c r="I701" s="38">
        <v>695</v>
      </c>
      <c r="J701" s="38">
        <v>50</v>
      </c>
      <c r="K701" s="39"/>
      <c r="L701" s="39"/>
      <c r="M701" s="39"/>
      <c r="N701" s="39"/>
      <c r="O701" s="39"/>
      <c r="P701" s="39"/>
      <c r="Q701" s="39"/>
      <c r="R701" s="39"/>
      <c r="S701" s="39"/>
      <c r="T701" s="39"/>
    </row>
    <row r="702" spans="1:20" ht="15.75">
      <c r="A702" s="13">
        <v>62517</v>
      </c>
      <c r="B702" s="47">
        <f t="shared" si="1"/>
        <v>28</v>
      </c>
      <c r="C702" s="38">
        <v>122.58</v>
      </c>
      <c r="D702" s="38">
        <v>297.94099999999997</v>
      </c>
      <c r="E702" s="44">
        <v>729.47900000000004</v>
      </c>
      <c r="F702" s="38">
        <v>1150</v>
      </c>
      <c r="G702" s="38">
        <v>100</v>
      </c>
      <c r="H702" s="46">
        <v>600</v>
      </c>
      <c r="I702" s="38">
        <v>695</v>
      </c>
      <c r="J702" s="38">
        <v>50</v>
      </c>
      <c r="K702" s="39"/>
      <c r="L702" s="39"/>
      <c r="M702" s="39"/>
      <c r="N702" s="39"/>
      <c r="O702" s="39"/>
      <c r="P702" s="39"/>
      <c r="Q702" s="39"/>
      <c r="R702" s="39"/>
      <c r="S702" s="39"/>
      <c r="T702" s="39"/>
    </row>
    <row r="703" spans="1:20" ht="15.75">
      <c r="A703" s="13">
        <v>62548</v>
      </c>
      <c r="B703" s="47">
        <f t="shared" si="1"/>
        <v>31</v>
      </c>
      <c r="C703" s="38">
        <v>122.58</v>
      </c>
      <c r="D703" s="38">
        <v>297.94099999999997</v>
      </c>
      <c r="E703" s="44">
        <v>729.47900000000004</v>
      </c>
      <c r="F703" s="38">
        <v>1150</v>
      </c>
      <c r="G703" s="38">
        <v>100</v>
      </c>
      <c r="H703" s="46">
        <v>600</v>
      </c>
      <c r="I703" s="38">
        <v>695</v>
      </c>
      <c r="J703" s="38">
        <v>50</v>
      </c>
      <c r="K703" s="39"/>
      <c r="L703" s="39"/>
      <c r="M703" s="39"/>
      <c r="N703" s="39"/>
      <c r="O703" s="39"/>
      <c r="P703" s="39"/>
      <c r="Q703" s="39"/>
      <c r="R703" s="39"/>
      <c r="S703" s="39"/>
      <c r="T703" s="39"/>
    </row>
    <row r="704" spans="1:20" ht="15.75">
      <c r="A704" s="13">
        <v>62578</v>
      </c>
      <c r="B704" s="47">
        <f t="shared" si="1"/>
        <v>30</v>
      </c>
      <c r="C704" s="38">
        <v>141.29300000000001</v>
      </c>
      <c r="D704" s="38">
        <v>267.99299999999999</v>
      </c>
      <c r="E704" s="44">
        <v>829.71400000000006</v>
      </c>
      <c r="F704" s="38">
        <v>1239</v>
      </c>
      <c r="G704" s="38">
        <v>100</v>
      </c>
      <c r="H704" s="46">
        <v>600</v>
      </c>
      <c r="I704" s="38">
        <v>695</v>
      </c>
      <c r="J704" s="38">
        <v>50</v>
      </c>
      <c r="K704" s="39"/>
      <c r="L704" s="39"/>
      <c r="M704" s="39"/>
      <c r="N704" s="39"/>
      <c r="O704" s="39"/>
      <c r="P704" s="39"/>
      <c r="Q704" s="39"/>
      <c r="R704" s="39"/>
      <c r="S704" s="39"/>
      <c r="T704" s="39"/>
    </row>
    <row r="705" spans="1:20" ht="15.75">
      <c r="A705" s="13">
        <v>62609</v>
      </c>
      <c r="B705" s="47">
        <f t="shared" si="1"/>
        <v>31</v>
      </c>
      <c r="C705" s="38">
        <v>194.20500000000001</v>
      </c>
      <c r="D705" s="38">
        <v>267.46600000000001</v>
      </c>
      <c r="E705" s="44">
        <v>812.32899999999995</v>
      </c>
      <c r="F705" s="38">
        <v>1274</v>
      </c>
      <c r="G705" s="38">
        <v>75</v>
      </c>
      <c r="H705" s="46">
        <v>600</v>
      </c>
      <c r="I705" s="38">
        <v>695</v>
      </c>
      <c r="J705" s="38">
        <v>50</v>
      </c>
      <c r="K705" s="39"/>
      <c r="L705" s="39"/>
      <c r="M705" s="39"/>
      <c r="N705" s="39"/>
      <c r="O705" s="39"/>
      <c r="P705" s="39"/>
      <c r="Q705" s="39"/>
      <c r="R705" s="39"/>
      <c r="S705" s="39"/>
      <c r="T705" s="39"/>
    </row>
    <row r="706" spans="1:20" ht="15.75">
      <c r="A706" s="13">
        <v>62639</v>
      </c>
      <c r="B706" s="47">
        <f t="shared" si="1"/>
        <v>30</v>
      </c>
      <c r="C706" s="38">
        <v>194.20500000000001</v>
      </c>
      <c r="D706" s="38">
        <v>267.46600000000001</v>
      </c>
      <c r="E706" s="44">
        <v>812.32899999999995</v>
      </c>
      <c r="F706" s="38">
        <v>1274</v>
      </c>
      <c r="G706" s="38">
        <v>50</v>
      </c>
      <c r="H706" s="46">
        <v>600</v>
      </c>
      <c r="I706" s="38">
        <v>695</v>
      </c>
      <c r="J706" s="38">
        <v>50</v>
      </c>
      <c r="K706" s="39"/>
      <c r="L706" s="39"/>
      <c r="M706" s="39"/>
      <c r="N706" s="39"/>
      <c r="O706" s="39"/>
      <c r="P706" s="39"/>
      <c r="Q706" s="39"/>
      <c r="R706" s="39"/>
      <c r="S706" s="39"/>
      <c r="T706" s="39"/>
    </row>
    <row r="707" spans="1:20" ht="15.75">
      <c r="A707" s="13">
        <v>62670</v>
      </c>
      <c r="B707" s="47">
        <f t="shared" si="1"/>
        <v>31</v>
      </c>
      <c r="C707" s="38">
        <v>194.20500000000001</v>
      </c>
      <c r="D707" s="38">
        <v>267.46600000000001</v>
      </c>
      <c r="E707" s="44">
        <v>812.32899999999995</v>
      </c>
      <c r="F707" s="38">
        <v>1274</v>
      </c>
      <c r="G707" s="38">
        <v>50</v>
      </c>
      <c r="H707" s="46">
        <v>600</v>
      </c>
      <c r="I707" s="38">
        <v>695</v>
      </c>
      <c r="J707" s="38">
        <v>0</v>
      </c>
      <c r="K707" s="39"/>
      <c r="L707" s="39"/>
      <c r="M707" s="39"/>
      <c r="N707" s="39"/>
      <c r="O707" s="39"/>
      <c r="P707" s="39"/>
      <c r="Q707" s="39"/>
      <c r="R707" s="39"/>
      <c r="S707" s="39"/>
      <c r="T707" s="39"/>
    </row>
    <row r="708" spans="1:20" ht="15.75">
      <c r="A708" s="13">
        <v>62701</v>
      </c>
      <c r="B708" s="47">
        <f t="shared" si="1"/>
        <v>31</v>
      </c>
      <c r="C708" s="38">
        <v>194.20500000000001</v>
      </c>
      <c r="D708" s="38">
        <v>267.46600000000001</v>
      </c>
      <c r="E708" s="44">
        <v>812.32899999999995</v>
      </c>
      <c r="F708" s="38">
        <v>1274</v>
      </c>
      <c r="G708" s="38">
        <v>50</v>
      </c>
      <c r="H708" s="46">
        <v>600</v>
      </c>
      <c r="I708" s="38">
        <v>695</v>
      </c>
      <c r="J708" s="38">
        <v>0</v>
      </c>
      <c r="K708" s="39"/>
      <c r="L708" s="39"/>
      <c r="M708" s="39"/>
      <c r="N708" s="39"/>
      <c r="O708" s="39"/>
      <c r="P708" s="39"/>
      <c r="Q708" s="39"/>
      <c r="R708" s="39"/>
      <c r="S708" s="39"/>
      <c r="T708" s="39"/>
    </row>
    <row r="709" spans="1:20" ht="15.75">
      <c r="A709" s="13">
        <v>62731</v>
      </c>
      <c r="B709" s="47">
        <f t="shared" si="1"/>
        <v>30</v>
      </c>
      <c r="C709" s="38">
        <v>194.20500000000001</v>
      </c>
      <c r="D709" s="38">
        <v>267.46600000000001</v>
      </c>
      <c r="E709" s="44">
        <v>812.32899999999995</v>
      </c>
      <c r="F709" s="38">
        <v>1274</v>
      </c>
      <c r="G709" s="38">
        <v>50</v>
      </c>
      <c r="H709" s="46">
        <v>600</v>
      </c>
      <c r="I709" s="38">
        <v>695</v>
      </c>
      <c r="J709" s="38">
        <v>0</v>
      </c>
      <c r="K709" s="39"/>
      <c r="L709" s="39"/>
      <c r="M709" s="39"/>
      <c r="N709" s="39"/>
      <c r="O709" s="39"/>
      <c r="P709" s="39"/>
      <c r="Q709" s="39"/>
      <c r="R709" s="39"/>
      <c r="S709" s="39"/>
      <c r="T709" s="39"/>
    </row>
    <row r="710" spans="1:20" ht="15.75">
      <c r="A710" s="13">
        <v>62762</v>
      </c>
      <c r="B710" s="47">
        <f t="shared" si="1"/>
        <v>31</v>
      </c>
      <c r="C710" s="38">
        <v>131.881</v>
      </c>
      <c r="D710" s="38">
        <v>277.16699999999997</v>
      </c>
      <c r="E710" s="44">
        <v>829.952</v>
      </c>
      <c r="F710" s="38">
        <v>1239</v>
      </c>
      <c r="G710" s="38">
        <v>75</v>
      </c>
      <c r="H710" s="46">
        <v>600</v>
      </c>
      <c r="I710" s="38">
        <v>695</v>
      </c>
      <c r="J710" s="38">
        <v>0</v>
      </c>
      <c r="K710" s="39"/>
      <c r="L710" s="39"/>
      <c r="M710" s="39"/>
      <c r="N710" s="39"/>
      <c r="O710" s="39"/>
      <c r="P710" s="39"/>
      <c r="Q710" s="39"/>
      <c r="R710" s="39"/>
      <c r="S710" s="39"/>
      <c r="T710" s="39"/>
    </row>
    <row r="711" spans="1:20" ht="15.75">
      <c r="A711" s="13">
        <v>62792</v>
      </c>
      <c r="B711" s="47">
        <f t="shared" si="1"/>
        <v>30</v>
      </c>
      <c r="C711" s="38">
        <v>122.58</v>
      </c>
      <c r="D711" s="38">
        <v>297.94099999999997</v>
      </c>
      <c r="E711" s="44">
        <v>729.47900000000004</v>
      </c>
      <c r="F711" s="38">
        <v>1150</v>
      </c>
      <c r="G711" s="38">
        <v>100</v>
      </c>
      <c r="H711" s="46">
        <v>600</v>
      </c>
      <c r="I711" s="38">
        <v>695</v>
      </c>
      <c r="J711" s="38">
        <v>50</v>
      </c>
      <c r="K711" s="39"/>
      <c r="L711" s="39"/>
      <c r="M711" s="39"/>
      <c r="N711" s="39"/>
      <c r="O711" s="39"/>
      <c r="P711" s="39"/>
      <c r="Q711" s="39"/>
      <c r="R711" s="39"/>
      <c r="S711" s="39"/>
      <c r="T711" s="39"/>
    </row>
    <row r="712" spans="1:20" ht="15.75">
      <c r="A712" s="13">
        <v>62823</v>
      </c>
      <c r="B712" s="47">
        <f t="shared" si="1"/>
        <v>31</v>
      </c>
      <c r="C712" s="38">
        <v>122.58</v>
      </c>
      <c r="D712" s="38">
        <v>297.94099999999997</v>
      </c>
      <c r="E712" s="44">
        <v>729.47900000000004</v>
      </c>
      <c r="F712" s="38">
        <v>1150</v>
      </c>
      <c r="G712" s="38">
        <v>100</v>
      </c>
      <c r="H712" s="46">
        <v>600</v>
      </c>
      <c r="I712" s="38">
        <v>695</v>
      </c>
      <c r="J712" s="38">
        <v>50</v>
      </c>
      <c r="K712" s="39"/>
      <c r="L712" s="39"/>
      <c r="M712" s="39"/>
      <c r="N712" s="39"/>
      <c r="O712" s="39"/>
      <c r="P712" s="39"/>
      <c r="Q712" s="39"/>
      <c r="R712" s="39"/>
      <c r="S712" s="39"/>
      <c r="T712" s="39"/>
    </row>
    <row r="713" spans="1:20" ht="15.75">
      <c r="A713" s="13">
        <v>62854</v>
      </c>
      <c r="B713" s="47">
        <f t="shared" si="1"/>
        <v>31</v>
      </c>
      <c r="C713" s="38">
        <v>122.58</v>
      </c>
      <c r="D713" s="38">
        <v>297.94099999999997</v>
      </c>
      <c r="E713" s="44">
        <v>729.47900000000004</v>
      </c>
      <c r="F713" s="38">
        <v>1150</v>
      </c>
      <c r="G713" s="38">
        <v>100</v>
      </c>
      <c r="H713" s="46">
        <v>600</v>
      </c>
      <c r="I713" s="38">
        <v>695</v>
      </c>
      <c r="J713" s="38">
        <v>50</v>
      </c>
      <c r="K713" s="39"/>
      <c r="L713" s="39"/>
      <c r="M713" s="39"/>
      <c r="N713" s="39"/>
      <c r="O713" s="39"/>
      <c r="P713" s="39"/>
      <c r="Q713" s="39"/>
      <c r="R713" s="39"/>
      <c r="S713" s="39"/>
      <c r="T713" s="39"/>
    </row>
    <row r="714" spans="1:20" ht="15.75">
      <c r="A714" s="13">
        <v>62883</v>
      </c>
      <c r="B714" s="47">
        <f t="shared" si="1"/>
        <v>29</v>
      </c>
      <c r="C714" s="38">
        <v>122.58</v>
      </c>
      <c r="D714" s="38">
        <v>297.94099999999997</v>
      </c>
      <c r="E714" s="44">
        <v>729.47900000000004</v>
      </c>
      <c r="F714" s="38">
        <v>1150</v>
      </c>
      <c r="G714" s="38">
        <v>100</v>
      </c>
      <c r="H714" s="46">
        <v>600</v>
      </c>
      <c r="I714" s="38">
        <v>695</v>
      </c>
      <c r="J714" s="38">
        <v>50</v>
      </c>
      <c r="K714" s="39"/>
      <c r="L714" s="39"/>
      <c r="M714" s="39"/>
      <c r="N714" s="39"/>
      <c r="O714" s="39"/>
      <c r="P714" s="39"/>
      <c r="Q714" s="39"/>
      <c r="R714" s="39"/>
      <c r="S714" s="39"/>
      <c r="T714" s="39"/>
    </row>
    <row r="715" spans="1:20" ht="15.75">
      <c r="A715" s="13">
        <v>62914</v>
      </c>
      <c r="B715" s="47">
        <f t="shared" si="1"/>
        <v>31</v>
      </c>
      <c r="C715" s="38">
        <v>122.58</v>
      </c>
      <c r="D715" s="38">
        <v>297.94099999999997</v>
      </c>
      <c r="E715" s="44">
        <v>729.47900000000004</v>
      </c>
      <c r="F715" s="38">
        <v>1150</v>
      </c>
      <c r="G715" s="38">
        <v>100</v>
      </c>
      <c r="H715" s="46">
        <v>600</v>
      </c>
      <c r="I715" s="38">
        <v>695</v>
      </c>
      <c r="J715" s="38">
        <v>50</v>
      </c>
      <c r="K715" s="39"/>
      <c r="L715" s="39"/>
      <c r="M715" s="39"/>
      <c r="N715" s="39"/>
      <c r="O715" s="39"/>
      <c r="P715" s="39"/>
      <c r="Q715" s="39"/>
      <c r="R715" s="39"/>
      <c r="S715" s="39"/>
      <c r="T715" s="39"/>
    </row>
    <row r="716" spans="1:20" ht="15.75">
      <c r="A716" s="13">
        <v>62944</v>
      </c>
      <c r="B716" s="47">
        <f t="shared" si="1"/>
        <v>30</v>
      </c>
      <c r="C716" s="38">
        <v>141.29300000000001</v>
      </c>
      <c r="D716" s="38">
        <v>267.99299999999999</v>
      </c>
      <c r="E716" s="44">
        <v>829.71400000000006</v>
      </c>
      <c r="F716" s="38">
        <v>1239</v>
      </c>
      <c r="G716" s="38">
        <v>100</v>
      </c>
      <c r="H716" s="46">
        <v>600</v>
      </c>
      <c r="I716" s="38">
        <v>695</v>
      </c>
      <c r="J716" s="38">
        <v>50</v>
      </c>
      <c r="K716" s="39"/>
      <c r="L716" s="39"/>
      <c r="M716" s="39"/>
      <c r="N716" s="39"/>
      <c r="O716" s="39"/>
      <c r="P716" s="39"/>
      <c r="Q716" s="39"/>
      <c r="R716" s="39"/>
      <c r="S716" s="39"/>
      <c r="T716" s="39"/>
    </row>
    <row r="717" spans="1:20" ht="15.75">
      <c r="A717" s="13">
        <v>62975</v>
      </c>
      <c r="B717" s="47">
        <f t="shared" si="1"/>
        <v>31</v>
      </c>
      <c r="C717" s="38">
        <v>194.20500000000001</v>
      </c>
      <c r="D717" s="38">
        <v>267.46600000000001</v>
      </c>
      <c r="E717" s="44">
        <v>812.32899999999995</v>
      </c>
      <c r="F717" s="38">
        <v>1274</v>
      </c>
      <c r="G717" s="38">
        <v>75</v>
      </c>
      <c r="H717" s="46">
        <v>600</v>
      </c>
      <c r="I717" s="38">
        <v>695</v>
      </c>
      <c r="J717" s="38">
        <v>50</v>
      </c>
      <c r="K717" s="39"/>
      <c r="L717" s="39"/>
      <c r="M717" s="39"/>
      <c r="N717" s="39"/>
      <c r="O717" s="39"/>
      <c r="P717" s="39"/>
      <c r="Q717" s="39"/>
      <c r="R717" s="39"/>
      <c r="S717" s="39"/>
      <c r="T717" s="39"/>
    </row>
    <row r="718" spans="1:20" ht="15.75">
      <c r="A718" s="13">
        <v>63005</v>
      </c>
      <c r="B718" s="47">
        <f t="shared" si="1"/>
        <v>30</v>
      </c>
      <c r="C718" s="38">
        <v>194.20500000000001</v>
      </c>
      <c r="D718" s="38">
        <v>267.46600000000001</v>
      </c>
      <c r="E718" s="44">
        <v>812.32899999999995</v>
      </c>
      <c r="F718" s="38">
        <v>1274</v>
      </c>
      <c r="G718" s="38">
        <v>50</v>
      </c>
      <c r="H718" s="46">
        <v>600</v>
      </c>
      <c r="I718" s="38">
        <v>695</v>
      </c>
      <c r="J718" s="38">
        <v>50</v>
      </c>
      <c r="K718" s="39"/>
      <c r="L718" s="39"/>
      <c r="M718" s="39"/>
      <c r="N718" s="39"/>
      <c r="O718" s="39"/>
      <c r="P718" s="39"/>
      <c r="Q718" s="39"/>
      <c r="R718" s="39"/>
      <c r="S718" s="39"/>
      <c r="T718" s="39"/>
    </row>
    <row r="719" spans="1:20" ht="15.75">
      <c r="A719" s="13">
        <v>63036</v>
      </c>
      <c r="B719" s="47">
        <f t="shared" si="1"/>
        <v>31</v>
      </c>
      <c r="C719" s="38">
        <v>194.20500000000001</v>
      </c>
      <c r="D719" s="38">
        <v>267.46600000000001</v>
      </c>
      <c r="E719" s="44">
        <v>812.32899999999995</v>
      </c>
      <c r="F719" s="38">
        <v>1274</v>
      </c>
      <c r="G719" s="38">
        <v>50</v>
      </c>
      <c r="H719" s="46">
        <v>600</v>
      </c>
      <c r="I719" s="38">
        <v>695</v>
      </c>
      <c r="J719" s="38">
        <v>0</v>
      </c>
      <c r="K719" s="39"/>
      <c r="L719" s="39"/>
      <c r="M719" s="39"/>
      <c r="N719" s="39"/>
      <c r="O719" s="39"/>
      <c r="P719" s="39"/>
      <c r="Q719" s="39"/>
      <c r="R719" s="39"/>
      <c r="S719" s="39"/>
      <c r="T719" s="39"/>
    </row>
    <row r="720" spans="1:20" ht="15.75">
      <c r="A720" s="13">
        <v>63067</v>
      </c>
      <c r="B720" s="47">
        <f t="shared" si="1"/>
        <v>31</v>
      </c>
      <c r="C720" s="38">
        <v>194.20500000000001</v>
      </c>
      <c r="D720" s="38">
        <v>267.46600000000001</v>
      </c>
      <c r="E720" s="44">
        <v>812.32899999999995</v>
      </c>
      <c r="F720" s="38">
        <v>1274</v>
      </c>
      <c r="G720" s="38">
        <v>50</v>
      </c>
      <c r="H720" s="46">
        <v>600</v>
      </c>
      <c r="I720" s="38">
        <v>695</v>
      </c>
      <c r="J720" s="38">
        <v>0</v>
      </c>
      <c r="K720" s="39"/>
      <c r="L720" s="39"/>
      <c r="M720" s="39"/>
      <c r="N720" s="39"/>
      <c r="O720" s="39"/>
      <c r="P720" s="39"/>
      <c r="Q720" s="39"/>
      <c r="R720" s="39"/>
      <c r="S720" s="39"/>
      <c r="T720" s="39"/>
    </row>
    <row r="721" spans="1:20" ht="15.75">
      <c r="A721" s="13">
        <v>63097</v>
      </c>
      <c r="B721" s="47">
        <f t="shared" ref="B721:B784" si="2">EOMONTH(A721,0)-EOMONTH(A721,-1)</f>
        <v>30</v>
      </c>
      <c r="C721" s="38">
        <v>194.20500000000001</v>
      </c>
      <c r="D721" s="38">
        <v>267.46600000000001</v>
      </c>
      <c r="E721" s="44">
        <v>812.32899999999995</v>
      </c>
      <c r="F721" s="38">
        <v>1274</v>
      </c>
      <c r="G721" s="38">
        <v>50</v>
      </c>
      <c r="H721" s="46">
        <v>600</v>
      </c>
      <c r="I721" s="38">
        <v>695</v>
      </c>
      <c r="J721" s="38">
        <v>0</v>
      </c>
      <c r="K721" s="39"/>
      <c r="L721" s="39"/>
      <c r="M721" s="39"/>
      <c r="N721" s="39"/>
      <c r="O721" s="39"/>
      <c r="P721" s="39"/>
      <c r="Q721" s="39"/>
      <c r="R721" s="39"/>
      <c r="S721" s="39"/>
      <c r="T721" s="39"/>
    </row>
    <row r="722" spans="1:20" ht="15.75">
      <c r="A722" s="13">
        <v>63128</v>
      </c>
      <c r="B722" s="47">
        <f t="shared" si="2"/>
        <v>31</v>
      </c>
      <c r="C722" s="38">
        <v>131.881</v>
      </c>
      <c r="D722" s="38">
        <v>277.16699999999997</v>
      </c>
      <c r="E722" s="44">
        <v>829.952</v>
      </c>
      <c r="F722" s="38">
        <v>1239</v>
      </c>
      <c r="G722" s="38">
        <v>75</v>
      </c>
      <c r="H722" s="46">
        <v>600</v>
      </c>
      <c r="I722" s="38">
        <v>695</v>
      </c>
      <c r="J722" s="38">
        <v>0</v>
      </c>
      <c r="K722" s="39"/>
      <c r="L722" s="39"/>
      <c r="M722" s="39"/>
      <c r="N722" s="39"/>
      <c r="O722" s="39"/>
      <c r="P722" s="39"/>
      <c r="Q722" s="39"/>
      <c r="R722" s="39"/>
      <c r="S722" s="39"/>
      <c r="T722" s="39"/>
    </row>
    <row r="723" spans="1:20" ht="15.75">
      <c r="A723" s="13">
        <v>63158</v>
      </c>
      <c r="B723" s="47">
        <f t="shared" si="2"/>
        <v>30</v>
      </c>
      <c r="C723" s="38">
        <v>122.58</v>
      </c>
      <c r="D723" s="38">
        <v>297.94099999999997</v>
      </c>
      <c r="E723" s="44">
        <v>729.47900000000004</v>
      </c>
      <c r="F723" s="38">
        <v>1150</v>
      </c>
      <c r="G723" s="38">
        <v>100</v>
      </c>
      <c r="H723" s="46">
        <v>600</v>
      </c>
      <c r="I723" s="38">
        <v>695</v>
      </c>
      <c r="J723" s="38">
        <v>50</v>
      </c>
      <c r="K723" s="39"/>
      <c r="L723" s="39"/>
      <c r="M723" s="39"/>
      <c r="N723" s="39"/>
      <c r="O723" s="39"/>
      <c r="P723" s="39"/>
      <c r="Q723" s="39"/>
      <c r="R723" s="39"/>
      <c r="S723" s="39"/>
      <c r="T723" s="39"/>
    </row>
    <row r="724" spans="1:20" ht="15.75">
      <c r="A724" s="13">
        <v>63189</v>
      </c>
      <c r="B724" s="47">
        <f t="shared" si="2"/>
        <v>31</v>
      </c>
      <c r="C724" s="38">
        <v>122.58</v>
      </c>
      <c r="D724" s="38">
        <v>297.94099999999997</v>
      </c>
      <c r="E724" s="44">
        <v>729.47900000000004</v>
      </c>
      <c r="F724" s="38">
        <v>1150</v>
      </c>
      <c r="G724" s="38">
        <v>100</v>
      </c>
      <c r="H724" s="46">
        <v>600</v>
      </c>
      <c r="I724" s="38">
        <v>695</v>
      </c>
      <c r="J724" s="38">
        <v>50</v>
      </c>
      <c r="K724" s="39"/>
      <c r="L724" s="39"/>
      <c r="M724" s="39"/>
      <c r="N724" s="39"/>
      <c r="O724" s="39"/>
      <c r="P724" s="39"/>
      <c r="Q724" s="39"/>
      <c r="R724" s="39"/>
      <c r="S724" s="39"/>
      <c r="T724" s="39"/>
    </row>
    <row r="725" spans="1:20" ht="15.75">
      <c r="A725" s="13">
        <v>63220</v>
      </c>
      <c r="B725" s="47">
        <f t="shared" si="2"/>
        <v>31</v>
      </c>
      <c r="C725" s="38">
        <v>122.58</v>
      </c>
      <c r="D725" s="38">
        <v>297.94099999999997</v>
      </c>
      <c r="E725" s="44">
        <v>729.47900000000004</v>
      </c>
      <c r="F725" s="38">
        <v>1150</v>
      </c>
      <c r="G725" s="38">
        <v>100</v>
      </c>
      <c r="H725" s="46">
        <v>600</v>
      </c>
      <c r="I725" s="38">
        <v>695</v>
      </c>
      <c r="J725" s="38">
        <v>50</v>
      </c>
      <c r="K725" s="39"/>
      <c r="L725" s="39"/>
      <c r="M725" s="39"/>
      <c r="N725" s="39"/>
      <c r="O725" s="39"/>
      <c r="P725" s="39"/>
      <c r="Q725" s="39"/>
      <c r="R725" s="39"/>
      <c r="S725" s="39"/>
      <c r="T725" s="39"/>
    </row>
    <row r="726" spans="1:20" ht="15.75">
      <c r="A726" s="13">
        <v>63248</v>
      </c>
      <c r="B726" s="47">
        <f t="shared" si="2"/>
        <v>28</v>
      </c>
      <c r="C726" s="38">
        <v>122.58</v>
      </c>
      <c r="D726" s="38">
        <v>297.94099999999997</v>
      </c>
      <c r="E726" s="44">
        <v>729.47900000000004</v>
      </c>
      <c r="F726" s="38">
        <v>1150</v>
      </c>
      <c r="G726" s="38">
        <v>100</v>
      </c>
      <c r="H726" s="46">
        <v>600</v>
      </c>
      <c r="I726" s="38">
        <v>695</v>
      </c>
      <c r="J726" s="38">
        <v>50</v>
      </c>
      <c r="K726" s="39"/>
      <c r="L726" s="39"/>
      <c r="M726" s="39"/>
      <c r="N726" s="39"/>
      <c r="O726" s="39"/>
      <c r="P726" s="39"/>
      <c r="Q726" s="39"/>
      <c r="R726" s="39"/>
      <c r="S726" s="39"/>
      <c r="T726" s="39"/>
    </row>
    <row r="727" spans="1:20" ht="15.75">
      <c r="A727" s="13">
        <v>63279</v>
      </c>
      <c r="B727" s="47">
        <f t="shared" si="2"/>
        <v>31</v>
      </c>
      <c r="C727" s="38">
        <v>122.58</v>
      </c>
      <c r="D727" s="38">
        <v>297.94099999999997</v>
      </c>
      <c r="E727" s="44">
        <v>729.47900000000004</v>
      </c>
      <c r="F727" s="38">
        <v>1150</v>
      </c>
      <c r="G727" s="38">
        <v>100</v>
      </c>
      <c r="H727" s="46">
        <v>600</v>
      </c>
      <c r="I727" s="38">
        <v>695</v>
      </c>
      <c r="J727" s="38">
        <v>50</v>
      </c>
      <c r="K727" s="39"/>
      <c r="L727" s="39"/>
      <c r="M727" s="39"/>
      <c r="N727" s="39"/>
      <c r="O727" s="39"/>
      <c r="P727" s="39"/>
      <c r="Q727" s="39"/>
      <c r="R727" s="39"/>
      <c r="S727" s="39"/>
      <c r="T727" s="39"/>
    </row>
    <row r="728" spans="1:20" ht="15.75">
      <c r="A728" s="13">
        <v>63309</v>
      </c>
      <c r="B728" s="47">
        <f t="shared" si="2"/>
        <v>30</v>
      </c>
      <c r="C728" s="38">
        <v>141.29300000000001</v>
      </c>
      <c r="D728" s="38">
        <v>267.99299999999999</v>
      </c>
      <c r="E728" s="44">
        <v>829.71400000000006</v>
      </c>
      <c r="F728" s="38">
        <v>1239</v>
      </c>
      <c r="G728" s="38">
        <v>100</v>
      </c>
      <c r="H728" s="46">
        <v>600</v>
      </c>
      <c r="I728" s="38">
        <v>695</v>
      </c>
      <c r="J728" s="38">
        <v>50</v>
      </c>
      <c r="K728" s="39"/>
      <c r="L728" s="39"/>
      <c r="M728" s="39"/>
      <c r="N728" s="39"/>
      <c r="O728" s="39"/>
      <c r="P728" s="39"/>
      <c r="Q728" s="39"/>
      <c r="R728" s="39"/>
      <c r="S728" s="39"/>
      <c r="T728" s="39"/>
    </row>
    <row r="729" spans="1:20" ht="15.75">
      <c r="A729" s="13">
        <v>63340</v>
      </c>
      <c r="B729" s="47">
        <f t="shared" si="2"/>
        <v>31</v>
      </c>
      <c r="C729" s="38">
        <v>194.20500000000001</v>
      </c>
      <c r="D729" s="38">
        <v>267.46600000000001</v>
      </c>
      <c r="E729" s="44">
        <v>812.32899999999995</v>
      </c>
      <c r="F729" s="38">
        <v>1274</v>
      </c>
      <c r="G729" s="38">
        <v>75</v>
      </c>
      <c r="H729" s="46">
        <v>600</v>
      </c>
      <c r="I729" s="38">
        <v>695</v>
      </c>
      <c r="J729" s="38">
        <v>50</v>
      </c>
      <c r="K729" s="39"/>
      <c r="L729" s="39"/>
      <c r="M729" s="39"/>
      <c r="N729" s="39"/>
      <c r="O729" s="39"/>
      <c r="P729" s="39"/>
      <c r="Q729" s="39"/>
      <c r="R729" s="39"/>
      <c r="S729" s="39"/>
      <c r="T729" s="39"/>
    </row>
    <row r="730" spans="1:20" ht="15.75">
      <c r="A730" s="13">
        <v>63370</v>
      </c>
      <c r="B730" s="47">
        <f t="shared" si="2"/>
        <v>30</v>
      </c>
      <c r="C730" s="38">
        <v>194.20500000000001</v>
      </c>
      <c r="D730" s="38">
        <v>267.46600000000001</v>
      </c>
      <c r="E730" s="44">
        <v>812.32899999999995</v>
      </c>
      <c r="F730" s="38">
        <v>1274</v>
      </c>
      <c r="G730" s="38">
        <v>50</v>
      </c>
      <c r="H730" s="46">
        <v>600</v>
      </c>
      <c r="I730" s="38">
        <v>695</v>
      </c>
      <c r="J730" s="38">
        <v>50</v>
      </c>
      <c r="K730" s="39"/>
      <c r="L730" s="39"/>
      <c r="M730" s="39"/>
      <c r="N730" s="39"/>
      <c r="O730" s="39"/>
      <c r="P730" s="39"/>
      <c r="Q730" s="39"/>
      <c r="R730" s="39"/>
      <c r="S730" s="39"/>
      <c r="T730" s="39"/>
    </row>
    <row r="731" spans="1:20" ht="15.75">
      <c r="A731" s="13">
        <v>63401</v>
      </c>
      <c r="B731" s="47">
        <f t="shared" si="2"/>
        <v>31</v>
      </c>
      <c r="C731" s="38">
        <v>194.20500000000001</v>
      </c>
      <c r="D731" s="38">
        <v>267.46600000000001</v>
      </c>
      <c r="E731" s="44">
        <v>812.32899999999995</v>
      </c>
      <c r="F731" s="38">
        <v>1274</v>
      </c>
      <c r="G731" s="38">
        <v>50</v>
      </c>
      <c r="H731" s="46">
        <v>600</v>
      </c>
      <c r="I731" s="38">
        <v>695</v>
      </c>
      <c r="J731" s="38">
        <v>0</v>
      </c>
      <c r="K731" s="39"/>
      <c r="L731" s="39"/>
      <c r="M731" s="39"/>
      <c r="N731" s="39"/>
      <c r="O731" s="39"/>
      <c r="P731" s="39"/>
      <c r="Q731" s="39"/>
      <c r="R731" s="39"/>
      <c r="S731" s="39"/>
      <c r="T731" s="39"/>
    </row>
    <row r="732" spans="1:20" ht="15.75">
      <c r="A732" s="13">
        <v>63432</v>
      </c>
      <c r="B732" s="47">
        <f t="shared" si="2"/>
        <v>31</v>
      </c>
      <c r="C732" s="38">
        <v>194.20500000000001</v>
      </c>
      <c r="D732" s="38">
        <v>267.46600000000001</v>
      </c>
      <c r="E732" s="44">
        <v>812.32899999999995</v>
      </c>
      <c r="F732" s="38">
        <v>1274</v>
      </c>
      <c r="G732" s="38">
        <v>50</v>
      </c>
      <c r="H732" s="46">
        <v>600</v>
      </c>
      <c r="I732" s="38">
        <v>695</v>
      </c>
      <c r="J732" s="38">
        <v>0</v>
      </c>
      <c r="K732" s="39"/>
      <c r="L732" s="39"/>
      <c r="M732" s="39"/>
      <c r="N732" s="39"/>
      <c r="O732" s="39"/>
      <c r="P732" s="39"/>
      <c r="Q732" s="39"/>
      <c r="R732" s="39"/>
      <c r="S732" s="39"/>
      <c r="T732" s="39"/>
    </row>
    <row r="733" spans="1:20" ht="15.75">
      <c r="A733" s="13">
        <v>63462</v>
      </c>
      <c r="B733" s="47">
        <f t="shared" si="2"/>
        <v>30</v>
      </c>
      <c r="C733" s="38">
        <v>194.20500000000001</v>
      </c>
      <c r="D733" s="38">
        <v>267.46600000000001</v>
      </c>
      <c r="E733" s="44">
        <v>812.32899999999995</v>
      </c>
      <c r="F733" s="38">
        <v>1274</v>
      </c>
      <c r="G733" s="38">
        <v>50</v>
      </c>
      <c r="H733" s="46">
        <v>600</v>
      </c>
      <c r="I733" s="38">
        <v>695</v>
      </c>
      <c r="J733" s="38">
        <v>0</v>
      </c>
      <c r="K733" s="39"/>
      <c r="L733" s="39"/>
      <c r="M733" s="39"/>
      <c r="N733" s="39"/>
      <c r="O733" s="39"/>
      <c r="P733" s="39"/>
      <c r="Q733" s="39"/>
      <c r="R733" s="39"/>
      <c r="S733" s="39"/>
      <c r="T733" s="39"/>
    </row>
    <row r="734" spans="1:20" ht="15.75">
      <c r="A734" s="13">
        <v>63493</v>
      </c>
      <c r="B734" s="47">
        <f t="shared" si="2"/>
        <v>31</v>
      </c>
      <c r="C734" s="38">
        <v>131.881</v>
      </c>
      <c r="D734" s="38">
        <v>277.16699999999997</v>
      </c>
      <c r="E734" s="44">
        <v>829.952</v>
      </c>
      <c r="F734" s="38">
        <v>1239</v>
      </c>
      <c r="G734" s="38">
        <v>75</v>
      </c>
      <c r="H734" s="46">
        <v>600</v>
      </c>
      <c r="I734" s="38">
        <v>695</v>
      </c>
      <c r="J734" s="38">
        <v>0</v>
      </c>
      <c r="K734" s="39"/>
      <c r="L734" s="39"/>
      <c r="M734" s="39"/>
      <c r="N734" s="39"/>
      <c r="O734" s="39"/>
      <c r="P734" s="39"/>
      <c r="Q734" s="39"/>
      <c r="R734" s="39"/>
      <c r="S734" s="39"/>
      <c r="T734" s="39"/>
    </row>
    <row r="735" spans="1:20" ht="15.75">
      <c r="A735" s="13">
        <v>63523</v>
      </c>
      <c r="B735" s="47">
        <f t="shared" si="2"/>
        <v>30</v>
      </c>
      <c r="C735" s="38">
        <v>122.58</v>
      </c>
      <c r="D735" s="38">
        <v>297.94099999999997</v>
      </c>
      <c r="E735" s="44">
        <v>729.47900000000004</v>
      </c>
      <c r="F735" s="38">
        <v>1150</v>
      </c>
      <c r="G735" s="38">
        <v>100</v>
      </c>
      <c r="H735" s="46">
        <v>600</v>
      </c>
      <c r="I735" s="38">
        <v>695</v>
      </c>
      <c r="J735" s="38">
        <v>50</v>
      </c>
      <c r="K735" s="39"/>
      <c r="L735" s="39"/>
      <c r="M735" s="39"/>
      <c r="N735" s="39"/>
      <c r="O735" s="39"/>
      <c r="P735" s="39"/>
      <c r="Q735" s="39"/>
      <c r="R735" s="39"/>
      <c r="S735" s="39"/>
      <c r="T735" s="39"/>
    </row>
    <row r="736" spans="1:20" ht="15.75">
      <c r="A736" s="13">
        <v>63554</v>
      </c>
      <c r="B736" s="47">
        <f t="shared" si="2"/>
        <v>31</v>
      </c>
      <c r="C736" s="38">
        <v>122.58</v>
      </c>
      <c r="D736" s="38">
        <v>297.94099999999997</v>
      </c>
      <c r="E736" s="44">
        <v>729.47900000000004</v>
      </c>
      <c r="F736" s="38">
        <v>1150</v>
      </c>
      <c r="G736" s="38">
        <v>100</v>
      </c>
      <c r="H736" s="46">
        <v>600</v>
      </c>
      <c r="I736" s="38">
        <v>695</v>
      </c>
      <c r="J736" s="38">
        <v>50</v>
      </c>
      <c r="K736" s="39"/>
      <c r="L736" s="39"/>
      <c r="M736" s="39"/>
      <c r="N736" s="39"/>
      <c r="O736" s="39"/>
      <c r="P736" s="39"/>
      <c r="Q736" s="39"/>
      <c r="R736" s="39"/>
      <c r="S736" s="39"/>
      <c r="T736" s="39"/>
    </row>
    <row r="737" spans="1:20" ht="15.75">
      <c r="A737" s="13">
        <v>63585</v>
      </c>
      <c r="B737" s="47">
        <f t="shared" si="2"/>
        <v>31</v>
      </c>
      <c r="C737" s="38">
        <v>122.58</v>
      </c>
      <c r="D737" s="38">
        <v>297.94099999999997</v>
      </c>
      <c r="E737" s="44">
        <v>729.47900000000004</v>
      </c>
      <c r="F737" s="38">
        <v>1150</v>
      </c>
      <c r="G737" s="38">
        <v>100</v>
      </c>
      <c r="H737" s="46">
        <v>600</v>
      </c>
      <c r="I737" s="38">
        <v>695</v>
      </c>
      <c r="J737" s="38">
        <v>50</v>
      </c>
      <c r="K737" s="39"/>
      <c r="L737" s="39"/>
      <c r="M737" s="39"/>
      <c r="N737" s="39"/>
      <c r="O737" s="39"/>
      <c r="P737" s="39"/>
      <c r="Q737" s="39"/>
      <c r="R737" s="39"/>
      <c r="S737" s="39"/>
      <c r="T737" s="39"/>
    </row>
    <row r="738" spans="1:20" ht="15.75">
      <c r="A738" s="13">
        <v>63613</v>
      </c>
      <c r="B738" s="47">
        <f t="shared" si="2"/>
        <v>28</v>
      </c>
      <c r="C738" s="38">
        <v>122.58</v>
      </c>
      <c r="D738" s="38">
        <v>297.94099999999997</v>
      </c>
      <c r="E738" s="44">
        <v>729.47900000000004</v>
      </c>
      <c r="F738" s="38">
        <v>1150</v>
      </c>
      <c r="G738" s="38">
        <v>100</v>
      </c>
      <c r="H738" s="46">
        <v>600</v>
      </c>
      <c r="I738" s="38">
        <v>695</v>
      </c>
      <c r="J738" s="38">
        <v>50</v>
      </c>
      <c r="K738" s="39"/>
      <c r="L738" s="39"/>
      <c r="M738" s="39"/>
      <c r="N738" s="39"/>
      <c r="O738" s="39"/>
      <c r="P738" s="39"/>
      <c r="Q738" s="39"/>
      <c r="R738" s="39"/>
      <c r="S738" s="39"/>
      <c r="T738" s="39"/>
    </row>
    <row r="739" spans="1:20" ht="15.75">
      <c r="A739" s="13">
        <v>63644</v>
      </c>
      <c r="B739" s="47">
        <f t="shared" si="2"/>
        <v>31</v>
      </c>
      <c r="C739" s="38">
        <v>122.58</v>
      </c>
      <c r="D739" s="38">
        <v>297.94099999999997</v>
      </c>
      <c r="E739" s="44">
        <v>729.47900000000004</v>
      </c>
      <c r="F739" s="38">
        <v>1150</v>
      </c>
      <c r="G739" s="38">
        <v>100</v>
      </c>
      <c r="H739" s="46">
        <v>600</v>
      </c>
      <c r="I739" s="38">
        <v>695</v>
      </c>
      <c r="J739" s="38">
        <v>50</v>
      </c>
      <c r="K739" s="39"/>
      <c r="L739" s="39"/>
      <c r="M739" s="39"/>
      <c r="N739" s="39"/>
      <c r="O739" s="39"/>
      <c r="P739" s="39"/>
      <c r="Q739" s="39"/>
      <c r="R739" s="39"/>
      <c r="S739" s="39"/>
      <c r="T739" s="39"/>
    </row>
    <row r="740" spans="1:20" ht="15.75">
      <c r="A740" s="13">
        <v>63674</v>
      </c>
      <c r="B740" s="47">
        <f t="shared" si="2"/>
        <v>30</v>
      </c>
      <c r="C740" s="38">
        <v>141.29300000000001</v>
      </c>
      <c r="D740" s="38">
        <v>267.99299999999999</v>
      </c>
      <c r="E740" s="44">
        <v>829.71400000000006</v>
      </c>
      <c r="F740" s="38">
        <v>1239</v>
      </c>
      <c r="G740" s="38">
        <v>100</v>
      </c>
      <c r="H740" s="46">
        <v>600</v>
      </c>
      <c r="I740" s="38">
        <v>695</v>
      </c>
      <c r="J740" s="38">
        <v>50</v>
      </c>
      <c r="K740" s="39"/>
      <c r="L740" s="39"/>
      <c r="M740" s="39"/>
      <c r="N740" s="39"/>
      <c r="O740" s="39"/>
      <c r="P740" s="39"/>
      <c r="Q740" s="39"/>
      <c r="R740" s="39"/>
      <c r="S740" s="39"/>
      <c r="T740" s="39"/>
    </row>
    <row r="741" spans="1:20" ht="15.75">
      <c r="A741" s="13">
        <v>63705</v>
      </c>
      <c r="B741" s="47">
        <f t="shared" si="2"/>
        <v>31</v>
      </c>
      <c r="C741" s="38">
        <v>194.20500000000001</v>
      </c>
      <c r="D741" s="38">
        <v>267.46600000000001</v>
      </c>
      <c r="E741" s="44">
        <v>812.32899999999995</v>
      </c>
      <c r="F741" s="38">
        <v>1274</v>
      </c>
      <c r="G741" s="38">
        <v>75</v>
      </c>
      <c r="H741" s="46">
        <v>600</v>
      </c>
      <c r="I741" s="38">
        <v>695</v>
      </c>
      <c r="J741" s="38">
        <v>50</v>
      </c>
      <c r="K741" s="39"/>
      <c r="L741" s="39"/>
      <c r="M741" s="39"/>
      <c r="N741" s="39"/>
      <c r="O741" s="39"/>
      <c r="P741" s="39"/>
      <c r="Q741" s="39"/>
      <c r="R741" s="39"/>
      <c r="S741" s="39"/>
      <c r="T741" s="39"/>
    </row>
    <row r="742" spans="1:20" ht="15.75">
      <c r="A742" s="13">
        <v>63735</v>
      </c>
      <c r="B742" s="47">
        <f t="shared" si="2"/>
        <v>30</v>
      </c>
      <c r="C742" s="38">
        <v>194.20500000000001</v>
      </c>
      <c r="D742" s="38">
        <v>267.46600000000001</v>
      </c>
      <c r="E742" s="44">
        <v>812.32899999999995</v>
      </c>
      <c r="F742" s="38">
        <v>1274</v>
      </c>
      <c r="G742" s="38">
        <v>50</v>
      </c>
      <c r="H742" s="46">
        <v>600</v>
      </c>
      <c r="I742" s="38">
        <v>695</v>
      </c>
      <c r="J742" s="38">
        <v>50</v>
      </c>
      <c r="K742" s="39"/>
      <c r="L742" s="39"/>
      <c r="M742" s="39"/>
      <c r="N742" s="39"/>
      <c r="O742" s="39"/>
      <c r="P742" s="39"/>
      <c r="Q742" s="39"/>
      <c r="R742" s="39"/>
      <c r="S742" s="39"/>
      <c r="T742" s="39"/>
    </row>
    <row r="743" spans="1:20" ht="15.75">
      <c r="A743" s="13">
        <v>63766</v>
      </c>
      <c r="B743" s="47">
        <f t="shared" si="2"/>
        <v>31</v>
      </c>
      <c r="C743" s="38">
        <v>194.20500000000001</v>
      </c>
      <c r="D743" s="38">
        <v>267.46600000000001</v>
      </c>
      <c r="E743" s="44">
        <v>812.32899999999995</v>
      </c>
      <c r="F743" s="38">
        <v>1274</v>
      </c>
      <c r="G743" s="38">
        <v>50</v>
      </c>
      <c r="H743" s="46">
        <v>600</v>
      </c>
      <c r="I743" s="38">
        <v>695</v>
      </c>
      <c r="J743" s="38">
        <v>0</v>
      </c>
      <c r="K743" s="39"/>
      <c r="L743" s="39"/>
      <c r="M743" s="39"/>
      <c r="N743" s="39"/>
      <c r="O743" s="39"/>
      <c r="P743" s="39"/>
      <c r="Q743" s="39"/>
      <c r="R743" s="39"/>
      <c r="S743" s="39"/>
      <c r="T743" s="39"/>
    </row>
    <row r="744" spans="1:20" ht="15.75">
      <c r="A744" s="13">
        <v>63797</v>
      </c>
      <c r="B744" s="47">
        <f t="shared" si="2"/>
        <v>31</v>
      </c>
      <c r="C744" s="38">
        <v>194.20500000000001</v>
      </c>
      <c r="D744" s="38">
        <v>267.46600000000001</v>
      </c>
      <c r="E744" s="44">
        <v>812.32899999999995</v>
      </c>
      <c r="F744" s="38">
        <v>1274</v>
      </c>
      <c r="G744" s="38">
        <v>50</v>
      </c>
      <c r="H744" s="46">
        <v>600</v>
      </c>
      <c r="I744" s="38">
        <v>695</v>
      </c>
      <c r="J744" s="38">
        <v>0</v>
      </c>
      <c r="K744" s="39"/>
      <c r="L744" s="39"/>
      <c r="M744" s="39"/>
      <c r="N744" s="39"/>
      <c r="O744" s="39"/>
      <c r="P744" s="39"/>
      <c r="Q744" s="39"/>
      <c r="R744" s="39"/>
      <c r="S744" s="39"/>
      <c r="T744" s="39"/>
    </row>
    <row r="745" spans="1:20" ht="15.75">
      <c r="A745" s="13">
        <v>63827</v>
      </c>
      <c r="B745" s="47">
        <f t="shared" si="2"/>
        <v>30</v>
      </c>
      <c r="C745" s="38">
        <v>194.20500000000001</v>
      </c>
      <c r="D745" s="38">
        <v>267.46600000000001</v>
      </c>
      <c r="E745" s="44">
        <v>812.32899999999995</v>
      </c>
      <c r="F745" s="38">
        <v>1274</v>
      </c>
      <c r="G745" s="38">
        <v>50</v>
      </c>
      <c r="H745" s="46">
        <v>600</v>
      </c>
      <c r="I745" s="38">
        <v>695</v>
      </c>
      <c r="J745" s="38">
        <v>0</v>
      </c>
      <c r="K745" s="39"/>
      <c r="L745" s="39"/>
      <c r="M745" s="39"/>
      <c r="N745" s="39"/>
      <c r="O745" s="39"/>
      <c r="P745" s="39"/>
      <c r="Q745" s="39"/>
      <c r="R745" s="39"/>
      <c r="S745" s="39"/>
      <c r="T745" s="39"/>
    </row>
    <row r="746" spans="1:20" ht="15.75">
      <c r="A746" s="13">
        <v>63858</v>
      </c>
      <c r="B746" s="47">
        <f t="shared" si="2"/>
        <v>31</v>
      </c>
      <c r="C746" s="38">
        <v>131.881</v>
      </c>
      <c r="D746" s="38">
        <v>277.16699999999997</v>
      </c>
      <c r="E746" s="44">
        <v>829.952</v>
      </c>
      <c r="F746" s="38">
        <v>1239</v>
      </c>
      <c r="G746" s="38">
        <v>75</v>
      </c>
      <c r="H746" s="46">
        <v>600</v>
      </c>
      <c r="I746" s="38">
        <v>695</v>
      </c>
      <c r="J746" s="38">
        <v>0</v>
      </c>
      <c r="K746" s="39"/>
      <c r="L746" s="39"/>
      <c r="M746" s="39"/>
      <c r="N746" s="39"/>
      <c r="O746" s="39"/>
      <c r="P746" s="39"/>
      <c r="Q746" s="39"/>
      <c r="R746" s="39"/>
      <c r="S746" s="39"/>
      <c r="T746" s="39"/>
    </row>
    <row r="747" spans="1:20" ht="15.75">
      <c r="A747" s="13">
        <v>63888</v>
      </c>
      <c r="B747" s="47">
        <f t="shared" si="2"/>
        <v>30</v>
      </c>
      <c r="C747" s="38">
        <v>122.58</v>
      </c>
      <c r="D747" s="38">
        <v>297.94099999999997</v>
      </c>
      <c r="E747" s="44">
        <v>729.47900000000004</v>
      </c>
      <c r="F747" s="38">
        <v>1150</v>
      </c>
      <c r="G747" s="38">
        <v>100</v>
      </c>
      <c r="H747" s="46">
        <v>600</v>
      </c>
      <c r="I747" s="38">
        <v>695</v>
      </c>
      <c r="J747" s="38">
        <v>50</v>
      </c>
      <c r="K747" s="39"/>
      <c r="L747" s="39"/>
      <c r="M747" s="39"/>
      <c r="N747" s="39"/>
      <c r="O747" s="39"/>
      <c r="P747" s="39"/>
      <c r="Q747" s="39"/>
      <c r="R747" s="39"/>
      <c r="S747" s="39"/>
      <c r="T747" s="39"/>
    </row>
    <row r="748" spans="1:20" ht="15.75">
      <c r="A748" s="13">
        <v>63919</v>
      </c>
      <c r="B748" s="47">
        <f t="shared" si="2"/>
        <v>31</v>
      </c>
      <c r="C748" s="38">
        <v>122.58</v>
      </c>
      <c r="D748" s="38">
        <v>297.94099999999997</v>
      </c>
      <c r="E748" s="44">
        <v>729.47900000000004</v>
      </c>
      <c r="F748" s="38">
        <v>1150</v>
      </c>
      <c r="G748" s="38">
        <v>100</v>
      </c>
      <c r="H748" s="46">
        <v>600</v>
      </c>
      <c r="I748" s="38">
        <v>695</v>
      </c>
      <c r="J748" s="38">
        <v>50</v>
      </c>
      <c r="K748" s="39"/>
      <c r="L748" s="39"/>
      <c r="M748" s="39"/>
      <c r="N748" s="39"/>
      <c r="O748" s="39"/>
      <c r="P748" s="39"/>
      <c r="Q748" s="39"/>
      <c r="R748" s="39"/>
      <c r="S748" s="39"/>
      <c r="T748" s="39"/>
    </row>
    <row r="749" spans="1:20" ht="15.75">
      <c r="A749" s="13">
        <v>63950</v>
      </c>
      <c r="B749" s="47">
        <f t="shared" si="2"/>
        <v>31</v>
      </c>
      <c r="C749" s="38">
        <v>122.58</v>
      </c>
      <c r="D749" s="38">
        <v>297.94099999999997</v>
      </c>
      <c r="E749" s="44">
        <v>729.47900000000004</v>
      </c>
      <c r="F749" s="38">
        <v>1150</v>
      </c>
      <c r="G749" s="38">
        <v>100</v>
      </c>
      <c r="H749" s="46">
        <v>600</v>
      </c>
      <c r="I749" s="38">
        <v>695</v>
      </c>
      <c r="J749" s="38">
        <v>50</v>
      </c>
      <c r="K749" s="39"/>
      <c r="L749" s="39"/>
      <c r="M749" s="39"/>
      <c r="N749" s="39"/>
      <c r="O749" s="39"/>
      <c r="P749" s="39"/>
      <c r="Q749" s="39"/>
      <c r="R749" s="39"/>
      <c r="S749" s="39"/>
      <c r="T749" s="39"/>
    </row>
    <row r="750" spans="1:20" ht="15.75">
      <c r="A750" s="13">
        <v>63978</v>
      </c>
      <c r="B750" s="47">
        <f t="shared" si="2"/>
        <v>28</v>
      </c>
      <c r="C750" s="38">
        <v>122.58</v>
      </c>
      <c r="D750" s="38">
        <v>297.94099999999997</v>
      </c>
      <c r="E750" s="44">
        <v>729.47900000000004</v>
      </c>
      <c r="F750" s="38">
        <v>1150</v>
      </c>
      <c r="G750" s="38">
        <v>100</v>
      </c>
      <c r="H750" s="46">
        <v>600</v>
      </c>
      <c r="I750" s="38">
        <v>695</v>
      </c>
      <c r="J750" s="38">
        <v>50</v>
      </c>
      <c r="K750" s="39"/>
      <c r="L750" s="39"/>
      <c r="M750" s="39"/>
      <c r="N750" s="39"/>
      <c r="O750" s="39"/>
      <c r="P750" s="39"/>
      <c r="Q750" s="39"/>
      <c r="R750" s="39"/>
      <c r="S750" s="39"/>
      <c r="T750" s="39"/>
    </row>
    <row r="751" spans="1:20" ht="15.75">
      <c r="A751" s="13">
        <v>64009</v>
      </c>
      <c r="B751" s="47">
        <f t="shared" si="2"/>
        <v>31</v>
      </c>
      <c r="C751" s="38">
        <v>122.58</v>
      </c>
      <c r="D751" s="38">
        <v>297.94099999999997</v>
      </c>
      <c r="E751" s="44">
        <v>729.47900000000004</v>
      </c>
      <c r="F751" s="38">
        <v>1150</v>
      </c>
      <c r="G751" s="38">
        <v>100</v>
      </c>
      <c r="H751" s="46">
        <v>600</v>
      </c>
      <c r="I751" s="38">
        <v>695</v>
      </c>
      <c r="J751" s="38">
        <v>50</v>
      </c>
      <c r="K751" s="39"/>
      <c r="L751" s="39"/>
      <c r="M751" s="39"/>
      <c r="N751" s="39"/>
      <c r="O751" s="39"/>
      <c r="P751" s="39"/>
      <c r="Q751" s="39"/>
      <c r="R751" s="39"/>
      <c r="S751" s="39"/>
      <c r="T751" s="39"/>
    </row>
    <row r="752" spans="1:20" ht="15.75">
      <c r="A752" s="13">
        <v>64039</v>
      </c>
      <c r="B752" s="47">
        <f t="shared" si="2"/>
        <v>30</v>
      </c>
      <c r="C752" s="38">
        <v>141.29300000000001</v>
      </c>
      <c r="D752" s="38">
        <v>267.99299999999999</v>
      </c>
      <c r="E752" s="44">
        <v>829.71400000000006</v>
      </c>
      <c r="F752" s="38">
        <v>1239</v>
      </c>
      <c r="G752" s="38">
        <v>100</v>
      </c>
      <c r="H752" s="46">
        <v>600</v>
      </c>
      <c r="I752" s="38">
        <v>695</v>
      </c>
      <c r="J752" s="38">
        <v>50</v>
      </c>
      <c r="K752" s="39"/>
      <c r="L752" s="39"/>
      <c r="M752" s="39"/>
      <c r="N752" s="39"/>
      <c r="O752" s="39"/>
      <c r="P752" s="39"/>
      <c r="Q752" s="39"/>
      <c r="R752" s="39"/>
      <c r="S752" s="39"/>
      <c r="T752" s="39"/>
    </row>
    <row r="753" spans="1:20" ht="15.75">
      <c r="A753" s="13">
        <v>64070</v>
      </c>
      <c r="B753" s="47">
        <f t="shared" si="2"/>
        <v>31</v>
      </c>
      <c r="C753" s="38">
        <v>194.20500000000001</v>
      </c>
      <c r="D753" s="38">
        <v>267.46600000000001</v>
      </c>
      <c r="E753" s="44">
        <v>812.32899999999995</v>
      </c>
      <c r="F753" s="38">
        <v>1274</v>
      </c>
      <c r="G753" s="38">
        <v>75</v>
      </c>
      <c r="H753" s="46">
        <v>600</v>
      </c>
      <c r="I753" s="38">
        <v>695</v>
      </c>
      <c r="J753" s="38">
        <v>50</v>
      </c>
      <c r="K753" s="39"/>
      <c r="L753" s="39"/>
      <c r="M753" s="39"/>
      <c r="N753" s="39"/>
      <c r="O753" s="39"/>
      <c r="P753" s="39"/>
      <c r="Q753" s="39"/>
      <c r="R753" s="39"/>
      <c r="S753" s="39"/>
      <c r="T753" s="39"/>
    </row>
    <row r="754" spans="1:20" ht="15.75">
      <c r="A754" s="13">
        <v>64100</v>
      </c>
      <c r="B754" s="47">
        <f t="shared" si="2"/>
        <v>30</v>
      </c>
      <c r="C754" s="38">
        <v>194.20500000000001</v>
      </c>
      <c r="D754" s="38">
        <v>267.46600000000001</v>
      </c>
      <c r="E754" s="44">
        <v>812.32899999999995</v>
      </c>
      <c r="F754" s="38">
        <v>1274</v>
      </c>
      <c r="G754" s="38">
        <v>50</v>
      </c>
      <c r="H754" s="46">
        <v>600</v>
      </c>
      <c r="I754" s="38">
        <v>695</v>
      </c>
      <c r="J754" s="38">
        <v>50</v>
      </c>
      <c r="K754" s="39"/>
      <c r="L754" s="39"/>
      <c r="M754" s="39"/>
      <c r="N754" s="39"/>
      <c r="O754" s="39"/>
      <c r="P754" s="39"/>
      <c r="Q754" s="39"/>
      <c r="R754" s="39"/>
      <c r="S754" s="39"/>
      <c r="T754" s="39"/>
    </row>
    <row r="755" spans="1:20" ht="15.75">
      <c r="A755" s="13">
        <v>64131</v>
      </c>
      <c r="B755" s="47">
        <f t="shared" si="2"/>
        <v>31</v>
      </c>
      <c r="C755" s="38">
        <v>194.20500000000001</v>
      </c>
      <c r="D755" s="38">
        <v>267.46600000000001</v>
      </c>
      <c r="E755" s="44">
        <v>812.32899999999995</v>
      </c>
      <c r="F755" s="38">
        <v>1274</v>
      </c>
      <c r="G755" s="38">
        <v>50</v>
      </c>
      <c r="H755" s="46">
        <v>600</v>
      </c>
      <c r="I755" s="38">
        <v>695</v>
      </c>
      <c r="J755" s="38">
        <v>0</v>
      </c>
      <c r="K755" s="39"/>
      <c r="L755" s="39"/>
      <c r="M755" s="39"/>
      <c r="N755" s="39"/>
      <c r="O755" s="39"/>
      <c r="P755" s="39"/>
      <c r="Q755" s="39"/>
      <c r="R755" s="39"/>
      <c r="S755" s="39"/>
      <c r="T755" s="39"/>
    </row>
    <row r="756" spans="1:20" ht="15.75">
      <c r="A756" s="13">
        <v>64162</v>
      </c>
      <c r="B756" s="47">
        <f t="shared" si="2"/>
        <v>31</v>
      </c>
      <c r="C756" s="38">
        <v>194.20500000000001</v>
      </c>
      <c r="D756" s="38">
        <v>267.46600000000001</v>
      </c>
      <c r="E756" s="44">
        <v>812.32899999999995</v>
      </c>
      <c r="F756" s="38">
        <v>1274</v>
      </c>
      <c r="G756" s="38">
        <v>50</v>
      </c>
      <c r="H756" s="46">
        <v>600</v>
      </c>
      <c r="I756" s="38">
        <v>695</v>
      </c>
      <c r="J756" s="38">
        <v>0</v>
      </c>
      <c r="K756" s="39"/>
      <c r="L756" s="39"/>
      <c r="M756" s="39"/>
      <c r="N756" s="39"/>
      <c r="O756" s="39"/>
      <c r="P756" s="39"/>
      <c r="Q756" s="39"/>
      <c r="R756" s="39"/>
      <c r="S756" s="39"/>
      <c r="T756" s="39"/>
    </row>
    <row r="757" spans="1:20" ht="15.75">
      <c r="A757" s="13">
        <v>64192</v>
      </c>
      <c r="B757" s="47">
        <f t="shared" si="2"/>
        <v>30</v>
      </c>
      <c r="C757" s="38">
        <v>194.20500000000001</v>
      </c>
      <c r="D757" s="38">
        <v>267.46600000000001</v>
      </c>
      <c r="E757" s="44">
        <v>812.32899999999995</v>
      </c>
      <c r="F757" s="38">
        <v>1274</v>
      </c>
      <c r="G757" s="38">
        <v>50</v>
      </c>
      <c r="H757" s="46">
        <v>600</v>
      </c>
      <c r="I757" s="38">
        <v>695</v>
      </c>
      <c r="J757" s="38">
        <v>0</v>
      </c>
      <c r="K757" s="39"/>
      <c r="L757" s="39"/>
      <c r="M757" s="39"/>
      <c r="N757" s="39"/>
      <c r="O757" s="39"/>
      <c r="P757" s="39"/>
      <c r="Q757" s="39"/>
      <c r="R757" s="39"/>
      <c r="S757" s="39"/>
      <c r="T757" s="39"/>
    </row>
    <row r="758" spans="1:20" ht="15.75">
      <c r="A758" s="13">
        <v>64223</v>
      </c>
      <c r="B758" s="47">
        <f t="shared" si="2"/>
        <v>31</v>
      </c>
      <c r="C758" s="38">
        <v>131.881</v>
      </c>
      <c r="D758" s="38">
        <v>277.16699999999997</v>
      </c>
      <c r="E758" s="44">
        <v>829.952</v>
      </c>
      <c r="F758" s="38">
        <v>1239</v>
      </c>
      <c r="G758" s="38">
        <v>75</v>
      </c>
      <c r="H758" s="46">
        <v>600</v>
      </c>
      <c r="I758" s="38">
        <v>695</v>
      </c>
      <c r="J758" s="38">
        <v>0</v>
      </c>
      <c r="K758" s="39"/>
      <c r="L758" s="39"/>
      <c r="M758" s="39"/>
      <c r="N758" s="39"/>
      <c r="O758" s="39"/>
      <c r="P758" s="39"/>
      <c r="Q758" s="39"/>
      <c r="R758" s="39"/>
      <c r="S758" s="39"/>
      <c r="T758" s="39"/>
    </row>
    <row r="759" spans="1:20" ht="15.75">
      <c r="A759" s="13">
        <v>64253</v>
      </c>
      <c r="B759" s="47">
        <f t="shared" si="2"/>
        <v>30</v>
      </c>
      <c r="C759" s="38">
        <v>122.58</v>
      </c>
      <c r="D759" s="38">
        <v>297.94099999999997</v>
      </c>
      <c r="E759" s="44">
        <v>729.47900000000004</v>
      </c>
      <c r="F759" s="38">
        <v>1150</v>
      </c>
      <c r="G759" s="38">
        <v>100</v>
      </c>
      <c r="H759" s="46">
        <v>600</v>
      </c>
      <c r="I759" s="38">
        <v>695</v>
      </c>
      <c r="J759" s="38">
        <v>50</v>
      </c>
      <c r="K759" s="39"/>
      <c r="L759" s="39"/>
      <c r="M759" s="39"/>
      <c r="N759" s="39"/>
      <c r="O759" s="39"/>
      <c r="P759" s="39"/>
      <c r="Q759" s="39"/>
      <c r="R759" s="39"/>
      <c r="S759" s="39"/>
      <c r="T759" s="39"/>
    </row>
    <row r="760" spans="1:20" ht="15.75">
      <c r="A760" s="13">
        <v>64284</v>
      </c>
      <c r="B760" s="47">
        <f t="shared" si="2"/>
        <v>31</v>
      </c>
      <c r="C760" s="38">
        <v>122.58</v>
      </c>
      <c r="D760" s="38">
        <v>297.94099999999997</v>
      </c>
      <c r="E760" s="44">
        <v>729.47900000000004</v>
      </c>
      <c r="F760" s="38">
        <v>1150</v>
      </c>
      <c r="G760" s="38">
        <v>100</v>
      </c>
      <c r="H760" s="46">
        <v>600</v>
      </c>
      <c r="I760" s="38">
        <v>695</v>
      </c>
      <c r="J760" s="38">
        <v>50</v>
      </c>
      <c r="K760" s="39"/>
      <c r="L760" s="39"/>
      <c r="M760" s="39"/>
      <c r="N760" s="39"/>
      <c r="O760" s="39"/>
      <c r="P760" s="39"/>
      <c r="Q760" s="39"/>
      <c r="R760" s="39"/>
      <c r="S760" s="39"/>
      <c r="T760" s="39"/>
    </row>
    <row r="761" spans="1:20" ht="15.75">
      <c r="A761" s="13">
        <v>64315</v>
      </c>
      <c r="B761" s="47">
        <f t="shared" si="2"/>
        <v>31</v>
      </c>
      <c r="C761" s="38">
        <v>122.58</v>
      </c>
      <c r="D761" s="38">
        <v>297.94099999999997</v>
      </c>
      <c r="E761" s="44">
        <v>729.47900000000004</v>
      </c>
      <c r="F761" s="38">
        <v>1150</v>
      </c>
      <c r="G761" s="38">
        <v>100</v>
      </c>
      <c r="H761" s="46">
        <v>600</v>
      </c>
      <c r="I761" s="38">
        <v>695</v>
      </c>
      <c r="J761" s="38">
        <v>50</v>
      </c>
      <c r="K761" s="39"/>
      <c r="L761" s="39"/>
      <c r="M761" s="39"/>
      <c r="N761" s="39"/>
      <c r="O761" s="39"/>
      <c r="P761" s="39"/>
      <c r="Q761" s="39"/>
      <c r="R761" s="39"/>
      <c r="S761" s="39"/>
      <c r="T761" s="39"/>
    </row>
    <row r="762" spans="1:20" ht="15.75">
      <c r="A762" s="13">
        <v>64344</v>
      </c>
      <c r="B762" s="47">
        <f t="shared" si="2"/>
        <v>29</v>
      </c>
      <c r="C762" s="38">
        <v>122.58</v>
      </c>
      <c r="D762" s="38">
        <v>297.94099999999997</v>
      </c>
      <c r="E762" s="44">
        <v>729.47900000000004</v>
      </c>
      <c r="F762" s="38">
        <v>1150</v>
      </c>
      <c r="G762" s="38">
        <v>100</v>
      </c>
      <c r="H762" s="46">
        <v>600</v>
      </c>
      <c r="I762" s="38">
        <v>695</v>
      </c>
      <c r="J762" s="38">
        <v>50</v>
      </c>
      <c r="K762" s="39"/>
      <c r="L762" s="39"/>
      <c r="M762" s="39"/>
      <c r="N762" s="39"/>
      <c r="O762" s="39"/>
      <c r="P762" s="39"/>
      <c r="Q762" s="39"/>
      <c r="R762" s="39"/>
      <c r="S762" s="39"/>
      <c r="T762" s="39"/>
    </row>
    <row r="763" spans="1:20" ht="15.75">
      <c r="A763" s="13">
        <v>64375</v>
      </c>
      <c r="B763" s="47">
        <f t="shared" si="2"/>
        <v>31</v>
      </c>
      <c r="C763" s="38">
        <v>122.58</v>
      </c>
      <c r="D763" s="38">
        <v>297.94099999999997</v>
      </c>
      <c r="E763" s="44">
        <v>729.47900000000004</v>
      </c>
      <c r="F763" s="38">
        <v>1150</v>
      </c>
      <c r="G763" s="38">
        <v>100</v>
      </c>
      <c r="H763" s="46">
        <v>600</v>
      </c>
      <c r="I763" s="38">
        <v>695</v>
      </c>
      <c r="J763" s="38">
        <v>50</v>
      </c>
      <c r="K763" s="39"/>
      <c r="L763" s="39"/>
      <c r="M763" s="39"/>
      <c r="N763" s="39"/>
      <c r="O763" s="39"/>
      <c r="P763" s="39"/>
      <c r="Q763" s="39"/>
      <c r="R763" s="39"/>
      <c r="S763" s="39"/>
      <c r="T763" s="39"/>
    </row>
    <row r="764" spans="1:20" ht="15.75">
      <c r="A764" s="13">
        <v>64405</v>
      </c>
      <c r="B764" s="47">
        <f t="shared" si="2"/>
        <v>30</v>
      </c>
      <c r="C764" s="38">
        <v>141.29300000000001</v>
      </c>
      <c r="D764" s="38">
        <v>267.99299999999999</v>
      </c>
      <c r="E764" s="44">
        <v>829.71400000000006</v>
      </c>
      <c r="F764" s="38">
        <v>1239</v>
      </c>
      <c r="G764" s="38">
        <v>100</v>
      </c>
      <c r="H764" s="46">
        <v>600</v>
      </c>
      <c r="I764" s="38">
        <v>695</v>
      </c>
      <c r="J764" s="38">
        <v>50</v>
      </c>
      <c r="K764" s="39"/>
      <c r="L764" s="39"/>
      <c r="M764" s="39"/>
      <c r="N764" s="39"/>
      <c r="O764" s="39"/>
      <c r="P764" s="39"/>
      <c r="Q764" s="39"/>
      <c r="R764" s="39"/>
      <c r="S764" s="39"/>
      <c r="T764" s="39"/>
    </row>
    <row r="765" spans="1:20" ht="15.75">
      <c r="A765" s="13">
        <v>64436</v>
      </c>
      <c r="B765" s="47">
        <f t="shared" si="2"/>
        <v>31</v>
      </c>
      <c r="C765" s="38">
        <v>194.20500000000001</v>
      </c>
      <c r="D765" s="38">
        <v>267.46600000000001</v>
      </c>
      <c r="E765" s="44">
        <v>812.32899999999995</v>
      </c>
      <c r="F765" s="38">
        <v>1274</v>
      </c>
      <c r="G765" s="38">
        <v>75</v>
      </c>
      <c r="H765" s="46">
        <v>600</v>
      </c>
      <c r="I765" s="38">
        <v>695</v>
      </c>
      <c r="J765" s="38">
        <v>50</v>
      </c>
      <c r="K765" s="39"/>
      <c r="L765" s="39"/>
      <c r="M765" s="39"/>
      <c r="N765" s="39"/>
      <c r="O765" s="39"/>
      <c r="P765" s="39"/>
      <c r="Q765" s="39"/>
      <c r="R765" s="39"/>
      <c r="S765" s="39"/>
      <c r="T765" s="39"/>
    </row>
    <row r="766" spans="1:20" ht="15.75">
      <c r="A766" s="13">
        <v>64466</v>
      </c>
      <c r="B766" s="47">
        <f t="shared" si="2"/>
        <v>30</v>
      </c>
      <c r="C766" s="38">
        <v>194.20500000000001</v>
      </c>
      <c r="D766" s="38">
        <v>267.46600000000001</v>
      </c>
      <c r="E766" s="44">
        <v>812.32899999999995</v>
      </c>
      <c r="F766" s="38">
        <v>1274</v>
      </c>
      <c r="G766" s="38">
        <v>50</v>
      </c>
      <c r="H766" s="46">
        <v>600</v>
      </c>
      <c r="I766" s="38">
        <v>695</v>
      </c>
      <c r="J766" s="38">
        <v>50</v>
      </c>
      <c r="K766" s="39"/>
      <c r="L766" s="39"/>
      <c r="M766" s="39"/>
      <c r="N766" s="39"/>
      <c r="O766" s="39"/>
      <c r="P766" s="39"/>
      <c r="Q766" s="39"/>
      <c r="R766" s="39"/>
      <c r="S766" s="39"/>
      <c r="T766" s="39"/>
    </row>
    <row r="767" spans="1:20" ht="15.75">
      <c r="A767" s="13">
        <v>64497</v>
      </c>
      <c r="B767" s="47">
        <f t="shared" si="2"/>
        <v>31</v>
      </c>
      <c r="C767" s="38">
        <v>194.20500000000001</v>
      </c>
      <c r="D767" s="38">
        <v>267.46600000000001</v>
      </c>
      <c r="E767" s="44">
        <v>812.32899999999995</v>
      </c>
      <c r="F767" s="38">
        <v>1274</v>
      </c>
      <c r="G767" s="38">
        <v>50</v>
      </c>
      <c r="H767" s="46">
        <v>600</v>
      </c>
      <c r="I767" s="38">
        <v>695</v>
      </c>
      <c r="J767" s="38">
        <v>0</v>
      </c>
      <c r="K767" s="39"/>
      <c r="L767" s="39"/>
      <c r="M767" s="39"/>
      <c r="N767" s="39"/>
      <c r="O767" s="39"/>
      <c r="P767" s="39"/>
      <c r="Q767" s="39"/>
      <c r="R767" s="39"/>
      <c r="S767" s="39"/>
      <c r="T767" s="39"/>
    </row>
    <row r="768" spans="1:20" ht="15.75">
      <c r="A768" s="13">
        <v>64528</v>
      </c>
      <c r="B768" s="47">
        <f t="shared" si="2"/>
        <v>31</v>
      </c>
      <c r="C768" s="38">
        <v>194.20500000000001</v>
      </c>
      <c r="D768" s="38">
        <v>267.46600000000001</v>
      </c>
      <c r="E768" s="44">
        <v>812.32899999999995</v>
      </c>
      <c r="F768" s="38">
        <v>1274</v>
      </c>
      <c r="G768" s="38">
        <v>50</v>
      </c>
      <c r="H768" s="46">
        <v>600</v>
      </c>
      <c r="I768" s="38">
        <v>695</v>
      </c>
      <c r="J768" s="38">
        <v>0</v>
      </c>
      <c r="K768" s="39"/>
      <c r="L768" s="39"/>
      <c r="M768" s="39"/>
      <c r="N768" s="39"/>
      <c r="O768" s="39"/>
      <c r="P768" s="39"/>
      <c r="Q768" s="39"/>
      <c r="R768" s="39"/>
      <c r="S768" s="39"/>
      <c r="T768" s="39"/>
    </row>
    <row r="769" spans="1:20" ht="15.75">
      <c r="A769" s="13">
        <v>64558</v>
      </c>
      <c r="B769" s="47">
        <f t="shared" si="2"/>
        <v>30</v>
      </c>
      <c r="C769" s="38">
        <v>194.20500000000001</v>
      </c>
      <c r="D769" s="38">
        <v>267.46600000000001</v>
      </c>
      <c r="E769" s="44">
        <v>812.32899999999995</v>
      </c>
      <c r="F769" s="38">
        <v>1274</v>
      </c>
      <c r="G769" s="38">
        <v>50</v>
      </c>
      <c r="H769" s="46">
        <v>600</v>
      </c>
      <c r="I769" s="38">
        <v>695</v>
      </c>
      <c r="J769" s="38">
        <v>0</v>
      </c>
      <c r="K769" s="39"/>
      <c r="L769" s="39"/>
      <c r="M769" s="39"/>
      <c r="N769" s="39"/>
      <c r="O769" s="39"/>
      <c r="P769" s="39"/>
      <c r="Q769" s="39"/>
      <c r="R769" s="39"/>
      <c r="S769" s="39"/>
      <c r="T769" s="39"/>
    </row>
    <row r="770" spans="1:20" ht="15.75">
      <c r="A770" s="13">
        <v>64589</v>
      </c>
      <c r="B770" s="47">
        <f t="shared" si="2"/>
        <v>31</v>
      </c>
      <c r="C770" s="38">
        <v>131.881</v>
      </c>
      <c r="D770" s="38">
        <v>277.16699999999997</v>
      </c>
      <c r="E770" s="44">
        <v>829.952</v>
      </c>
      <c r="F770" s="38">
        <v>1239</v>
      </c>
      <c r="G770" s="38">
        <v>75</v>
      </c>
      <c r="H770" s="46">
        <v>600</v>
      </c>
      <c r="I770" s="38">
        <v>695</v>
      </c>
      <c r="J770" s="38">
        <v>0</v>
      </c>
      <c r="K770" s="39"/>
      <c r="L770" s="39"/>
      <c r="M770" s="39"/>
      <c r="N770" s="39"/>
      <c r="O770" s="39"/>
      <c r="P770" s="39"/>
      <c r="Q770" s="39"/>
      <c r="R770" s="39"/>
      <c r="S770" s="39"/>
      <c r="T770" s="39"/>
    </row>
    <row r="771" spans="1:20" ht="15.75">
      <c r="A771" s="13">
        <v>64619</v>
      </c>
      <c r="B771" s="47">
        <f t="shared" si="2"/>
        <v>30</v>
      </c>
      <c r="C771" s="38">
        <v>122.58</v>
      </c>
      <c r="D771" s="38">
        <v>297.94099999999997</v>
      </c>
      <c r="E771" s="44">
        <v>729.47900000000004</v>
      </c>
      <c r="F771" s="38">
        <v>1150</v>
      </c>
      <c r="G771" s="38">
        <v>100</v>
      </c>
      <c r="H771" s="46">
        <v>600</v>
      </c>
      <c r="I771" s="38">
        <v>695</v>
      </c>
      <c r="J771" s="38">
        <v>50</v>
      </c>
      <c r="K771" s="39"/>
      <c r="L771" s="39"/>
      <c r="M771" s="39"/>
      <c r="N771" s="39"/>
      <c r="O771" s="39"/>
      <c r="P771" s="39"/>
      <c r="Q771" s="39"/>
      <c r="R771" s="39"/>
      <c r="S771" s="39"/>
      <c r="T771" s="39"/>
    </row>
    <row r="772" spans="1:20" ht="15.75">
      <c r="A772" s="13">
        <v>64650</v>
      </c>
      <c r="B772" s="47">
        <f t="shared" si="2"/>
        <v>31</v>
      </c>
      <c r="C772" s="38">
        <v>122.58</v>
      </c>
      <c r="D772" s="38">
        <v>297.94099999999997</v>
      </c>
      <c r="E772" s="44">
        <v>729.47900000000004</v>
      </c>
      <c r="F772" s="38">
        <v>1150</v>
      </c>
      <c r="G772" s="38">
        <v>100</v>
      </c>
      <c r="H772" s="46">
        <v>600</v>
      </c>
      <c r="I772" s="38">
        <v>695</v>
      </c>
      <c r="J772" s="38">
        <v>50</v>
      </c>
      <c r="K772" s="39"/>
      <c r="L772" s="39"/>
      <c r="M772" s="39"/>
      <c r="N772" s="39"/>
      <c r="O772" s="39"/>
      <c r="P772" s="39"/>
      <c r="Q772" s="39"/>
      <c r="R772" s="39"/>
      <c r="S772" s="39"/>
      <c r="T772" s="39"/>
    </row>
    <row r="773" spans="1:20" ht="15.75">
      <c r="A773" s="13">
        <v>64681</v>
      </c>
      <c r="B773" s="47">
        <f t="shared" si="2"/>
        <v>31</v>
      </c>
      <c r="C773" s="38">
        <v>122.58</v>
      </c>
      <c r="D773" s="38">
        <v>297.94099999999997</v>
      </c>
      <c r="E773" s="44">
        <v>729.47900000000004</v>
      </c>
      <c r="F773" s="38">
        <v>1150</v>
      </c>
      <c r="G773" s="38">
        <v>100</v>
      </c>
      <c r="H773" s="46">
        <v>600</v>
      </c>
      <c r="I773" s="38">
        <v>695</v>
      </c>
      <c r="J773" s="38">
        <v>50</v>
      </c>
      <c r="K773" s="39"/>
      <c r="L773" s="39"/>
      <c r="M773" s="39"/>
      <c r="N773" s="39"/>
      <c r="O773" s="39"/>
      <c r="P773" s="39"/>
      <c r="Q773" s="39"/>
      <c r="R773" s="39"/>
      <c r="S773" s="39"/>
      <c r="T773" s="39"/>
    </row>
    <row r="774" spans="1:20" ht="15.75">
      <c r="A774" s="13">
        <v>64709</v>
      </c>
      <c r="B774" s="47">
        <f t="shared" si="2"/>
        <v>28</v>
      </c>
      <c r="C774" s="38">
        <v>122.58</v>
      </c>
      <c r="D774" s="38">
        <v>297.94099999999997</v>
      </c>
      <c r="E774" s="44">
        <v>729.47900000000004</v>
      </c>
      <c r="F774" s="38">
        <v>1150</v>
      </c>
      <c r="G774" s="38">
        <v>100</v>
      </c>
      <c r="H774" s="46">
        <v>600</v>
      </c>
      <c r="I774" s="38">
        <v>695</v>
      </c>
      <c r="J774" s="38">
        <v>50</v>
      </c>
      <c r="K774" s="39"/>
      <c r="L774" s="39"/>
      <c r="M774" s="39"/>
      <c r="N774" s="39"/>
      <c r="O774" s="39"/>
      <c r="P774" s="39"/>
      <c r="Q774" s="39"/>
      <c r="R774" s="39"/>
      <c r="S774" s="39"/>
      <c r="T774" s="39"/>
    </row>
    <row r="775" spans="1:20" ht="15.75">
      <c r="A775" s="13">
        <v>64740</v>
      </c>
      <c r="B775" s="47">
        <f t="shared" si="2"/>
        <v>31</v>
      </c>
      <c r="C775" s="38">
        <v>122.58</v>
      </c>
      <c r="D775" s="38">
        <v>297.94099999999997</v>
      </c>
      <c r="E775" s="44">
        <v>729.47900000000004</v>
      </c>
      <c r="F775" s="38">
        <v>1150</v>
      </c>
      <c r="G775" s="38">
        <v>100</v>
      </c>
      <c r="H775" s="46">
        <v>600</v>
      </c>
      <c r="I775" s="38">
        <v>695</v>
      </c>
      <c r="J775" s="38">
        <v>50</v>
      </c>
      <c r="K775" s="39"/>
      <c r="L775" s="39"/>
      <c r="M775" s="39"/>
      <c r="N775" s="39"/>
      <c r="O775" s="39"/>
      <c r="P775" s="39"/>
      <c r="Q775" s="39"/>
      <c r="R775" s="39"/>
      <c r="S775" s="39"/>
      <c r="T775" s="39"/>
    </row>
    <row r="776" spans="1:20" ht="15.75">
      <c r="A776" s="13">
        <v>64770</v>
      </c>
      <c r="B776" s="47">
        <f t="shared" si="2"/>
        <v>30</v>
      </c>
      <c r="C776" s="38">
        <v>141.29300000000001</v>
      </c>
      <c r="D776" s="38">
        <v>267.99299999999999</v>
      </c>
      <c r="E776" s="44">
        <v>829.71400000000006</v>
      </c>
      <c r="F776" s="38">
        <v>1239</v>
      </c>
      <c r="G776" s="38">
        <v>100</v>
      </c>
      <c r="H776" s="46">
        <v>600</v>
      </c>
      <c r="I776" s="38">
        <v>695</v>
      </c>
      <c r="J776" s="38">
        <v>50</v>
      </c>
      <c r="K776" s="39"/>
      <c r="L776" s="39"/>
      <c r="M776" s="39"/>
      <c r="N776" s="39"/>
      <c r="O776" s="39"/>
      <c r="P776" s="39"/>
      <c r="Q776" s="39"/>
      <c r="R776" s="39"/>
      <c r="S776" s="39"/>
      <c r="T776" s="39"/>
    </row>
    <row r="777" spans="1:20" ht="15.75">
      <c r="A777" s="13">
        <v>64801</v>
      </c>
      <c r="B777" s="47">
        <f t="shared" si="2"/>
        <v>31</v>
      </c>
      <c r="C777" s="38">
        <v>194.20500000000001</v>
      </c>
      <c r="D777" s="38">
        <v>267.46600000000001</v>
      </c>
      <c r="E777" s="44">
        <v>812.32899999999995</v>
      </c>
      <c r="F777" s="38">
        <v>1274</v>
      </c>
      <c r="G777" s="38">
        <v>75</v>
      </c>
      <c r="H777" s="46">
        <v>600</v>
      </c>
      <c r="I777" s="38">
        <v>695</v>
      </c>
      <c r="J777" s="38">
        <v>50</v>
      </c>
      <c r="K777" s="39"/>
      <c r="L777" s="39"/>
      <c r="M777" s="39"/>
      <c r="N777" s="39"/>
      <c r="O777" s="39"/>
      <c r="P777" s="39"/>
      <c r="Q777" s="39"/>
      <c r="R777" s="39"/>
      <c r="S777" s="39"/>
      <c r="T777" s="39"/>
    </row>
    <row r="778" spans="1:20" ht="15.75">
      <c r="A778" s="13">
        <v>64831</v>
      </c>
      <c r="B778" s="47">
        <f t="shared" si="2"/>
        <v>30</v>
      </c>
      <c r="C778" s="38">
        <v>194.20500000000001</v>
      </c>
      <c r="D778" s="38">
        <v>267.46600000000001</v>
      </c>
      <c r="E778" s="44">
        <v>812.32899999999995</v>
      </c>
      <c r="F778" s="38">
        <v>1274</v>
      </c>
      <c r="G778" s="38">
        <v>50</v>
      </c>
      <c r="H778" s="46">
        <v>600</v>
      </c>
      <c r="I778" s="38">
        <v>695</v>
      </c>
      <c r="J778" s="38">
        <v>50</v>
      </c>
      <c r="K778" s="39"/>
      <c r="L778" s="39"/>
      <c r="M778" s="39"/>
      <c r="N778" s="39"/>
      <c r="O778" s="39"/>
      <c r="P778" s="39"/>
      <c r="Q778" s="39"/>
      <c r="R778" s="39"/>
      <c r="S778" s="39"/>
      <c r="T778" s="39"/>
    </row>
    <row r="779" spans="1:20" ht="15.75">
      <c r="A779" s="13">
        <v>64862</v>
      </c>
      <c r="B779" s="47">
        <f t="shared" si="2"/>
        <v>31</v>
      </c>
      <c r="C779" s="38">
        <v>194.20500000000001</v>
      </c>
      <c r="D779" s="38">
        <v>267.46600000000001</v>
      </c>
      <c r="E779" s="44">
        <v>812.32899999999995</v>
      </c>
      <c r="F779" s="38">
        <v>1274</v>
      </c>
      <c r="G779" s="38">
        <v>50</v>
      </c>
      <c r="H779" s="46">
        <v>600</v>
      </c>
      <c r="I779" s="38">
        <v>695</v>
      </c>
      <c r="J779" s="38">
        <v>0</v>
      </c>
      <c r="K779" s="39"/>
      <c r="L779" s="39"/>
      <c r="M779" s="39"/>
      <c r="N779" s="39"/>
      <c r="O779" s="39"/>
      <c r="P779" s="39"/>
      <c r="Q779" s="39"/>
      <c r="R779" s="39"/>
      <c r="S779" s="39"/>
      <c r="T779" s="39"/>
    </row>
    <row r="780" spans="1:20" ht="15.75">
      <c r="A780" s="13">
        <v>64893</v>
      </c>
      <c r="B780" s="47">
        <f t="shared" si="2"/>
        <v>31</v>
      </c>
      <c r="C780" s="38">
        <v>194.20500000000001</v>
      </c>
      <c r="D780" s="38">
        <v>267.46600000000001</v>
      </c>
      <c r="E780" s="44">
        <v>812.32899999999995</v>
      </c>
      <c r="F780" s="38">
        <v>1274</v>
      </c>
      <c r="G780" s="38">
        <v>50</v>
      </c>
      <c r="H780" s="46">
        <v>600</v>
      </c>
      <c r="I780" s="38">
        <v>695</v>
      </c>
      <c r="J780" s="38">
        <v>0</v>
      </c>
      <c r="K780" s="39"/>
      <c r="L780" s="39"/>
      <c r="M780" s="39"/>
      <c r="N780" s="39"/>
      <c r="O780" s="39"/>
      <c r="P780" s="39"/>
      <c r="Q780" s="39"/>
      <c r="R780" s="39"/>
      <c r="S780" s="39"/>
      <c r="T780" s="39"/>
    </row>
    <row r="781" spans="1:20" ht="15.75">
      <c r="A781" s="13">
        <v>64923</v>
      </c>
      <c r="B781" s="47">
        <f t="shared" si="2"/>
        <v>30</v>
      </c>
      <c r="C781" s="38">
        <v>194.20500000000001</v>
      </c>
      <c r="D781" s="38">
        <v>267.46600000000001</v>
      </c>
      <c r="E781" s="44">
        <v>812.32899999999995</v>
      </c>
      <c r="F781" s="38">
        <v>1274</v>
      </c>
      <c r="G781" s="38">
        <v>50</v>
      </c>
      <c r="H781" s="46">
        <v>600</v>
      </c>
      <c r="I781" s="38">
        <v>695</v>
      </c>
      <c r="J781" s="38">
        <v>0</v>
      </c>
      <c r="K781" s="39"/>
      <c r="L781" s="39"/>
      <c r="M781" s="39"/>
      <c r="N781" s="39"/>
      <c r="O781" s="39"/>
      <c r="P781" s="39"/>
      <c r="Q781" s="39"/>
      <c r="R781" s="39"/>
      <c r="S781" s="39"/>
      <c r="T781" s="39"/>
    </row>
    <row r="782" spans="1:20" ht="15.75">
      <c r="A782" s="13">
        <v>64954</v>
      </c>
      <c r="B782" s="47">
        <f t="shared" si="2"/>
        <v>31</v>
      </c>
      <c r="C782" s="38">
        <v>131.881</v>
      </c>
      <c r="D782" s="38">
        <v>277.16699999999997</v>
      </c>
      <c r="E782" s="44">
        <v>829.952</v>
      </c>
      <c r="F782" s="38">
        <v>1239</v>
      </c>
      <c r="G782" s="38">
        <v>75</v>
      </c>
      <c r="H782" s="46">
        <v>600</v>
      </c>
      <c r="I782" s="38">
        <v>695</v>
      </c>
      <c r="J782" s="38">
        <v>0</v>
      </c>
      <c r="K782" s="39"/>
      <c r="L782" s="39"/>
      <c r="M782" s="39"/>
      <c r="N782" s="39"/>
      <c r="O782" s="39"/>
      <c r="P782" s="39"/>
      <c r="Q782" s="39"/>
      <c r="R782" s="39"/>
      <c r="S782" s="39"/>
      <c r="T782" s="39"/>
    </row>
    <row r="783" spans="1:20" ht="15.75">
      <c r="A783" s="13">
        <v>64984</v>
      </c>
      <c r="B783" s="47">
        <f t="shared" si="2"/>
        <v>30</v>
      </c>
      <c r="C783" s="38">
        <v>122.58</v>
      </c>
      <c r="D783" s="38">
        <v>297.94099999999997</v>
      </c>
      <c r="E783" s="44">
        <v>729.47900000000004</v>
      </c>
      <c r="F783" s="38">
        <v>1150</v>
      </c>
      <c r="G783" s="38">
        <v>100</v>
      </c>
      <c r="H783" s="46">
        <v>600</v>
      </c>
      <c r="I783" s="38">
        <v>695</v>
      </c>
      <c r="J783" s="38">
        <v>50</v>
      </c>
      <c r="K783" s="39"/>
      <c r="L783" s="39"/>
      <c r="M783" s="39"/>
      <c r="N783" s="39"/>
      <c r="O783" s="39"/>
      <c r="P783" s="39"/>
      <c r="Q783" s="39"/>
      <c r="R783" s="39"/>
      <c r="S783" s="39"/>
      <c r="T783" s="39"/>
    </row>
    <row r="784" spans="1:20" ht="15.75">
      <c r="A784" s="13">
        <v>65015</v>
      </c>
      <c r="B784" s="47">
        <f t="shared" si="2"/>
        <v>31</v>
      </c>
      <c r="C784" s="38">
        <v>122.58</v>
      </c>
      <c r="D784" s="38">
        <v>297.94099999999997</v>
      </c>
      <c r="E784" s="44">
        <v>729.47900000000004</v>
      </c>
      <c r="F784" s="38">
        <v>1150</v>
      </c>
      <c r="G784" s="38">
        <v>100</v>
      </c>
      <c r="H784" s="46">
        <v>600</v>
      </c>
      <c r="I784" s="38">
        <v>695</v>
      </c>
      <c r="J784" s="38">
        <v>50</v>
      </c>
      <c r="K784" s="39"/>
      <c r="L784" s="39"/>
      <c r="M784" s="39"/>
      <c r="N784" s="39"/>
      <c r="O784" s="39"/>
      <c r="P784" s="39"/>
      <c r="Q784" s="39"/>
      <c r="R784" s="39"/>
      <c r="S784" s="39"/>
      <c r="T784" s="39"/>
    </row>
    <row r="785" spans="1:20" ht="15.75">
      <c r="A785" s="13">
        <v>65046</v>
      </c>
      <c r="B785" s="47">
        <f t="shared" ref="B785:B848" si="3">EOMONTH(A785,0)-EOMONTH(A785,-1)</f>
        <v>31</v>
      </c>
      <c r="C785" s="38">
        <v>122.58</v>
      </c>
      <c r="D785" s="38">
        <v>297.94099999999997</v>
      </c>
      <c r="E785" s="44">
        <v>729.47900000000004</v>
      </c>
      <c r="F785" s="38">
        <v>1150</v>
      </c>
      <c r="G785" s="38">
        <v>100</v>
      </c>
      <c r="H785" s="46">
        <v>600</v>
      </c>
      <c r="I785" s="38">
        <v>695</v>
      </c>
      <c r="J785" s="38">
        <v>50</v>
      </c>
      <c r="K785" s="39"/>
      <c r="L785" s="39"/>
      <c r="M785" s="39"/>
      <c r="N785" s="39"/>
      <c r="O785" s="39"/>
      <c r="P785" s="39"/>
      <c r="Q785" s="39"/>
      <c r="R785" s="39"/>
      <c r="S785" s="39"/>
      <c r="T785" s="39"/>
    </row>
    <row r="786" spans="1:20" ht="15.75">
      <c r="A786" s="13">
        <v>65074</v>
      </c>
      <c r="B786" s="47">
        <f t="shared" si="3"/>
        <v>28</v>
      </c>
      <c r="C786" s="38">
        <v>122.58</v>
      </c>
      <c r="D786" s="38">
        <v>297.94099999999997</v>
      </c>
      <c r="E786" s="44">
        <v>729.47900000000004</v>
      </c>
      <c r="F786" s="38">
        <v>1150</v>
      </c>
      <c r="G786" s="38">
        <v>100</v>
      </c>
      <c r="H786" s="46">
        <v>600</v>
      </c>
      <c r="I786" s="38">
        <v>695</v>
      </c>
      <c r="J786" s="38">
        <v>50</v>
      </c>
      <c r="K786" s="39"/>
      <c r="L786" s="39"/>
      <c r="M786" s="39"/>
      <c r="N786" s="39"/>
      <c r="O786" s="39"/>
      <c r="P786" s="39"/>
      <c r="Q786" s="39"/>
      <c r="R786" s="39"/>
      <c r="S786" s="39"/>
      <c r="T786" s="39"/>
    </row>
    <row r="787" spans="1:20" ht="15.75">
      <c r="A787" s="13">
        <v>65105</v>
      </c>
      <c r="B787" s="47">
        <f t="shared" si="3"/>
        <v>31</v>
      </c>
      <c r="C787" s="38">
        <v>122.58</v>
      </c>
      <c r="D787" s="38">
        <v>297.94099999999997</v>
      </c>
      <c r="E787" s="44">
        <v>729.47900000000004</v>
      </c>
      <c r="F787" s="38">
        <v>1150</v>
      </c>
      <c r="G787" s="38">
        <v>100</v>
      </c>
      <c r="H787" s="46">
        <v>600</v>
      </c>
      <c r="I787" s="38">
        <v>695</v>
      </c>
      <c r="J787" s="38">
        <v>50</v>
      </c>
      <c r="K787" s="39"/>
      <c r="L787" s="39"/>
      <c r="M787" s="39"/>
      <c r="N787" s="39"/>
      <c r="O787" s="39"/>
      <c r="P787" s="39"/>
      <c r="Q787" s="39"/>
      <c r="R787" s="39"/>
      <c r="S787" s="39"/>
      <c r="T787" s="39"/>
    </row>
    <row r="788" spans="1:20" ht="15.75">
      <c r="A788" s="13">
        <v>65135</v>
      </c>
      <c r="B788" s="47">
        <f t="shared" si="3"/>
        <v>30</v>
      </c>
      <c r="C788" s="38">
        <v>141.29300000000001</v>
      </c>
      <c r="D788" s="38">
        <v>267.99299999999999</v>
      </c>
      <c r="E788" s="44">
        <v>829.71400000000006</v>
      </c>
      <c r="F788" s="38">
        <v>1239</v>
      </c>
      <c r="G788" s="38">
        <v>100</v>
      </c>
      <c r="H788" s="46">
        <v>600</v>
      </c>
      <c r="I788" s="38">
        <v>695</v>
      </c>
      <c r="J788" s="38">
        <v>50</v>
      </c>
      <c r="K788" s="39"/>
      <c r="L788" s="39"/>
      <c r="M788" s="39"/>
      <c r="N788" s="39"/>
      <c r="O788" s="39"/>
      <c r="P788" s="39"/>
      <c r="Q788" s="39"/>
      <c r="R788" s="39"/>
      <c r="S788" s="39"/>
      <c r="T788" s="39"/>
    </row>
    <row r="789" spans="1:20" ht="15.75">
      <c r="A789" s="13">
        <v>65166</v>
      </c>
      <c r="B789" s="47">
        <f t="shared" si="3"/>
        <v>31</v>
      </c>
      <c r="C789" s="38">
        <v>194.20500000000001</v>
      </c>
      <c r="D789" s="38">
        <v>267.46600000000001</v>
      </c>
      <c r="E789" s="44">
        <v>812.32899999999995</v>
      </c>
      <c r="F789" s="38">
        <v>1274</v>
      </c>
      <c r="G789" s="38">
        <v>75</v>
      </c>
      <c r="H789" s="46">
        <v>600</v>
      </c>
      <c r="I789" s="38">
        <v>695</v>
      </c>
      <c r="J789" s="38">
        <v>50</v>
      </c>
      <c r="K789" s="39"/>
      <c r="L789" s="39"/>
      <c r="M789" s="39"/>
      <c r="N789" s="39"/>
      <c r="O789" s="39"/>
      <c r="P789" s="39"/>
      <c r="Q789" s="39"/>
      <c r="R789" s="39"/>
      <c r="S789" s="39"/>
      <c r="T789" s="39"/>
    </row>
    <row r="790" spans="1:20" ht="15.75">
      <c r="A790" s="13">
        <v>65196</v>
      </c>
      <c r="B790" s="47">
        <f t="shared" si="3"/>
        <v>30</v>
      </c>
      <c r="C790" s="38">
        <v>194.20500000000001</v>
      </c>
      <c r="D790" s="38">
        <v>267.46600000000001</v>
      </c>
      <c r="E790" s="44">
        <v>812.32899999999995</v>
      </c>
      <c r="F790" s="38">
        <v>1274</v>
      </c>
      <c r="G790" s="38">
        <v>50</v>
      </c>
      <c r="H790" s="46">
        <v>600</v>
      </c>
      <c r="I790" s="38">
        <v>695</v>
      </c>
      <c r="J790" s="38">
        <v>50</v>
      </c>
      <c r="K790" s="39"/>
      <c r="L790" s="39"/>
      <c r="M790" s="39"/>
      <c r="N790" s="39"/>
      <c r="O790" s="39"/>
      <c r="P790" s="39"/>
      <c r="Q790" s="39"/>
      <c r="R790" s="39"/>
      <c r="S790" s="39"/>
      <c r="T790" s="39"/>
    </row>
    <row r="791" spans="1:20" ht="15.75">
      <c r="A791" s="13">
        <v>65227</v>
      </c>
      <c r="B791" s="47">
        <f t="shared" si="3"/>
        <v>31</v>
      </c>
      <c r="C791" s="38">
        <v>194.20500000000001</v>
      </c>
      <c r="D791" s="38">
        <v>267.46600000000001</v>
      </c>
      <c r="E791" s="44">
        <v>812.32899999999995</v>
      </c>
      <c r="F791" s="38">
        <v>1274</v>
      </c>
      <c r="G791" s="38">
        <v>50</v>
      </c>
      <c r="H791" s="46">
        <v>600</v>
      </c>
      <c r="I791" s="38">
        <v>695</v>
      </c>
      <c r="J791" s="38">
        <v>0</v>
      </c>
      <c r="K791" s="39"/>
      <c r="L791" s="39"/>
      <c r="M791" s="39"/>
      <c r="N791" s="39"/>
      <c r="O791" s="39"/>
      <c r="P791" s="39"/>
      <c r="Q791" s="39"/>
      <c r="R791" s="39"/>
      <c r="S791" s="39"/>
      <c r="T791" s="39"/>
    </row>
    <row r="792" spans="1:20" ht="15.75">
      <c r="A792" s="13">
        <v>65258</v>
      </c>
      <c r="B792" s="47">
        <f t="shared" si="3"/>
        <v>31</v>
      </c>
      <c r="C792" s="38">
        <v>194.20500000000001</v>
      </c>
      <c r="D792" s="38">
        <v>267.46600000000001</v>
      </c>
      <c r="E792" s="44">
        <v>812.32899999999995</v>
      </c>
      <c r="F792" s="38">
        <v>1274</v>
      </c>
      <c r="G792" s="38">
        <v>50</v>
      </c>
      <c r="H792" s="46">
        <v>600</v>
      </c>
      <c r="I792" s="38">
        <v>695</v>
      </c>
      <c r="J792" s="38">
        <v>0</v>
      </c>
      <c r="K792" s="39"/>
      <c r="L792" s="39"/>
      <c r="M792" s="39"/>
      <c r="N792" s="39"/>
      <c r="O792" s="39"/>
      <c r="P792" s="39"/>
      <c r="Q792" s="39"/>
      <c r="R792" s="39"/>
      <c r="S792" s="39"/>
      <c r="T792" s="39"/>
    </row>
    <row r="793" spans="1:20" ht="15.75">
      <c r="A793" s="13">
        <v>65288</v>
      </c>
      <c r="B793" s="47">
        <f t="shared" si="3"/>
        <v>30</v>
      </c>
      <c r="C793" s="38">
        <v>194.20500000000001</v>
      </c>
      <c r="D793" s="38">
        <v>267.46600000000001</v>
      </c>
      <c r="E793" s="44">
        <v>812.32899999999995</v>
      </c>
      <c r="F793" s="38">
        <v>1274</v>
      </c>
      <c r="G793" s="38">
        <v>50</v>
      </c>
      <c r="H793" s="46">
        <v>600</v>
      </c>
      <c r="I793" s="38">
        <v>695</v>
      </c>
      <c r="J793" s="38">
        <v>0</v>
      </c>
      <c r="K793" s="39"/>
      <c r="L793" s="39"/>
      <c r="M793" s="39"/>
      <c r="N793" s="39"/>
      <c r="O793" s="39"/>
      <c r="P793" s="39"/>
      <c r="Q793" s="39"/>
      <c r="R793" s="39"/>
      <c r="S793" s="39"/>
      <c r="T793" s="39"/>
    </row>
    <row r="794" spans="1:20" ht="15.75">
      <c r="A794" s="13">
        <v>65319</v>
      </c>
      <c r="B794" s="47">
        <f t="shared" si="3"/>
        <v>31</v>
      </c>
      <c r="C794" s="38">
        <v>131.881</v>
      </c>
      <c r="D794" s="38">
        <v>277.16699999999997</v>
      </c>
      <c r="E794" s="44">
        <v>829.952</v>
      </c>
      <c r="F794" s="38">
        <v>1239</v>
      </c>
      <c r="G794" s="38">
        <v>75</v>
      </c>
      <c r="H794" s="46">
        <v>600</v>
      </c>
      <c r="I794" s="38">
        <v>695</v>
      </c>
      <c r="J794" s="38">
        <v>0</v>
      </c>
      <c r="K794" s="39"/>
      <c r="L794" s="39"/>
      <c r="M794" s="39"/>
      <c r="N794" s="39"/>
      <c r="O794" s="39"/>
      <c r="P794" s="39"/>
      <c r="Q794" s="39"/>
      <c r="R794" s="39"/>
      <c r="S794" s="39"/>
      <c r="T794" s="39"/>
    </row>
    <row r="795" spans="1:20" ht="15.75">
      <c r="A795" s="13">
        <v>65349</v>
      </c>
      <c r="B795" s="47">
        <f t="shared" si="3"/>
        <v>30</v>
      </c>
      <c r="C795" s="38">
        <v>122.58</v>
      </c>
      <c r="D795" s="38">
        <v>297.94099999999997</v>
      </c>
      <c r="E795" s="44">
        <v>729.47900000000004</v>
      </c>
      <c r="F795" s="38">
        <v>1150</v>
      </c>
      <c r="G795" s="38">
        <v>100</v>
      </c>
      <c r="H795" s="46">
        <v>600</v>
      </c>
      <c r="I795" s="38">
        <v>695</v>
      </c>
      <c r="J795" s="38">
        <v>50</v>
      </c>
      <c r="K795" s="39"/>
      <c r="L795" s="39"/>
      <c r="M795" s="39"/>
      <c r="N795" s="39"/>
      <c r="O795" s="39"/>
      <c r="P795" s="39"/>
      <c r="Q795" s="39"/>
      <c r="R795" s="39"/>
      <c r="S795" s="39"/>
      <c r="T795" s="39"/>
    </row>
    <row r="796" spans="1:20" ht="15.75">
      <c r="A796" s="13">
        <v>65380</v>
      </c>
      <c r="B796" s="47">
        <f t="shared" si="3"/>
        <v>31</v>
      </c>
      <c r="C796" s="38">
        <v>122.58</v>
      </c>
      <c r="D796" s="38">
        <v>297.94099999999997</v>
      </c>
      <c r="E796" s="44">
        <v>729.47900000000004</v>
      </c>
      <c r="F796" s="38">
        <v>1150</v>
      </c>
      <c r="G796" s="38">
        <v>100</v>
      </c>
      <c r="H796" s="46">
        <v>600</v>
      </c>
      <c r="I796" s="38">
        <v>695</v>
      </c>
      <c r="J796" s="38">
        <v>50</v>
      </c>
      <c r="K796" s="39"/>
      <c r="L796" s="39"/>
      <c r="M796" s="39"/>
      <c r="N796" s="39"/>
      <c r="O796" s="39"/>
      <c r="P796" s="39"/>
      <c r="Q796" s="39"/>
      <c r="R796" s="39"/>
      <c r="S796" s="39"/>
      <c r="T796" s="39"/>
    </row>
    <row r="797" spans="1:20" ht="15.75">
      <c r="A797" s="13">
        <v>65411</v>
      </c>
      <c r="B797" s="47">
        <f t="shared" si="3"/>
        <v>31</v>
      </c>
      <c r="C797" s="38">
        <v>122.58</v>
      </c>
      <c r="D797" s="38">
        <v>297.94099999999997</v>
      </c>
      <c r="E797" s="44">
        <v>729.47900000000004</v>
      </c>
      <c r="F797" s="38">
        <v>1150</v>
      </c>
      <c r="G797" s="38">
        <v>100</v>
      </c>
      <c r="H797" s="46">
        <v>600</v>
      </c>
      <c r="I797" s="38">
        <v>695</v>
      </c>
      <c r="J797" s="38">
        <v>50</v>
      </c>
      <c r="K797" s="39"/>
      <c r="L797" s="39"/>
      <c r="M797" s="39"/>
      <c r="N797" s="39"/>
      <c r="O797" s="39"/>
      <c r="P797" s="39"/>
      <c r="Q797" s="39"/>
      <c r="R797" s="39"/>
      <c r="S797" s="39"/>
      <c r="T797" s="39"/>
    </row>
    <row r="798" spans="1:20" ht="15.75">
      <c r="A798" s="13">
        <v>65439</v>
      </c>
      <c r="B798" s="47">
        <f t="shared" si="3"/>
        <v>28</v>
      </c>
      <c r="C798" s="38">
        <v>122.58</v>
      </c>
      <c r="D798" s="38">
        <v>297.94099999999997</v>
      </c>
      <c r="E798" s="44">
        <v>729.47900000000004</v>
      </c>
      <c r="F798" s="38">
        <v>1150</v>
      </c>
      <c r="G798" s="38">
        <v>100</v>
      </c>
      <c r="H798" s="46">
        <v>600</v>
      </c>
      <c r="I798" s="38">
        <v>695</v>
      </c>
      <c r="J798" s="38">
        <v>50</v>
      </c>
      <c r="K798" s="39"/>
      <c r="L798" s="39"/>
      <c r="M798" s="39"/>
      <c r="N798" s="39"/>
      <c r="O798" s="39"/>
      <c r="P798" s="39"/>
      <c r="Q798" s="39"/>
      <c r="R798" s="39"/>
      <c r="S798" s="39"/>
      <c r="T798" s="39"/>
    </row>
    <row r="799" spans="1:20" ht="15.75">
      <c r="A799" s="13">
        <v>65470</v>
      </c>
      <c r="B799" s="47">
        <f t="shared" si="3"/>
        <v>31</v>
      </c>
      <c r="C799" s="38">
        <v>122.58</v>
      </c>
      <c r="D799" s="38">
        <v>297.94099999999997</v>
      </c>
      <c r="E799" s="44">
        <v>729.47900000000004</v>
      </c>
      <c r="F799" s="38">
        <v>1150</v>
      </c>
      <c r="G799" s="38">
        <v>100</v>
      </c>
      <c r="H799" s="46">
        <v>600</v>
      </c>
      <c r="I799" s="38">
        <v>695</v>
      </c>
      <c r="J799" s="38">
        <v>50</v>
      </c>
      <c r="K799" s="39"/>
      <c r="L799" s="39"/>
      <c r="M799" s="39"/>
      <c r="N799" s="39"/>
      <c r="O799" s="39"/>
      <c r="P799" s="39"/>
      <c r="Q799" s="39"/>
      <c r="R799" s="39"/>
      <c r="S799" s="39"/>
      <c r="T799" s="39"/>
    </row>
    <row r="800" spans="1:20" ht="15.75">
      <c r="A800" s="13">
        <v>65500</v>
      </c>
      <c r="B800" s="47">
        <f t="shared" si="3"/>
        <v>30</v>
      </c>
      <c r="C800" s="38">
        <v>141.29300000000001</v>
      </c>
      <c r="D800" s="38">
        <v>267.99299999999999</v>
      </c>
      <c r="E800" s="44">
        <v>829.71400000000006</v>
      </c>
      <c r="F800" s="38">
        <v>1239</v>
      </c>
      <c r="G800" s="38">
        <v>100</v>
      </c>
      <c r="H800" s="46">
        <v>600</v>
      </c>
      <c r="I800" s="38">
        <v>695</v>
      </c>
      <c r="J800" s="38">
        <v>50</v>
      </c>
      <c r="K800" s="39"/>
      <c r="L800" s="39"/>
      <c r="M800" s="39"/>
      <c r="N800" s="39"/>
      <c r="O800" s="39"/>
      <c r="P800" s="39"/>
      <c r="Q800" s="39"/>
      <c r="R800" s="39"/>
      <c r="S800" s="39"/>
      <c r="T800" s="39"/>
    </row>
    <row r="801" spans="1:20" ht="15.75">
      <c r="A801" s="13">
        <v>65531</v>
      </c>
      <c r="B801" s="47">
        <f t="shared" si="3"/>
        <v>31</v>
      </c>
      <c r="C801" s="38">
        <v>194.20500000000001</v>
      </c>
      <c r="D801" s="38">
        <v>267.46600000000001</v>
      </c>
      <c r="E801" s="44">
        <v>812.32899999999995</v>
      </c>
      <c r="F801" s="38">
        <v>1274</v>
      </c>
      <c r="G801" s="38">
        <v>75</v>
      </c>
      <c r="H801" s="46">
        <v>600</v>
      </c>
      <c r="I801" s="38">
        <v>695</v>
      </c>
      <c r="J801" s="38">
        <v>50</v>
      </c>
      <c r="K801" s="39"/>
      <c r="L801" s="39"/>
      <c r="M801" s="39"/>
      <c r="N801" s="39"/>
      <c r="O801" s="39"/>
      <c r="P801" s="39"/>
      <c r="Q801" s="39"/>
      <c r="R801" s="39"/>
      <c r="S801" s="39"/>
      <c r="T801" s="39"/>
    </row>
    <row r="802" spans="1:20" ht="15.75">
      <c r="A802" s="13">
        <v>65561</v>
      </c>
      <c r="B802" s="47">
        <f t="shared" si="3"/>
        <v>30</v>
      </c>
      <c r="C802" s="38">
        <v>194.20500000000001</v>
      </c>
      <c r="D802" s="38">
        <v>267.46600000000001</v>
      </c>
      <c r="E802" s="44">
        <v>812.32899999999995</v>
      </c>
      <c r="F802" s="38">
        <v>1274</v>
      </c>
      <c r="G802" s="38">
        <v>50</v>
      </c>
      <c r="H802" s="46">
        <v>600</v>
      </c>
      <c r="I802" s="38">
        <v>695</v>
      </c>
      <c r="J802" s="38">
        <v>50</v>
      </c>
      <c r="K802" s="39"/>
      <c r="L802" s="39"/>
      <c r="M802" s="39"/>
      <c r="N802" s="39"/>
      <c r="O802" s="39"/>
      <c r="P802" s="39"/>
      <c r="Q802" s="39"/>
      <c r="R802" s="39"/>
      <c r="S802" s="39"/>
      <c r="T802" s="39"/>
    </row>
    <row r="803" spans="1:20" ht="15.75">
      <c r="A803" s="13">
        <v>65592</v>
      </c>
      <c r="B803" s="47">
        <f t="shared" si="3"/>
        <v>31</v>
      </c>
      <c r="C803" s="38">
        <v>194.20500000000001</v>
      </c>
      <c r="D803" s="38">
        <v>267.46600000000001</v>
      </c>
      <c r="E803" s="44">
        <v>812.32899999999995</v>
      </c>
      <c r="F803" s="38">
        <v>1274</v>
      </c>
      <c r="G803" s="38">
        <v>50</v>
      </c>
      <c r="H803" s="46">
        <v>600</v>
      </c>
      <c r="I803" s="38">
        <v>695</v>
      </c>
      <c r="J803" s="38">
        <v>0</v>
      </c>
      <c r="K803" s="39"/>
      <c r="L803" s="39"/>
      <c r="M803" s="39"/>
      <c r="N803" s="39"/>
      <c r="O803" s="39"/>
      <c r="P803" s="39"/>
      <c r="Q803" s="39"/>
      <c r="R803" s="39"/>
      <c r="S803" s="39"/>
      <c r="T803" s="39"/>
    </row>
    <row r="804" spans="1:20" ht="15.75">
      <c r="A804" s="13">
        <v>65623</v>
      </c>
      <c r="B804" s="47">
        <f t="shared" si="3"/>
        <v>31</v>
      </c>
      <c r="C804" s="38">
        <v>194.20500000000001</v>
      </c>
      <c r="D804" s="38">
        <v>267.46600000000001</v>
      </c>
      <c r="E804" s="44">
        <v>812.32899999999995</v>
      </c>
      <c r="F804" s="38">
        <v>1274</v>
      </c>
      <c r="G804" s="38">
        <v>50</v>
      </c>
      <c r="H804" s="46">
        <v>600</v>
      </c>
      <c r="I804" s="38">
        <v>695</v>
      </c>
      <c r="J804" s="38">
        <v>0</v>
      </c>
      <c r="K804" s="39"/>
      <c r="L804" s="39"/>
      <c r="M804" s="39"/>
      <c r="N804" s="39"/>
      <c r="O804" s="39"/>
      <c r="P804" s="39"/>
      <c r="Q804" s="39"/>
      <c r="R804" s="39"/>
      <c r="S804" s="39"/>
      <c r="T804" s="39"/>
    </row>
    <row r="805" spans="1:20" ht="15.75">
      <c r="A805" s="13">
        <v>65653</v>
      </c>
      <c r="B805" s="47">
        <f t="shared" si="3"/>
        <v>30</v>
      </c>
      <c r="C805" s="38">
        <v>194.20500000000001</v>
      </c>
      <c r="D805" s="38">
        <v>267.46600000000001</v>
      </c>
      <c r="E805" s="44">
        <v>812.32899999999995</v>
      </c>
      <c r="F805" s="38">
        <v>1274</v>
      </c>
      <c r="G805" s="38">
        <v>50</v>
      </c>
      <c r="H805" s="46">
        <v>600</v>
      </c>
      <c r="I805" s="38">
        <v>695</v>
      </c>
      <c r="J805" s="38">
        <v>0</v>
      </c>
      <c r="K805" s="39"/>
      <c r="L805" s="39"/>
      <c r="M805" s="39"/>
      <c r="N805" s="39"/>
      <c r="O805" s="39"/>
      <c r="P805" s="39"/>
      <c r="Q805" s="39"/>
      <c r="R805" s="39"/>
      <c r="S805" s="39"/>
      <c r="T805" s="39"/>
    </row>
    <row r="806" spans="1:20" ht="15.75">
      <c r="A806" s="13">
        <v>65684</v>
      </c>
      <c r="B806" s="47">
        <f t="shared" si="3"/>
        <v>31</v>
      </c>
      <c r="C806" s="38">
        <v>131.881</v>
      </c>
      <c r="D806" s="38">
        <v>277.16699999999997</v>
      </c>
      <c r="E806" s="44">
        <v>829.952</v>
      </c>
      <c r="F806" s="38">
        <v>1239</v>
      </c>
      <c r="G806" s="38">
        <v>75</v>
      </c>
      <c r="H806" s="46">
        <v>600</v>
      </c>
      <c r="I806" s="38">
        <v>695</v>
      </c>
      <c r="J806" s="38">
        <v>0</v>
      </c>
      <c r="K806" s="39"/>
      <c r="L806" s="39"/>
      <c r="M806" s="39"/>
      <c r="N806" s="39"/>
      <c r="O806" s="39"/>
      <c r="P806" s="39"/>
      <c r="Q806" s="39"/>
      <c r="R806" s="39"/>
      <c r="S806" s="39"/>
      <c r="T806" s="39"/>
    </row>
    <row r="807" spans="1:20" ht="15.75">
      <c r="A807" s="13">
        <v>65714</v>
      </c>
      <c r="B807" s="47">
        <f t="shared" si="3"/>
        <v>30</v>
      </c>
      <c r="C807" s="38">
        <v>122.58</v>
      </c>
      <c r="D807" s="38">
        <v>297.94099999999997</v>
      </c>
      <c r="E807" s="44">
        <v>729.47900000000004</v>
      </c>
      <c r="F807" s="38">
        <v>1150</v>
      </c>
      <c r="G807" s="38">
        <v>100</v>
      </c>
      <c r="H807" s="46">
        <v>600</v>
      </c>
      <c r="I807" s="38">
        <v>695</v>
      </c>
      <c r="J807" s="38">
        <v>50</v>
      </c>
      <c r="K807" s="39"/>
      <c r="L807" s="39"/>
      <c r="M807" s="39"/>
      <c r="N807" s="39"/>
      <c r="O807" s="39"/>
      <c r="P807" s="39"/>
      <c r="Q807" s="39"/>
      <c r="R807" s="39"/>
      <c r="S807" s="39"/>
      <c r="T807" s="39"/>
    </row>
    <row r="808" spans="1:20" ht="15.75">
      <c r="A808" s="13">
        <v>65745</v>
      </c>
      <c r="B808" s="47">
        <f t="shared" si="3"/>
        <v>31</v>
      </c>
      <c r="C808" s="38">
        <v>122.58</v>
      </c>
      <c r="D808" s="38">
        <v>297.94099999999997</v>
      </c>
      <c r="E808" s="44">
        <v>729.47900000000004</v>
      </c>
      <c r="F808" s="38">
        <v>1150</v>
      </c>
      <c r="G808" s="38">
        <v>100</v>
      </c>
      <c r="H808" s="46">
        <v>600</v>
      </c>
      <c r="I808" s="38">
        <v>695</v>
      </c>
      <c r="J808" s="38">
        <v>50</v>
      </c>
      <c r="K808" s="39"/>
      <c r="L808" s="39"/>
      <c r="M808" s="39"/>
      <c r="N808" s="39"/>
      <c r="O808" s="39"/>
      <c r="P808" s="39"/>
      <c r="Q808" s="39"/>
      <c r="R808" s="39"/>
      <c r="S808" s="39"/>
      <c r="T808" s="39"/>
    </row>
    <row r="809" spans="1:20" ht="15.75">
      <c r="A809" s="13">
        <v>65776</v>
      </c>
      <c r="B809" s="47">
        <f t="shared" si="3"/>
        <v>31</v>
      </c>
      <c r="C809" s="38">
        <v>122.58</v>
      </c>
      <c r="D809" s="38">
        <v>297.94099999999997</v>
      </c>
      <c r="E809" s="44">
        <v>729.47900000000004</v>
      </c>
      <c r="F809" s="38">
        <v>1150</v>
      </c>
      <c r="G809" s="38">
        <v>100</v>
      </c>
      <c r="H809" s="46">
        <v>600</v>
      </c>
      <c r="I809" s="38">
        <v>695</v>
      </c>
      <c r="J809" s="38">
        <v>50</v>
      </c>
      <c r="K809" s="39"/>
      <c r="L809" s="39"/>
      <c r="M809" s="39"/>
      <c r="N809" s="39"/>
      <c r="O809" s="39"/>
      <c r="P809" s="39"/>
      <c r="Q809" s="39"/>
      <c r="R809" s="39"/>
      <c r="S809" s="39"/>
      <c r="T809" s="39"/>
    </row>
    <row r="810" spans="1:20" ht="15.75">
      <c r="A810" s="13">
        <v>65805</v>
      </c>
      <c r="B810" s="47">
        <f t="shared" si="3"/>
        <v>29</v>
      </c>
      <c r="C810" s="38">
        <v>122.58</v>
      </c>
      <c r="D810" s="38">
        <v>297.94099999999997</v>
      </c>
      <c r="E810" s="44">
        <v>729.47900000000004</v>
      </c>
      <c r="F810" s="38">
        <v>1150</v>
      </c>
      <c r="G810" s="38">
        <v>100</v>
      </c>
      <c r="H810" s="46">
        <v>600</v>
      </c>
      <c r="I810" s="38">
        <v>695</v>
      </c>
      <c r="J810" s="38">
        <v>50</v>
      </c>
      <c r="K810" s="39"/>
      <c r="L810" s="39"/>
      <c r="M810" s="39"/>
      <c r="N810" s="39"/>
      <c r="O810" s="39"/>
      <c r="P810" s="39"/>
      <c r="Q810" s="39"/>
      <c r="R810" s="39"/>
      <c r="S810" s="39"/>
      <c r="T810" s="39"/>
    </row>
    <row r="811" spans="1:20" ht="15.75">
      <c r="A811" s="13">
        <v>65836</v>
      </c>
      <c r="B811" s="47">
        <f t="shared" si="3"/>
        <v>31</v>
      </c>
      <c r="C811" s="38">
        <v>122.58</v>
      </c>
      <c r="D811" s="38">
        <v>297.94099999999997</v>
      </c>
      <c r="E811" s="44">
        <v>729.47900000000004</v>
      </c>
      <c r="F811" s="38">
        <v>1150</v>
      </c>
      <c r="G811" s="38">
        <v>100</v>
      </c>
      <c r="H811" s="46">
        <v>600</v>
      </c>
      <c r="I811" s="38">
        <v>695</v>
      </c>
      <c r="J811" s="38">
        <v>50</v>
      </c>
      <c r="K811" s="39"/>
      <c r="L811" s="39"/>
      <c r="M811" s="39"/>
      <c r="N811" s="39"/>
      <c r="O811" s="39"/>
      <c r="P811" s="39"/>
      <c r="Q811" s="39"/>
      <c r="R811" s="39"/>
      <c r="S811" s="39"/>
      <c r="T811" s="39"/>
    </row>
    <row r="812" spans="1:20" ht="15.75">
      <c r="A812" s="13">
        <v>65866</v>
      </c>
      <c r="B812" s="47">
        <f t="shared" si="3"/>
        <v>30</v>
      </c>
      <c r="C812" s="38">
        <v>141.29300000000001</v>
      </c>
      <c r="D812" s="38">
        <v>267.99299999999999</v>
      </c>
      <c r="E812" s="44">
        <v>829.71400000000006</v>
      </c>
      <c r="F812" s="38">
        <v>1239</v>
      </c>
      <c r="G812" s="38">
        <v>100</v>
      </c>
      <c r="H812" s="46">
        <v>600</v>
      </c>
      <c r="I812" s="38">
        <v>695</v>
      </c>
      <c r="J812" s="38">
        <v>50</v>
      </c>
      <c r="K812" s="39"/>
      <c r="L812" s="39"/>
      <c r="M812" s="39"/>
      <c r="N812" s="39"/>
      <c r="O812" s="39"/>
      <c r="P812" s="39"/>
      <c r="Q812" s="39"/>
      <c r="R812" s="39"/>
      <c r="S812" s="39"/>
      <c r="T812" s="39"/>
    </row>
    <row r="813" spans="1:20" ht="15.75">
      <c r="A813" s="13">
        <v>65897</v>
      </c>
      <c r="B813" s="47">
        <f t="shared" si="3"/>
        <v>31</v>
      </c>
      <c r="C813" s="38">
        <v>194.20500000000001</v>
      </c>
      <c r="D813" s="38">
        <v>267.46600000000001</v>
      </c>
      <c r="E813" s="44">
        <v>812.32899999999995</v>
      </c>
      <c r="F813" s="38">
        <v>1274</v>
      </c>
      <c r="G813" s="38">
        <v>75</v>
      </c>
      <c r="H813" s="46">
        <v>600</v>
      </c>
      <c r="I813" s="38">
        <v>695</v>
      </c>
      <c r="J813" s="38">
        <v>50</v>
      </c>
      <c r="K813" s="39"/>
      <c r="L813" s="39"/>
      <c r="M813" s="39"/>
      <c r="N813" s="39"/>
      <c r="O813" s="39"/>
      <c r="P813" s="39"/>
      <c r="Q813" s="39"/>
      <c r="R813" s="39"/>
      <c r="S813" s="39"/>
      <c r="T813" s="39"/>
    </row>
    <row r="814" spans="1:20" ht="15.75">
      <c r="A814" s="13">
        <v>65927</v>
      </c>
      <c r="B814" s="47">
        <f t="shared" si="3"/>
        <v>30</v>
      </c>
      <c r="C814" s="38">
        <v>194.20500000000001</v>
      </c>
      <c r="D814" s="38">
        <v>267.46600000000001</v>
      </c>
      <c r="E814" s="44">
        <v>812.32899999999995</v>
      </c>
      <c r="F814" s="38">
        <v>1274</v>
      </c>
      <c r="G814" s="38">
        <v>50</v>
      </c>
      <c r="H814" s="46">
        <v>600</v>
      </c>
      <c r="I814" s="38">
        <v>695</v>
      </c>
      <c r="J814" s="38">
        <v>50</v>
      </c>
      <c r="K814" s="39"/>
      <c r="L814" s="39"/>
      <c r="M814" s="39"/>
      <c r="N814" s="39"/>
      <c r="O814" s="39"/>
      <c r="P814" s="39"/>
      <c r="Q814" s="39"/>
      <c r="R814" s="39"/>
      <c r="S814" s="39"/>
      <c r="T814" s="39"/>
    </row>
    <row r="815" spans="1:20" ht="15.75">
      <c r="A815" s="13">
        <v>65958</v>
      </c>
      <c r="B815" s="47">
        <f t="shared" si="3"/>
        <v>31</v>
      </c>
      <c r="C815" s="38">
        <v>194.20500000000001</v>
      </c>
      <c r="D815" s="38">
        <v>267.46600000000001</v>
      </c>
      <c r="E815" s="44">
        <v>812.32899999999995</v>
      </c>
      <c r="F815" s="38">
        <v>1274</v>
      </c>
      <c r="G815" s="38">
        <v>50</v>
      </c>
      <c r="H815" s="46">
        <v>600</v>
      </c>
      <c r="I815" s="38">
        <v>695</v>
      </c>
      <c r="J815" s="38">
        <v>0</v>
      </c>
      <c r="K815" s="39"/>
      <c r="L815" s="39"/>
      <c r="M815" s="39"/>
      <c r="N815" s="39"/>
      <c r="O815" s="39"/>
      <c r="P815" s="39"/>
      <c r="Q815" s="39"/>
      <c r="R815" s="39"/>
      <c r="S815" s="39"/>
      <c r="T815" s="39"/>
    </row>
    <row r="816" spans="1:20" ht="15.75">
      <c r="A816" s="13">
        <v>65989</v>
      </c>
      <c r="B816" s="47">
        <f t="shared" si="3"/>
        <v>31</v>
      </c>
      <c r="C816" s="38">
        <v>194.20500000000001</v>
      </c>
      <c r="D816" s="38">
        <v>267.46600000000001</v>
      </c>
      <c r="E816" s="44">
        <v>812.32899999999995</v>
      </c>
      <c r="F816" s="38">
        <v>1274</v>
      </c>
      <c r="G816" s="38">
        <v>50</v>
      </c>
      <c r="H816" s="46">
        <v>600</v>
      </c>
      <c r="I816" s="38">
        <v>695</v>
      </c>
      <c r="J816" s="38">
        <v>0</v>
      </c>
      <c r="K816" s="39"/>
      <c r="L816" s="39"/>
      <c r="M816" s="39"/>
      <c r="N816" s="39"/>
      <c r="O816" s="39"/>
      <c r="P816" s="39"/>
      <c r="Q816" s="39"/>
      <c r="R816" s="39"/>
      <c r="S816" s="39"/>
      <c r="T816" s="39"/>
    </row>
    <row r="817" spans="1:20" ht="15.75">
      <c r="A817" s="13">
        <v>66019</v>
      </c>
      <c r="B817" s="47">
        <f t="shared" si="3"/>
        <v>30</v>
      </c>
      <c r="C817" s="38">
        <v>194.20500000000001</v>
      </c>
      <c r="D817" s="38">
        <v>267.46600000000001</v>
      </c>
      <c r="E817" s="44">
        <v>812.32899999999995</v>
      </c>
      <c r="F817" s="38">
        <v>1274</v>
      </c>
      <c r="G817" s="38">
        <v>50</v>
      </c>
      <c r="H817" s="46">
        <v>600</v>
      </c>
      <c r="I817" s="38">
        <v>695</v>
      </c>
      <c r="J817" s="38">
        <v>0</v>
      </c>
      <c r="K817" s="39"/>
      <c r="L817" s="39"/>
      <c r="M817" s="39"/>
      <c r="N817" s="39"/>
      <c r="O817" s="39"/>
      <c r="P817" s="39"/>
      <c r="Q817" s="39"/>
      <c r="R817" s="39"/>
      <c r="S817" s="39"/>
      <c r="T817" s="39"/>
    </row>
    <row r="818" spans="1:20" ht="15.75">
      <c r="A818" s="13">
        <v>66050</v>
      </c>
      <c r="B818" s="47">
        <f t="shared" si="3"/>
        <v>31</v>
      </c>
      <c r="C818" s="38">
        <v>131.881</v>
      </c>
      <c r="D818" s="38">
        <v>277.16699999999997</v>
      </c>
      <c r="E818" s="44">
        <v>829.952</v>
      </c>
      <c r="F818" s="38">
        <v>1239</v>
      </c>
      <c r="G818" s="38">
        <v>75</v>
      </c>
      <c r="H818" s="46">
        <v>600</v>
      </c>
      <c r="I818" s="38">
        <v>695</v>
      </c>
      <c r="J818" s="38">
        <v>0</v>
      </c>
      <c r="K818" s="39"/>
      <c r="L818" s="39"/>
      <c r="M818" s="39"/>
      <c r="N818" s="39"/>
      <c r="O818" s="39"/>
      <c r="P818" s="39"/>
      <c r="Q818" s="39"/>
      <c r="R818" s="39"/>
      <c r="S818" s="39"/>
      <c r="T818" s="39"/>
    </row>
    <row r="819" spans="1:20" ht="15.75">
      <c r="A819" s="13">
        <v>66080</v>
      </c>
      <c r="B819" s="47">
        <f t="shared" si="3"/>
        <v>30</v>
      </c>
      <c r="C819" s="38">
        <v>122.58</v>
      </c>
      <c r="D819" s="38">
        <v>297.94099999999997</v>
      </c>
      <c r="E819" s="44">
        <v>729.47900000000004</v>
      </c>
      <c r="F819" s="38">
        <v>1150</v>
      </c>
      <c r="G819" s="38">
        <v>100</v>
      </c>
      <c r="H819" s="46">
        <v>600</v>
      </c>
      <c r="I819" s="38">
        <v>695</v>
      </c>
      <c r="J819" s="38">
        <v>50</v>
      </c>
      <c r="K819" s="39"/>
      <c r="L819" s="39"/>
      <c r="M819" s="39"/>
      <c r="N819" s="39"/>
      <c r="O819" s="39"/>
      <c r="P819" s="39"/>
      <c r="Q819" s="39"/>
      <c r="R819" s="39"/>
      <c r="S819" s="39"/>
      <c r="T819" s="39"/>
    </row>
    <row r="820" spans="1:20" ht="15.75">
      <c r="A820" s="13">
        <v>66111</v>
      </c>
      <c r="B820" s="47">
        <f t="shared" si="3"/>
        <v>31</v>
      </c>
      <c r="C820" s="38">
        <v>122.58</v>
      </c>
      <c r="D820" s="38">
        <v>297.94099999999997</v>
      </c>
      <c r="E820" s="44">
        <v>729.47900000000004</v>
      </c>
      <c r="F820" s="38">
        <v>1150</v>
      </c>
      <c r="G820" s="38">
        <v>100</v>
      </c>
      <c r="H820" s="46">
        <v>600</v>
      </c>
      <c r="I820" s="38">
        <v>695</v>
      </c>
      <c r="J820" s="38">
        <v>50</v>
      </c>
      <c r="K820" s="39"/>
      <c r="L820" s="39"/>
      <c r="M820" s="39"/>
      <c r="N820" s="39"/>
      <c r="O820" s="39"/>
      <c r="P820" s="39"/>
      <c r="Q820" s="39"/>
      <c r="R820" s="39"/>
      <c r="S820" s="39"/>
      <c r="T820" s="39"/>
    </row>
    <row r="821" spans="1:20" ht="15.75">
      <c r="A821" s="13">
        <v>66142</v>
      </c>
      <c r="B821" s="47">
        <f t="shared" si="3"/>
        <v>31</v>
      </c>
      <c r="C821" s="38">
        <v>122.58</v>
      </c>
      <c r="D821" s="38">
        <v>297.94099999999997</v>
      </c>
      <c r="E821" s="44">
        <v>729.47900000000004</v>
      </c>
      <c r="F821" s="38">
        <v>1150</v>
      </c>
      <c r="G821" s="38">
        <v>100</v>
      </c>
      <c r="H821" s="46">
        <v>600</v>
      </c>
      <c r="I821" s="38">
        <v>695</v>
      </c>
      <c r="J821" s="38">
        <v>50</v>
      </c>
      <c r="K821" s="39"/>
      <c r="L821" s="39"/>
      <c r="M821" s="39"/>
      <c r="N821" s="39"/>
      <c r="O821" s="39"/>
      <c r="P821" s="39"/>
      <c r="Q821" s="39"/>
      <c r="R821" s="39"/>
      <c r="S821" s="39"/>
      <c r="T821" s="39"/>
    </row>
    <row r="822" spans="1:20" ht="15.75">
      <c r="A822" s="13">
        <v>66170</v>
      </c>
      <c r="B822" s="47">
        <f t="shared" si="3"/>
        <v>28</v>
      </c>
      <c r="C822" s="38">
        <v>122.58</v>
      </c>
      <c r="D822" s="38">
        <v>297.94099999999997</v>
      </c>
      <c r="E822" s="44">
        <v>729.47900000000004</v>
      </c>
      <c r="F822" s="38">
        <v>1150</v>
      </c>
      <c r="G822" s="38">
        <v>100</v>
      </c>
      <c r="H822" s="46">
        <v>600</v>
      </c>
      <c r="I822" s="38">
        <v>695</v>
      </c>
      <c r="J822" s="38">
        <v>50</v>
      </c>
      <c r="K822" s="39"/>
      <c r="L822" s="39"/>
      <c r="M822" s="39"/>
      <c r="N822" s="39"/>
      <c r="O822" s="39"/>
      <c r="P822" s="39"/>
      <c r="Q822" s="39"/>
      <c r="R822" s="39"/>
      <c r="S822" s="39"/>
      <c r="T822" s="39"/>
    </row>
    <row r="823" spans="1:20" ht="15.75">
      <c r="A823" s="13">
        <v>66201</v>
      </c>
      <c r="B823" s="47">
        <f t="shared" si="3"/>
        <v>31</v>
      </c>
      <c r="C823" s="38">
        <v>122.58</v>
      </c>
      <c r="D823" s="38">
        <v>297.94099999999997</v>
      </c>
      <c r="E823" s="44">
        <v>729.47900000000004</v>
      </c>
      <c r="F823" s="38">
        <v>1150</v>
      </c>
      <c r="G823" s="38">
        <v>100</v>
      </c>
      <c r="H823" s="46">
        <v>600</v>
      </c>
      <c r="I823" s="38">
        <v>695</v>
      </c>
      <c r="J823" s="38">
        <v>50</v>
      </c>
      <c r="K823" s="39"/>
      <c r="L823" s="39"/>
      <c r="M823" s="39"/>
      <c r="N823" s="39"/>
      <c r="O823" s="39"/>
      <c r="P823" s="39"/>
      <c r="Q823" s="39"/>
      <c r="R823" s="39"/>
      <c r="S823" s="39"/>
      <c r="T823" s="39"/>
    </row>
    <row r="824" spans="1:20" ht="15.75">
      <c r="A824" s="13">
        <v>66231</v>
      </c>
      <c r="B824" s="47">
        <f t="shared" si="3"/>
        <v>30</v>
      </c>
      <c r="C824" s="38">
        <v>141.29300000000001</v>
      </c>
      <c r="D824" s="38">
        <v>267.99299999999999</v>
      </c>
      <c r="E824" s="44">
        <v>829.71400000000006</v>
      </c>
      <c r="F824" s="38">
        <v>1239</v>
      </c>
      <c r="G824" s="38">
        <v>100</v>
      </c>
      <c r="H824" s="46">
        <v>600</v>
      </c>
      <c r="I824" s="38">
        <v>695</v>
      </c>
      <c r="J824" s="38">
        <v>50</v>
      </c>
      <c r="K824" s="39"/>
      <c r="L824" s="39"/>
      <c r="M824" s="39"/>
      <c r="N824" s="39"/>
      <c r="O824" s="39"/>
      <c r="P824" s="39"/>
      <c r="Q824" s="39"/>
      <c r="R824" s="39"/>
      <c r="S824" s="39"/>
      <c r="T824" s="39"/>
    </row>
    <row r="825" spans="1:20" ht="15.75">
      <c r="A825" s="13">
        <v>66262</v>
      </c>
      <c r="B825" s="47">
        <f t="shared" si="3"/>
        <v>31</v>
      </c>
      <c r="C825" s="38">
        <v>194.20500000000001</v>
      </c>
      <c r="D825" s="38">
        <v>267.46600000000001</v>
      </c>
      <c r="E825" s="44">
        <v>812.32899999999995</v>
      </c>
      <c r="F825" s="38">
        <v>1274</v>
      </c>
      <c r="G825" s="38">
        <v>75</v>
      </c>
      <c r="H825" s="46">
        <v>600</v>
      </c>
      <c r="I825" s="38">
        <v>695</v>
      </c>
      <c r="J825" s="38">
        <v>50</v>
      </c>
      <c r="K825" s="39"/>
      <c r="L825" s="39"/>
      <c r="M825" s="39"/>
      <c r="N825" s="39"/>
      <c r="O825" s="39"/>
      <c r="P825" s="39"/>
      <c r="Q825" s="39"/>
      <c r="R825" s="39"/>
      <c r="S825" s="39"/>
      <c r="T825" s="39"/>
    </row>
    <row r="826" spans="1:20" ht="15.75">
      <c r="A826" s="13">
        <v>66292</v>
      </c>
      <c r="B826" s="47">
        <f t="shared" si="3"/>
        <v>30</v>
      </c>
      <c r="C826" s="38">
        <v>194.20500000000001</v>
      </c>
      <c r="D826" s="38">
        <v>267.46600000000001</v>
      </c>
      <c r="E826" s="44">
        <v>812.32899999999995</v>
      </c>
      <c r="F826" s="38">
        <v>1274</v>
      </c>
      <c r="G826" s="38">
        <v>50</v>
      </c>
      <c r="H826" s="46">
        <v>600</v>
      </c>
      <c r="I826" s="38">
        <v>695</v>
      </c>
      <c r="J826" s="38">
        <v>50</v>
      </c>
      <c r="K826" s="39"/>
      <c r="L826" s="39"/>
      <c r="M826" s="39"/>
      <c r="N826" s="39"/>
      <c r="O826" s="39"/>
      <c r="P826" s="39"/>
      <c r="Q826" s="39"/>
      <c r="R826" s="39"/>
      <c r="S826" s="39"/>
      <c r="T826" s="39"/>
    </row>
    <row r="827" spans="1:20" ht="15.75">
      <c r="A827" s="13">
        <v>66323</v>
      </c>
      <c r="B827" s="47">
        <f t="shared" si="3"/>
        <v>31</v>
      </c>
      <c r="C827" s="38">
        <v>194.20500000000001</v>
      </c>
      <c r="D827" s="38">
        <v>267.46600000000001</v>
      </c>
      <c r="E827" s="44">
        <v>812.32899999999995</v>
      </c>
      <c r="F827" s="38">
        <v>1274</v>
      </c>
      <c r="G827" s="38">
        <v>50</v>
      </c>
      <c r="H827" s="46">
        <v>600</v>
      </c>
      <c r="I827" s="38">
        <v>695</v>
      </c>
      <c r="J827" s="38">
        <v>0</v>
      </c>
      <c r="K827" s="39"/>
      <c r="L827" s="39"/>
      <c r="M827" s="39"/>
      <c r="N827" s="39"/>
      <c r="O827" s="39"/>
      <c r="P827" s="39"/>
      <c r="Q827" s="39"/>
      <c r="R827" s="39"/>
      <c r="S827" s="39"/>
      <c r="T827" s="39"/>
    </row>
    <row r="828" spans="1:20" ht="15.75">
      <c r="A828" s="13">
        <v>66354</v>
      </c>
      <c r="B828" s="47">
        <f t="shared" si="3"/>
        <v>31</v>
      </c>
      <c r="C828" s="38">
        <v>194.20500000000001</v>
      </c>
      <c r="D828" s="38">
        <v>267.46600000000001</v>
      </c>
      <c r="E828" s="44">
        <v>812.32899999999995</v>
      </c>
      <c r="F828" s="38">
        <v>1274</v>
      </c>
      <c r="G828" s="38">
        <v>50</v>
      </c>
      <c r="H828" s="46">
        <v>600</v>
      </c>
      <c r="I828" s="38">
        <v>695</v>
      </c>
      <c r="J828" s="38">
        <v>0</v>
      </c>
      <c r="K828" s="39"/>
      <c r="L828" s="39"/>
      <c r="M828" s="39"/>
      <c r="N828" s="39"/>
      <c r="O828" s="39"/>
      <c r="P828" s="39"/>
      <c r="Q828" s="39"/>
      <c r="R828" s="39"/>
      <c r="S828" s="39"/>
      <c r="T828" s="39"/>
    </row>
    <row r="829" spans="1:20" ht="15.75">
      <c r="A829" s="13">
        <v>66384</v>
      </c>
      <c r="B829" s="47">
        <f t="shared" si="3"/>
        <v>30</v>
      </c>
      <c r="C829" s="38">
        <v>194.20500000000001</v>
      </c>
      <c r="D829" s="38">
        <v>267.46600000000001</v>
      </c>
      <c r="E829" s="44">
        <v>812.32899999999995</v>
      </c>
      <c r="F829" s="38">
        <v>1274</v>
      </c>
      <c r="G829" s="38">
        <v>50</v>
      </c>
      <c r="H829" s="46">
        <v>600</v>
      </c>
      <c r="I829" s="38">
        <v>695</v>
      </c>
      <c r="J829" s="38">
        <v>0</v>
      </c>
      <c r="K829" s="39"/>
      <c r="L829" s="39"/>
      <c r="M829" s="39"/>
      <c r="N829" s="39"/>
      <c r="O829" s="39"/>
      <c r="P829" s="39"/>
      <c r="Q829" s="39"/>
      <c r="R829" s="39"/>
      <c r="S829" s="39"/>
      <c r="T829" s="39"/>
    </row>
    <row r="830" spans="1:20" ht="15.75">
      <c r="A830" s="13">
        <v>66415</v>
      </c>
      <c r="B830" s="47">
        <f t="shared" si="3"/>
        <v>31</v>
      </c>
      <c r="C830" s="38">
        <v>131.881</v>
      </c>
      <c r="D830" s="38">
        <v>277.16699999999997</v>
      </c>
      <c r="E830" s="44">
        <v>829.952</v>
      </c>
      <c r="F830" s="38">
        <v>1239</v>
      </c>
      <c r="G830" s="38">
        <v>75</v>
      </c>
      <c r="H830" s="46">
        <v>600</v>
      </c>
      <c r="I830" s="38">
        <v>695</v>
      </c>
      <c r="J830" s="38">
        <v>0</v>
      </c>
      <c r="K830" s="39"/>
      <c r="L830" s="39"/>
      <c r="M830" s="39"/>
      <c r="N830" s="39"/>
      <c r="O830" s="39"/>
      <c r="P830" s="39"/>
      <c r="Q830" s="39"/>
      <c r="R830" s="39"/>
      <c r="S830" s="39"/>
      <c r="T830" s="39"/>
    </row>
    <row r="831" spans="1:20" ht="15.75">
      <c r="A831" s="13">
        <v>66445</v>
      </c>
      <c r="B831" s="47">
        <f t="shared" si="3"/>
        <v>30</v>
      </c>
      <c r="C831" s="38">
        <v>122.58</v>
      </c>
      <c r="D831" s="38">
        <v>297.94099999999997</v>
      </c>
      <c r="E831" s="44">
        <v>729.47900000000004</v>
      </c>
      <c r="F831" s="38">
        <v>1150</v>
      </c>
      <c r="G831" s="38">
        <v>100</v>
      </c>
      <c r="H831" s="46">
        <v>600</v>
      </c>
      <c r="I831" s="38">
        <v>695</v>
      </c>
      <c r="J831" s="38">
        <v>50</v>
      </c>
      <c r="K831" s="39"/>
      <c r="L831" s="39"/>
      <c r="M831" s="39"/>
      <c r="N831" s="39"/>
      <c r="O831" s="39"/>
      <c r="P831" s="39"/>
      <c r="Q831" s="39"/>
      <c r="R831" s="39"/>
      <c r="S831" s="39"/>
      <c r="T831" s="39"/>
    </row>
    <row r="832" spans="1:20" ht="15.75">
      <c r="A832" s="13">
        <v>66476</v>
      </c>
      <c r="B832" s="47">
        <f t="shared" si="3"/>
        <v>31</v>
      </c>
      <c r="C832" s="38">
        <v>122.58</v>
      </c>
      <c r="D832" s="38">
        <v>297.94099999999997</v>
      </c>
      <c r="E832" s="44">
        <v>729.47900000000004</v>
      </c>
      <c r="F832" s="38">
        <v>1150</v>
      </c>
      <c r="G832" s="38">
        <v>100</v>
      </c>
      <c r="H832" s="46">
        <v>600</v>
      </c>
      <c r="I832" s="38">
        <v>695</v>
      </c>
      <c r="J832" s="38">
        <v>50</v>
      </c>
      <c r="K832" s="39"/>
      <c r="L832" s="39"/>
      <c r="M832" s="39"/>
      <c r="N832" s="39"/>
      <c r="O832" s="39"/>
      <c r="P832" s="39"/>
      <c r="Q832" s="39"/>
      <c r="R832" s="39"/>
      <c r="S832" s="39"/>
      <c r="T832" s="39"/>
    </row>
    <row r="833" spans="1:20" ht="15.75">
      <c r="A833" s="13">
        <v>66507</v>
      </c>
      <c r="B833" s="47">
        <f t="shared" si="3"/>
        <v>31</v>
      </c>
      <c r="C833" s="38">
        <v>122.58</v>
      </c>
      <c r="D833" s="38">
        <v>297.94099999999997</v>
      </c>
      <c r="E833" s="44">
        <v>729.47900000000004</v>
      </c>
      <c r="F833" s="38">
        <v>1150</v>
      </c>
      <c r="G833" s="38">
        <v>100</v>
      </c>
      <c r="H833" s="46">
        <v>600</v>
      </c>
      <c r="I833" s="38">
        <v>695</v>
      </c>
      <c r="J833" s="38">
        <v>50</v>
      </c>
      <c r="K833" s="39"/>
      <c r="L833" s="39"/>
      <c r="M833" s="39"/>
      <c r="N833" s="39"/>
      <c r="O833" s="39"/>
      <c r="P833" s="39"/>
      <c r="Q833" s="39"/>
      <c r="R833" s="39"/>
      <c r="S833" s="39"/>
      <c r="T833" s="39"/>
    </row>
    <row r="834" spans="1:20" ht="15.75">
      <c r="A834" s="13">
        <v>66535</v>
      </c>
      <c r="B834" s="47">
        <f t="shared" si="3"/>
        <v>28</v>
      </c>
      <c r="C834" s="38">
        <v>122.58</v>
      </c>
      <c r="D834" s="38">
        <v>297.94099999999997</v>
      </c>
      <c r="E834" s="44">
        <v>729.47900000000004</v>
      </c>
      <c r="F834" s="38">
        <v>1150</v>
      </c>
      <c r="G834" s="38">
        <v>100</v>
      </c>
      <c r="H834" s="46">
        <v>600</v>
      </c>
      <c r="I834" s="38">
        <v>695</v>
      </c>
      <c r="J834" s="38">
        <v>50</v>
      </c>
      <c r="K834" s="39"/>
      <c r="L834" s="39"/>
      <c r="M834" s="39"/>
      <c r="N834" s="39"/>
      <c r="O834" s="39"/>
      <c r="P834" s="39"/>
      <c r="Q834" s="39"/>
      <c r="R834" s="39"/>
      <c r="S834" s="39"/>
      <c r="T834" s="39"/>
    </row>
    <row r="835" spans="1:20" ht="15.75">
      <c r="A835" s="13">
        <v>66566</v>
      </c>
      <c r="B835" s="47">
        <f t="shared" si="3"/>
        <v>31</v>
      </c>
      <c r="C835" s="38">
        <v>122.58</v>
      </c>
      <c r="D835" s="38">
        <v>297.94099999999997</v>
      </c>
      <c r="E835" s="44">
        <v>729.47900000000004</v>
      </c>
      <c r="F835" s="38">
        <v>1150</v>
      </c>
      <c r="G835" s="38">
        <v>100</v>
      </c>
      <c r="H835" s="46">
        <v>600</v>
      </c>
      <c r="I835" s="38">
        <v>695</v>
      </c>
      <c r="J835" s="38">
        <v>50</v>
      </c>
      <c r="K835" s="39"/>
      <c r="L835" s="39"/>
      <c r="M835" s="39"/>
      <c r="N835" s="39"/>
      <c r="O835" s="39"/>
      <c r="P835" s="39"/>
      <c r="Q835" s="39"/>
      <c r="R835" s="39"/>
      <c r="S835" s="39"/>
      <c r="T835" s="39"/>
    </row>
    <row r="836" spans="1:20" ht="15.75">
      <c r="A836" s="13">
        <v>66596</v>
      </c>
      <c r="B836" s="47">
        <f t="shared" si="3"/>
        <v>30</v>
      </c>
      <c r="C836" s="38">
        <v>141.29300000000001</v>
      </c>
      <c r="D836" s="38">
        <v>267.99299999999999</v>
      </c>
      <c r="E836" s="44">
        <v>829.71400000000006</v>
      </c>
      <c r="F836" s="38">
        <v>1239</v>
      </c>
      <c r="G836" s="38">
        <v>100</v>
      </c>
      <c r="H836" s="46">
        <v>600</v>
      </c>
      <c r="I836" s="38">
        <v>695</v>
      </c>
      <c r="J836" s="38">
        <v>50</v>
      </c>
      <c r="K836" s="39"/>
      <c r="L836" s="39"/>
      <c r="M836" s="39"/>
      <c r="N836" s="39"/>
      <c r="O836" s="39"/>
      <c r="P836" s="39"/>
      <c r="Q836" s="39"/>
      <c r="R836" s="39"/>
      <c r="S836" s="39"/>
      <c r="T836" s="39"/>
    </row>
    <row r="837" spans="1:20" ht="15.75">
      <c r="A837" s="13">
        <v>66627</v>
      </c>
      <c r="B837" s="47">
        <f t="shared" si="3"/>
        <v>31</v>
      </c>
      <c r="C837" s="38">
        <v>194.20500000000001</v>
      </c>
      <c r="D837" s="38">
        <v>267.46600000000001</v>
      </c>
      <c r="E837" s="44">
        <v>812.32899999999995</v>
      </c>
      <c r="F837" s="38">
        <v>1274</v>
      </c>
      <c r="G837" s="38">
        <v>75</v>
      </c>
      <c r="H837" s="46">
        <v>600</v>
      </c>
      <c r="I837" s="38">
        <v>695</v>
      </c>
      <c r="J837" s="38">
        <v>50</v>
      </c>
      <c r="K837" s="39"/>
      <c r="L837" s="39"/>
      <c r="M837" s="39"/>
      <c r="N837" s="39"/>
      <c r="O837" s="39"/>
      <c r="P837" s="39"/>
      <c r="Q837" s="39"/>
      <c r="R837" s="39"/>
      <c r="S837" s="39"/>
      <c r="T837" s="39"/>
    </row>
    <row r="838" spans="1:20" ht="15.75">
      <c r="A838" s="13">
        <v>66657</v>
      </c>
      <c r="B838" s="47">
        <f t="shared" si="3"/>
        <v>30</v>
      </c>
      <c r="C838" s="38">
        <v>194.20500000000001</v>
      </c>
      <c r="D838" s="38">
        <v>267.46600000000001</v>
      </c>
      <c r="E838" s="44">
        <v>812.32899999999995</v>
      </c>
      <c r="F838" s="38">
        <v>1274</v>
      </c>
      <c r="G838" s="38">
        <v>50</v>
      </c>
      <c r="H838" s="46">
        <v>600</v>
      </c>
      <c r="I838" s="38">
        <v>695</v>
      </c>
      <c r="J838" s="38">
        <v>50</v>
      </c>
      <c r="K838" s="39"/>
      <c r="L838" s="39"/>
      <c r="M838" s="39"/>
      <c r="N838" s="39"/>
      <c r="O838" s="39"/>
      <c r="P838" s="39"/>
      <c r="Q838" s="39"/>
      <c r="R838" s="39"/>
      <c r="S838" s="39"/>
      <c r="T838" s="39"/>
    </row>
    <row r="839" spans="1:20" ht="15.75">
      <c r="A839" s="13">
        <v>66688</v>
      </c>
      <c r="B839" s="47">
        <f t="shared" si="3"/>
        <v>31</v>
      </c>
      <c r="C839" s="38">
        <v>194.20500000000001</v>
      </c>
      <c r="D839" s="38">
        <v>267.46600000000001</v>
      </c>
      <c r="E839" s="44">
        <v>812.32899999999995</v>
      </c>
      <c r="F839" s="38">
        <v>1274</v>
      </c>
      <c r="G839" s="38">
        <v>50</v>
      </c>
      <c r="H839" s="46">
        <v>600</v>
      </c>
      <c r="I839" s="38">
        <v>695</v>
      </c>
      <c r="J839" s="38">
        <v>0</v>
      </c>
      <c r="K839" s="39"/>
      <c r="L839" s="39"/>
      <c r="M839" s="39"/>
      <c r="N839" s="39"/>
      <c r="O839" s="39"/>
      <c r="P839" s="39"/>
      <c r="Q839" s="39"/>
      <c r="R839" s="39"/>
      <c r="S839" s="39"/>
      <c r="T839" s="39"/>
    </row>
    <row r="840" spans="1:20" ht="15.75">
      <c r="A840" s="13">
        <v>66719</v>
      </c>
      <c r="B840" s="47">
        <f t="shared" si="3"/>
        <v>31</v>
      </c>
      <c r="C840" s="38">
        <v>194.20500000000001</v>
      </c>
      <c r="D840" s="38">
        <v>267.46600000000001</v>
      </c>
      <c r="E840" s="44">
        <v>812.32899999999995</v>
      </c>
      <c r="F840" s="38">
        <v>1274</v>
      </c>
      <c r="G840" s="38">
        <v>50</v>
      </c>
      <c r="H840" s="46">
        <v>600</v>
      </c>
      <c r="I840" s="38">
        <v>695</v>
      </c>
      <c r="J840" s="38">
        <v>0</v>
      </c>
      <c r="K840" s="39"/>
      <c r="L840" s="39"/>
      <c r="M840" s="39"/>
      <c r="N840" s="39"/>
      <c r="O840" s="39"/>
      <c r="P840" s="39"/>
      <c r="Q840" s="39"/>
      <c r="R840" s="39"/>
      <c r="S840" s="39"/>
      <c r="T840" s="39"/>
    </row>
    <row r="841" spans="1:20" ht="15.75">
      <c r="A841" s="13">
        <v>66749</v>
      </c>
      <c r="B841" s="47">
        <f t="shared" si="3"/>
        <v>30</v>
      </c>
      <c r="C841" s="38">
        <v>194.20500000000001</v>
      </c>
      <c r="D841" s="38">
        <v>267.46600000000001</v>
      </c>
      <c r="E841" s="44">
        <v>812.32899999999995</v>
      </c>
      <c r="F841" s="38">
        <v>1274</v>
      </c>
      <c r="G841" s="38">
        <v>50</v>
      </c>
      <c r="H841" s="46">
        <v>600</v>
      </c>
      <c r="I841" s="38">
        <v>695</v>
      </c>
      <c r="J841" s="38">
        <v>0</v>
      </c>
      <c r="K841" s="39"/>
      <c r="L841" s="39"/>
      <c r="M841" s="39"/>
      <c r="N841" s="39"/>
      <c r="O841" s="39"/>
      <c r="P841" s="39"/>
      <c r="Q841" s="39"/>
      <c r="R841" s="39"/>
      <c r="S841" s="39"/>
      <c r="T841" s="39"/>
    </row>
    <row r="842" spans="1:20" ht="15.75">
      <c r="A842" s="13">
        <v>66780</v>
      </c>
      <c r="B842" s="47">
        <f t="shared" si="3"/>
        <v>31</v>
      </c>
      <c r="C842" s="38">
        <v>131.881</v>
      </c>
      <c r="D842" s="38">
        <v>277.16699999999997</v>
      </c>
      <c r="E842" s="44">
        <v>829.952</v>
      </c>
      <c r="F842" s="38">
        <v>1239</v>
      </c>
      <c r="G842" s="38">
        <v>75</v>
      </c>
      <c r="H842" s="46">
        <v>600</v>
      </c>
      <c r="I842" s="38">
        <v>695</v>
      </c>
      <c r="J842" s="38">
        <v>0</v>
      </c>
      <c r="K842" s="39"/>
      <c r="L842" s="39"/>
      <c r="M842" s="39"/>
      <c r="N842" s="39"/>
      <c r="O842" s="39"/>
      <c r="P842" s="39"/>
      <c r="Q842" s="39"/>
      <c r="R842" s="39"/>
      <c r="S842" s="39"/>
      <c r="T842" s="39"/>
    </row>
    <row r="843" spans="1:20" ht="15.75">
      <c r="A843" s="13">
        <v>66810</v>
      </c>
      <c r="B843" s="47">
        <f t="shared" si="3"/>
        <v>30</v>
      </c>
      <c r="C843" s="38">
        <v>122.58</v>
      </c>
      <c r="D843" s="38">
        <v>297.94099999999997</v>
      </c>
      <c r="E843" s="44">
        <v>729.47900000000004</v>
      </c>
      <c r="F843" s="38">
        <v>1150</v>
      </c>
      <c r="G843" s="38">
        <v>100</v>
      </c>
      <c r="H843" s="46">
        <v>600</v>
      </c>
      <c r="I843" s="38">
        <v>695</v>
      </c>
      <c r="J843" s="38">
        <v>50</v>
      </c>
      <c r="K843" s="39"/>
      <c r="L843" s="39"/>
      <c r="M843" s="39"/>
      <c r="N843" s="39"/>
      <c r="O843" s="39"/>
      <c r="P843" s="39"/>
      <c r="Q843" s="39"/>
      <c r="R843" s="39"/>
      <c r="S843" s="39"/>
      <c r="T843" s="39"/>
    </row>
    <row r="844" spans="1:20" ht="15.75">
      <c r="A844" s="13">
        <v>66841</v>
      </c>
      <c r="B844" s="47">
        <f t="shared" si="3"/>
        <v>31</v>
      </c>
      <c r="C844" s="38">
        <v>122.58</v>
      </c>
      <c r="D844" s="38">
        <v>297.94099999999997</v>
      </c>
      <c r="E844" s="44">
        <v>729.47900000000004</v>
      </c>
      <c r="F844" s="38">
        <v>1150</v>
      </c>
      <c r="G844" s="38">
        <v>100</v>
      </c>
      <c r="H844" s="46">
        <v>600</v>
      </c>
      <c r="I844" s="38">
        <v>695</v>
      </c>
      <c r="J844" s="38">
        <v>50</v>
      </c>
      <c r="K844" s="39"/>
      <c r="L844" s="39"/>
      <c r="M844" s="39"/>
      <c r="N844" s="39"/>
      <c r="O844" s="39"/>
      <c r="P844" s="39"/>
      <c r="Q844" s="39"/>
      <c r="R844" s="39"/>
      <c r="S844" s="39"/>
      <c r="T844" s="39"/>
    </row>
    <row r="845" spans="1:20" ht="15.75">
      <c r="A845" s="13">
        <v>66872</v>
      </c>
      <c r="B845" s="47">
        <f t="shared" si="3"/>
        <v>31</v>
      </c>
      <c r="C845" s="38">
        <v>122.58</v>
      </c>
      <c r="D845" s="38">
        <v>297.94099999999997</v>
      </c>
      <c r="E845" s="44">
        <v>729.47900000000004</v>
      </c>
      <c r="F845" s="38">
        <v>1150</v>
      </c>
      <c r="G845" s="38">
        <v>100</v>
      </c>
      <c r="H845" s="46">
        <v>600</v>
      </c>
      <c r="I845" s="38">
        <v>695</v>
      </c>
      <c r="J845" s="38">
        <v>50</v>
      </c>
      <c r="K845" s="39"/>
      <c r="L845" s="39"/>
      <c r="M845" s="39"/>
      <c r="N845" s="39"/>
      <c r="O845" s="39"/>
      <c r="P845" s="39"/>
      <c r="Q845" s="39"/>
      <c r="R845" s="39"/>
      <c r="S845" s="39"/>
      <c r="T845" s="39"/>
    </row>
    <row r="846" spans="1:20" ht="15.75">
      <c r="A846" s="13">
        <v>66900</v>
      </c>
      <c r="B846" s="47">
        <f t="shared" si="3"/>
        <v>28</v>
      </c>
      <c r="C846" s="38">
        <v>122.58</v>
      </c>
      <c r="D846" s="38">
        <v>297.94099999999997</v>
      </c>
      <c r="E846" s="44">
        <v>729.47900000000004</v>
      </c>
      <c r="F846" s="38">
        <v>1150</v>
      </c>
      <c r="G846" s="38">
        <v>100</v>
      </c>
      <c r="H846" s="46">
        <v>600</v>
      </c>
      <c r="I846" s="38">
        <v>695</v>
      </c>
      <c r="J846" s="38">
        <v>50</v>
      </c>
      <c r="K846" s="39"/>
      <c r="L846" s="39"/>
      <c r="M846" s="39"/>
      <c r="N846" s="39"/>
      <c r="O846" s="39"/>
      <c r="P846" s="39"/>
      <c r="Q846" s="39"/>
      <c r="R846" s="39"/>
      <c r="S846" s="39"/>
      <c r="T846" s="39"/>
    </row>
    <row r="847" spans="1:20" ht="15.75">
      <c r="A847" s="13">
        <v>66931</v>
      </c>
      <c r="B847" s="47">
        <f t="shared" si="3"/>
        <v>31</v>
      </c>
      <c r="C847" s="38">
        <v>122.58</v>
      </c>
      <c r="D847" s="38">
        <v>297.94099999999997</v>
      </c>
      <c r="E847" s="44">
        <v>729.47900000000004</v>
      </c>
      <c r="F847" s="38">
        <v>1150</v>
      </c>
      <c r="G847" s="38">
        <v>100</v>
      </c>
      <c r="H847" s="46">
        <v>600</v>
      </c>
      <c r="I847" s="38">
        <v>695</v>
      </c>
      <c r="J847" s="38">
        <v>50</v>
      </c>
      <c r="K847" s="39"/>
      <c r="L847" s="39"/>
      <c r="M847" s="39"/>
      <c r="N847" s="39"/>
      <c r="O847" s="39"/>
      <c r="P847" s="39"/>
      <c r="Q847" s="39"/>
      <c r="R847" s="39"/>
      <c r="S847" s="39"/>
      <c r="T847" s="39"/>
    </row>
    <row r="848" spans="1:20" ht="15.75">
      <c r="A848" s="13">
        <v>66961</v>
      </c>
      <c r="B848" s="47">
        <f t="shared" si="3"/>
        <v>30</v>
      </c>
      <c r="C848" s="38">
        <v>141.29300000000001</v>
      </c>
      <c r="D848" s="38">
        <v>267.99299999999999</v>
      </c>
      <c r="E848" s="44">
        <v>829.71400000000006</v>
      </c>
      <c r="F848" s="38">
        <v>1239</v>
      </c>
      <c r="G848" s="38">
        <v>100</v>
      </c>
      <c r="H848" s="46">
        <v>600</v>
      </c>
      <c r="I848" s="38">
        <v>695</v>
      </c>
      <c r="J848" s="38">
        <v>50</v>
      </c>
      <c r="K848" s="39"/>
      <c r="L848" s="39"/>
      <c r="M848" s="39"/>
      <c r="N848" s="39"/>
      <c r="O848" s="39"/>
      <c r="P848" s="39"/>
      <c r="Q848" s="39"/>
      <c r="R848" s="39"/>
      <c r="S848" s="39"/>
      <c r="T848" s="39"/>
    </row>
    <row r="849" spans="1:20" ht="15.75">
      <c r="A849" s="13">
        <v>66992</v>
      </c>
      <c r="B849" s="47">
        <f t="shared" ref="B849:B912" si="4">EOMONTH(A849,0)-EOMONTH(A849,-1)</f>
        <v>31</v>
      </c>
      <c r="C849" s="38">
        <v>194.20500000000001</v>
      </c>
      <c r="D849" s="38">
        <v>267.46600000000001</v>
      </c>
      <c r="E849" s="44">
        <v>812.32899999999995</v>
      </c>
      <c r="F849" s="38">
        <v>1274</v>
      </c>
      <c r="G849" s="38">
        <v>75</v>
      </c>
      <c r="H849" s="46">
        <v>600</v>
      </c>
      <c r="I849" s="38">
        <v>695</v>
      </c>
      <c r="J849" s="38">
        <v>50</v>
      </c>
      <c r="K849" s="39"/>
      <c r="L849" s="39"/>
      <c r="M849" s="39"/>
      <c r="N849" s="39"/>
      <c r="O849" s="39"/>
      <c r="P849" s="39"/>
      <c r="Q849" s="39"/>
      <c r="R849" s="39"/>
      <c r="S849" s="39"/>
      <c r="T849" s="39"/>
    </row>
    <row r="850" spans="1:20" ht="15.75">
      <c r="A850" s="13">
        <v>67022</v>
      </c>
      <c r="B850" s="47">
        <f t="shared" si="4"/>
        <v>30</v>
      </c>
      <c r="C850" s="38">
        <v>194.20500000000001</v>
      </c>
      <c r="D850" s="38">
        <v>267.46600000000001</v>
      </c>
      <c r="E850" s="44">
        <v>812.32899999999995</v>
      </c>
      <c r="F850" s="38">
        <v>1274</v>
      </c>
      <c r="G850" s="38">
        <v>50</v>
      </c>
      <c r="H850" s="46">
        <v>600</v>
      </c>
      <c r="I850" s="38">
        <v>695</v>
      </c>
      <c r="J850" s="38">
        <v>50</v>
      </c>
      <c r="K850" s="39"/>
      <c r="L850" s="39"/>
      <c r="M850" s="39"/>
      <c r="N850" s="39"/>
      <c r="O850" s="39"/>
      <c r="P850" s="39"/>
      <c r="Q850" s="39"/>
      <c r="R850" s="39"/>
      <c r="S850" s="39"/>
      <c r="T850" s="39"/>
    </row>
    <row r="851" spans="1:20" ht="15.75">
      <c r="A851" s="13">
        <v>67053</v>
      </c>
      <c r="B851" s="47">
        <f t="shared" si="4"/>
        <v>31</v>
      </c>
      <c r="C851" s="38">
        <v>194.20500000000001</v>
      </c>
      <c r="D851" s="38">
        <v>267.46600000000001</v>
      </c>
      <c r="E851" s="44">
        <v>812.32899999999995</v>
      </c>
      <c r="F851" s="38">
        <v>1274</v>
      </c>
      <c r="G851" s="38">
        <v>50</v>
      </c>
      <c r="H851" s="46">
        <v>600</v>
      </c>
      <c r="I851" s="38">
        <v>695</v>
      </c>
      <c r="J851" s="38">
        <v>0</v>
      </c>
      <c r="K851" s="39"/>
      <c r="L851" s="39"/>
      <c r="M851" s="39"/>
      <c r="N851" s="39"/>
      <c r="O851" s="39"/>
      <c r="P851" s="39"/>
      <c r="Q851" s="39"/>
      <c r="R851" s="39"/>
      <c r="S851" s="39"/>
      <c r="T851" s="39"/>
    </row>
    <row r="852" spans="1:20" ht="15.75">
      <c r="A852" s="13">
        <v>67084</v>
      </c>
      <c r="B852" s="47">
        <f t="shared" si="4"/>
        <v>31</v>
      </c>
      <c r="C852" s="38">
        <v>194.20500000000001</v>
      </c>
      <c r="D852" s="38">
        <v>267.46600000000001</v>
      </c>
      <c r="E852" s="44">
        <v>812.32899999999995</v>
      </c>
      <c r="F852" s="38">
        <v>1274</v>
      </c>
      <c r="G852" s="38">
        <v>50</v>
      </c>
      <c r="H852" s="46">
        <v>600</v>
      </c>
      <c r="I852" s="38">
        <v>695</v>
      </c>
      <c r="J852" s="38">
        <v>0</v>
      </c>
      <c r="K852" s="39"/>
      <c r="L852" s="39"/>
      <c r="M852" s="39"/>
      <c r="N852" s="39"/>
      <c r="O852" s="39"/>
      <c r="P852" s="39"/>
      <c r="Q852" s="39"/>
      <c r="R852" s="39"/>
      <c r="S852" s="39"/>
      <c r="T852" s="39"/>
    </row>
    <row r="853" spans="1:20" ht="15.75">
      <c r="A853" s="13">
        <v>67114</v>
      </c>
      <c r="B853" s="47">
        <f t="shared" si="4"/>
        <v>30</v>
      </c>
      <c r="C853" s="38">
        <v>194.20500000000001</v>
      </c>
      <c r="D853" s="38">
        <v>267.46600000000001</v>
      </c>
      <c r="E853" s="44">
        <v>812.32899999999995</v>
      </c>
      <c r="F853" s="38">
        <v>1274</v>
      </c>
      <c r="G853" s="38">
        <v>50</v>
      </c>
      <c r="H853" s="46">
        <v>600</v>
      </c>
      <c r="I853" s="38">
        <v>695</v>
      </c>
      <c r="J853" s="38">
        <v>0</v>
      </c>
      <c r="K853" s="39"/>
      <c r="L853" s="39"/>
      <c r="M853" s="39"/>
      <c r="N853" s="39"/>
      <c r="O853" s="39"/>
      <c r="P853" s="39"/>
      <c r="Q853" s="39"/>
      <c r="R853" s="39"/>
      <c r="S853" s="39"/>
      <c r="T853" s="39"/>
    </row>
    <row r="854" spans="1:20" ht="15.75">
      <c r="A854" s="13">
        <v>67145</v>
      </c>
      <c r="B854" s="47">
        <f t="shared" si="4"/>
        <v>31</v>
      </c>
      <c r="C854" s="38">
        <v>131.881</v>
      </c>
      <c r="D854" s="38">
        <v>277.16699999999997</v>
      </c>
      <c r="E854" s="44">
        <v>829.952</v>
      </c>
      <c r="F854" s="38">
        <v>1239</v>
      </c>
      <c r="G854" s="38">
        <v>75</v>
      </c>
      <c r="H854" s="46">
        <v>600</v>
      </c>
      <c r="I854" s="38">
        <v>695</v>
      </c>
      <c r="J854" s="38">
        <v>0</v>
      </c>
      <c r="K854" s="39"/>
      <c r="L854" s="39"/>
      <c r="M854" s="39"/>
      <c r="N854" s="39"/>
      <c r="O854" s="39"/>
      <c r="P854" s="39"/>
      <c r="Q854" s="39"/>
      <c r="R854" s="39"/>
      <c r="S854" s="39"/>
      <c r="T854" s="39"/>
    </row>
    <row r="855" spans="1:20" ht="15.75">
      <c r="A855" s="13">
        <v>67175</v>
      </c>
      <c r="B855" s="47">
        <f t="shared" si="4"/>
        <v>30</v>
      </c>
      <c r="C855" s="38">
        <v>122.58</v>
      </c>
      <c r="D855" s="38">
        <v>297.94099999999997</v>
      </c>
      <c r="E855" s="44">
        <v>729.47900000000004</v>
      </c>
      <c r="F855" s="38">
        <v>1150</v>
      </c>
      <c r="G855" s="38">
        <v>100</v>
      </c>
      <c r="H855" s="46">
        <v>600</v>
      </c>
      <c r="I855" s="38">
        <v>695</v>
      </c>
      <c r="J855" s="38">
        <v>50</v>
      </c>
      <c r="K855" s="39"/>
      <c r="L855" s="39"/>
      <c r="M855" s="39"/>
      <c r="N855" s="39"/>
      <c r="O855" s="39"/>
      <c r="P855" s="39"/>
      <c r="Q855" s="39"/>
      <c r="R855" s="39"/>
      <c r="S855" s="39"/>
      <c r="T855" s="39"/>
    </row>
    <row r="856" spans="1:20" ht="15.75">
      <c r="A856" s="13">
        <v>67206</v>
      </c>
      <c r="B856" s="47">
        <f t="shared" si="4"/>
        <v>31</v>
      </c>
      <c r="C856" s="38">
        <v>122.58</v>
      </c>
      <c r="D856" s="38">
        <v>297.94099999999997</v>
      </c>
      <c r="E856" s="44">
        <v>729.47900000000004</v>
      </c>
      <c r="F856" s="38">
        <v>1150</v>
      </c>
      <c r="G856" s="38">
        <v>100</v>
      </c>
      <c r="H856" s="46">
        <v>600</v>
      </c>
      <c r="I856" s="38">
        <v>695</v>
      </c>
      <c r="J856" s="38">
        <v>50</v>
      </c>
      <c r="K856" s="39"/>
      <c r="L856" s="39"/>
      <c r="M856" s="39"/>
      <c r="N856" s="39"/>
      <c r="O856" s="39"/>
      <c r="P856" s="39"/>
      <c r="Q856" s="39"/>
      <c r="R856" s="39"/>
      <c r="S856" s="39"/>
      <c r="T856" s="39"/>
    </row>
    <row r="857" spans="1:20" ht="15.75">
      <c r="A857" s="13">
        <v>67237</v>
      </c>
      <c r="B857" s="47">
        <f t="shared" si="4"/>
        <v>31</v>
      </c>
      <c r="C857" s="38">
        <v>122.58</v>
      </c>
      <c r="D857" s="38">
        <v>297.94099999999997</v>
      </c>
      <c r="E857" s="44">
        <v>729.47900000000004</v>
      </c>
      <c r="F857" s="38">
        <v>1150</v>
      </c>
      <c r="G857" s="38">
        <v>100</v>
      </c>
      <c r="H857" s="46">
        <v>600</v>
      </c>
      <c r="I857" s="38">
        <v>695</v>
      </c>
      <c r="J857" s="38">
        <v>50</v>
      </c>
      <c r="K857" s="39"/>
      <c r="L857" s="39"/>
      <c r="M857" s="39"/>
      <c r="N857" s="39"/>
      <c r="O857" s="39"/>
      <c r="P857" s="39"/>
      <c r="Q857" s="39"/>
      <c r="R857" s="39"/>
      <c r="S857" s="39"/>
      <c r="T857" s="39"/>
    </row>
    <row r="858" spans="1:20" ht="15.75">
      <c r="A858" s="13">
        <v>67266</v>
      </c>
      <c r="B858" s="47">
        <f t="shared" si="4"/>
        <v>29</v>
      </c>
      <c r="C858" s="38">
        <v>122.58</v>
      </c>
      <c r="D858" s="38">
        <v>297.94099999999997</v>
      </c>
      <c r="E858" s="44">
        <v>729.47900000000004</v>
      </c>
      <c r="F858" s="38">
        <v>1150</v>
      </c>
      <c r="G858" s="38">
        <v>100</v>
      </c>
      <c r="H858" s="46">
        <v>600</v>
      </c>
      <c r="I858" s="38">
        <v>695</v>
      </c>
      <c r="J858" s="38">
        <v>50</v>
      </c>
      <c r="K858" s="39"/>
      <c r="L858" s="39"/>
      <c r="M858" s="39"/>
      <c r="N858" s="39"/>
      <c r="O858" s="39"/>
      <c r="P858" s="39"/>
      <c r="Q858" s="39"/>
      <c r="R858" s="39"/>
      <c r="S858" s="39"/>
      <c r="T858" s="39"/>
    </row>
    <row r="859" spans="1:20" ht="15.75">
      <c r="A859" s="13">
        <v>67297</v>
      </c>
      <c r="B859" s="47">
        <f t="shared" si="4"/>
        <v>31</v>
      </c>
      <c r="C859" s="38">
        <v>122.58</v>
      </c>
      <c r="D859" s="38">
        <v>297.94099999999997</v>
      </c>
      <c r="E859" s="44">
        <v>729.47900000000004</v>
      </c>
      <c r="F859" s="38">
        <v>1150</v>
      </c>
      <c r="G859" s="38">
        <v>100</v>
      </c>
      <c r="H859" s="46">
        <v>600</v>
      </c>
      <c r="I859" s="38">
        <v>695</v>
      </c>
      <c r="J859" s="38">
        <v>50</v>
      </c>
      <c r="K859" s="39"/>
      <c r="L859" s="39"/>
      <c r="M859" s="39"/>
      <c r="N859" s="39"/>
      <c r="O859" s="39"/>
      <c r="P859" s="39"/>
      <c r="Q859" s="39"/>
      <c r="R859" s="39"/>
      <c r="S859" s="39"/>
      <c r="T859" s="39"/>
    </row>
    <row r="860" spans="1:20" ht="15.75">
      <c r="A860" s="13">
        <v>67327</v>
      </c>
      <c r="B860" s="47">
        <f t="shared" si="4"/>
        <v>30</v>
      </c>
      <c r="C860" s="38">
        <v>141.29300000000001</v>
      </c>
      <c r="D860" s="38">
        <v>267.99299999999999</v>
      </c>
      <c r="E860" s="44">
        <v>829.71400000000006</v>
      </c>
      <c r="F860" s="38">
        <v>1239</v>
      </c>
      <c r="G860" s="38">
        <v>100</v>
      </c>
      <c r="H860" s="46">
        <v>600</v>
      </c>
      <c r="I860" s="38">
        <v>695</v>
      </c>
      <c r="J860" s="38">
        <v>50</v>
      </c>
      <c r="K860" s="39"/>
      <c r="L860" s="39"/>
      <c r="M860" s="39"/>
      <c r="N860" s="39"/>
      <c r="O860" s="39"/>
      <c r="P860" s="39"/>
      <c r="Q860" s="39"/>
      <c r="R860" s="39"/>
      <c r="S860" s="39"/>
      <c r="T860" s="39"/>
    </row>
    <row r="861" spans="1:20" ht="15.75">
      <c r="A861" s="13">
        <v>67358</v>
      </c>
      <c r="B861" s="47">
        <f t="shared" si="4"/>
        <v>31</v>
      </c>
      <c r="C861" s="38">
        <v>194.20500000000001</v>
      </c>
      <c r="D861" s="38">
        <v>267.46600000000001</v>
      </c>
      <c r="E861" s="44">
        <v>812.32899999999995</v>
      </c>
      <c r="F861" s="38">
        <v>1274</v>
      </c>
      <c r="G861" s="38">
        <v>75</v>
      </c>
      <c r="H861" s="46">
        <v>600</v>
      </c>
      <c r="I861" s="38">
        <v>695</v>
      </c>
      <c r="J861" s="38">
        <v>50</v>
      </c>
      <c r="K861" s="39"/>
      <c r="L861" s="39"/>
      <c r="M861" s="39"/>
      <c r="N861" s="39"/>
      <c r="O861" s="39"/>
      <c r="P861" s="39"/>
      <c r="Q861" s="39"/>
      <c r="R861" s="39"/>
      <c r="S861" s="39"/>
      <c r="T861" s="39"/>
    </row>
    <row r="862" spans="1:20" ht="15.75">
      <c r="A862" s="13">
        <v>67388</v>
      </c>
      <c r="B862" s="47">
        <f t="shared" si="4"/>
        <v>30</v>
      </c>
      <c r="C862" s="38">
        <v>194.20500000000001</v>
      </c>
      <c r="D862" s="38">
        <v>267.46600000000001</v>
      </c>
      <c r="E862" s="44">
        <v>812.32899999999995</v>
      </c>
      <c r="F862" s="38">
        <v>1274</v>
      </c>
      <c r="G862" s="38">
        <v>50</v>
      </c>
      <c r="H862" s="46">
        <v>600</v>
      </c>
      <c r="I862" s="38">
        <v>695</v>
      </c>
      <c r="J862" s="38">
        <v>50</v>
      </c>
      <c r="K862" s="39"/>
      <c r="L862" s="39"/>
      <c r="M862" s="39"/>
      <c r="N862" s="39"/>
      <c r="O862" s="39"/>
      <c r="P862" s="39"/>
      <c r="Q862" s="39"/>
      <c r="R862" s="39"/>
      <c r="S862" s="39"/>
      <c r="T862" s="39"/>
    </row>
    <row r="863" spans="1:20" ht="15.75">
      <c r="A863" s="13">
        <v>67419</v>
      </c>
      <c r="B863" s="47">
        <f t="shared" si="4"/>
        <v>31</v>
      </c>
      <c r="C863" s="38">
        <v>194.20500000000001</v>
      </c>
      <c r="D863" s="38">
        <v>267.46600000000001</v>
      </c>
      <c r="E863" s="44">
        <v>812.32899999999995</v>
      </c>
      <c r="F863" s="38">
        <v>1274</v>
      </c>
      <c r="G863" s="38">
        <v>50</v>
      </c>
      <c r="H863" s="46">
        <v>600</v>
      </c>
      <c r="I863" s="38">
        <v>695</v>
      </c>
      <c r="J863" s="38">
        <v>0</v>
      </c>
      <c r="K863" s="39"/>
      <c r="L863" s="39"/>
      <c r="M863" s="39"/>
      <c r="N863" s="39"/>
      <c r="O863" s="39"/>
      <c r="P863" s="39"/>
      <c r="Q863" s="39"/>
      <c r="R863" s="39"/>
      <c r="S863" s="39"/>
      <c r="T863" s="39"/>
    </row>
    <row r="864" spans="1:20" ht="15.75">
      <c r="A864" s="13">
        <v>67450</v>
      </c>
      <c r="B864" s="47">
        <f t="shared" si="4"/>
        <v>31</v>
      </c>
      <c r="C864" s="38">
        <v>194.20500000000001</v>
      </c>
      <c r="D864" s="38">
        <v>267.46600000000001</v>
      </c>
      <c r="E864" s="44">
        <v>812.32899999999995</v>
      </c>
      <c r="F864" s="38">
        <v>1274</v>
      </c>
      <c r="G864" s="38">
        <v>50</v>
      </c>
      <c r="H864" s="46">
        <v>600</v>
      </c>
      <c r="I864" s="38">
        <v>695</v>
      </c>
      <c r="J864" s="38">
        <v>0</v>
      </c>
      <c r="K864" s="39"/>
      <c r="L864" s="39"/>
      <c r="M864" s="39"/>
      <c r="N864" s="39"/>
      <c r="O864" s="39"/>
      <c r="P864" s="39"/>
      <c r="Q864" s="39"/>
      <c r="R864" s="39"/>
      <c r="S864" s="39"/>
      <c r="T864" s="39"/>
    </row>
    <row r="865" spans="1:20" ht="15.75">
      <c r="A865" s="13">
        <v>67480</v>
      </c>
      <c r="B865" s="47">
        <f t="shared" si="4"/>
        <v>30</v>
      </c>
      <c r="C865" s="38">
        <v>194.20500000000001</v>
      </c>
      <c r="D865" s="38">
        <v>267.46600000000001</v>
      </c>
      <c r="E865" s="44">
        <v>812.32899999999995</v>
      </c>
      <c r="F865" s="38">
        <v>1274</v>
      </c>
      <c r="G865" s="38">
        <v>50</v>
      </c>
      <c r="H865" s="46">
        <v>600</v>
      </c>
      <c r="I865" s="38">
        <v>695</v>
      </c>
      <c r="J865" s="38">
        <v>0</v>
      </c>
      <c r="K865" s="39"/>
      <c r="L865" s="39"/>
      <c r="M865" s="39"/>
      <c r="N865" s="39"/>
      <c r="O865" s="39"/>
      <c r="P865" s="39"/>
      <c r="Q865" s="39"/>
      <c r="R865" s="39"/>
      <c r="S865" s="39"/>
      <c r="T865" s="39"/>
    </row>
    <row r="866" spans="1:20" ht="15.75">
      <c r="A866" s="13">
        <v>67511</v>
      </c>
      <c r="B866" s="47">
        <f t="shared" si="4"/>
        <v>31</v>
      </c>
      <c r="C866" s="38">
        <v>131.881</v>
      </c>
      <c r="D866" s="38">
        <v>277.16699999999997</v>
      </c>
      <c r="E866" s="44">
        <v>829.952</v>
      </c>
      <c r="F866" s="38">
        <v>1239</v>
      </c>
      <c r="G866" s="38">
        <v>75</v>
      </c>
      <c r="H866" s="46">
        <v>600</v>
      </c>
      <c r="I866" s="38">
        <v>695</v>
      </c>
      <c r="J866" s="38">
        <v>0</v>
      </c>
      <c r="K866" s="39"/>
      <c r="L866" s="39"/>
      <c r="M866" s="39"/>
      <c r="N866" s="39"/>
      <c r="O866" s="39"/>
      <c r="P866" s="39"/>
      <c r="Q866" s="39"/>
      <c r="R866" s="39"/>
      <c r="S866" s="39"/>
      <c r="T866" s="39"/>
    </row>
    <row r="867" spans="1:20" ht="15.75">
      <c r="A867" s="13">
        <v>67541</v>
      </c>
      <c r="B867" s="47">
        <f t="shared" si="4"/>
        <v>30</v>
      </c>
      <c r="C867" s="38">
        <v>122.58</v>
      </c>
      <c r="D867" s="38">
        <v>297.94099999999997</v>
      </c>
      <c r="E867" s="44">
        <v>729.47900000000004</v>
      </c>
      <c r="F867" s="38">
        <v>1150</v>
      </c>
      <c r="G867" s="38">
        <v>100</v>
      </c>
      <c r="H867" s="46">
        <v>600</v>
      </c>
      <c r="I867" s="38">
        <v>695</v>
      </c>
      <c r="J867" s="38">
        <v>50</v>
      </c>
      <c r="K867" s="39"/>
      <c r="L867" s="39"/>
      <c r="M867" s="39"/>
      <c r="N867" s="39"/>
      <c r="O867" s="39"/>
      <c r="P867" s="39"/>
      <c r="Q867" s="39"/>
      <c r="R867" s="39"/>
      <c r="S867" s="39"/>
      <c r="T867" s="39"/>
    </row>
    <row r="868" spans="1:20" ht="15.75">
      <c r="A868" s="13">
        <v>67572</v>
      </c>
      <c r="B868" s="47">
        <f t="shared" si="4"/>
        <v>31</v>
      </c>
      <c r="C868" s="38">
        <v>122.58</v>
      </c>
      <c r="D868" s="38">
        <v>297.94099999999997</v>
      </c>
      <c r="E868" s="44">
        <v>729.47900000000004</v>
      </c>
      <c r="F868" s="38">
        <v>1150</v>
      </c>
      <c r="G868" s="38">
        <v>100</v>
      </c>
      <c r="H868" s="46">
        <v>600</v>
      </c>
      <c r="I868" s="38">
        <v>695</v>
      </c>
      <c r="J868" s="38">
        <v>50</v>
      </c>
      <c r="K868" s="39"/>
      <c r="L868" s="39"/>
      <c r="M868" s="39"/>
      <c r="N868" s="39"/>
      <c r="O868" s="39"/>
      <c r="P868" s="39"/>
      <c r="Q868" s="39"/>
      <c r="R868" s="39"/>
      <c r="S868" s="39"/>
      <c r="T868" s="39"/>
    </row>
    <row r="869" spans="1:20" ht="15.75">
      <c r="A869" s="13">
        <v>67603</v>
      </c>
      <c r="B869" s="47">
        <f t="shared" si="4"/>
        <v>31</v>
      </c>
      <c r="C869" s="38">
        <v>122.58</v>
      </c>
      <c r="D869" s="38">
        <v>297.94099999999997</v>
      </c>
      <c r="E869" s="44">
        <v>729.47900000000004</v>
      </c>
      <c r="F869" s="38">
        <v>1150</v>
      </c>
      <c r="G869" s="38">
        <v>100</v>
      </c>
      <c r="H869" s="46">
        <v>600</v>
      </c>
      <c r="I869" s="38">
        <v>695</v>
      </c>
      <c r="J869" s="38">
        <v>50</v>
      </c>
      <c r="K869" s="39"/>
      <c r="L869" s="39"/>
      <c r="M869" s="39"/>
      <c r="N869" s="39"/>
      <c r="O869" s="39"/>
      <c r="P869" s="39"/>
      <c r="Q869" s="39"/>
      <c r="R869" s="39"/>
      <c r="S869" s="39"/>
      <c r="T869" s="39"/>
    </row>
    <row r="870" spans="1:20" ht="15.75">
      <c r="A870" s="13">
        <v>67631</v>
      </c>
      <c r="B870" s="47">
        <f t="shared" si="4"/>
        <v>28</v>
      </c>
      <c r="C870" s="38">
        <v>122.58</v>
      </c>
      <c r="D870" s="38">
        <v>297.94099999999997</v>
      </c>
      <c r="E870" s="44">
        <v>729.47900000000004</v>
      </c>
      <c r="F870" s="38">
        <v>1150</v>
      </c>
      <c r="G870" s="38">
        <v>100</v>
      </c>
      <c r="H870" s="46">
        <v>600</v>
      </c>
      <c r="I870" s="38">
        <v>695</v>
      </c>
      <c r="J870" s="38">
        <v>50</v>
      </c>
      <c r="K870" s="39"/>
      <c r="L870" s="39"/>
      <c r="M870" s="39"/>
      <c r="N870" s="39"/>
      <c r="O870" s="39"/>
      <c r="P870" s="39"/>
      <c r="Q870" s="39"/>
      <c r="R870" s="39"/>
      <c r="S870" s="39"/>
      <c r="T870" s="39"/>
    </row>
    <row r="871" spans="1:20" ht="15.75">
      <c r="A871" s="13">
        <v>67662</v>
      </c>
      <c r="B871" s="47">
        <f t="shared" si="4"/>
        <v>31</v>
      </c>
      <c r="C871" s="38">
        <v>122.58</v>
      </c>
      <c r="D871" s="38">
        <v>297.94099999999997</v>
      </c>
      <c r="E871" s="44">
        <v>729.47900000000004</v>
      </c>
      <c r="F871" s="38">
        <v>1150</v>
      </c>
      <c r="G871" s="38">
        <v>100</v>
      </c>
      <c r="H871" s="46">
        <v>600</v>
      </c>
      <c r="I871" s="38">
        <v>695</v>
      </c>
      <c r="J871" s="38">
        <v>50</v>
      </c>
      <c r="K871" s="39"/>
      <c r="L871" s="39"/>
      <c r="M871" s="39"/>
      <c r="N871" s="39"/>
      <c r="O871" s="39"/>
      <c r="P871" s="39"/>
      <c r="Q871" s="39"/>
      <c r="R871" s="39"/>
      <c r="S871" s="39"/>
      <c r="T871" s="39"/>
    </row>
    <row r="872" spans="1:20" ht="15.75">
      <c r="A872" s="13">
        <v>67692</v>
      </c>
      <c r="B872" s="47">
        <f t="shared" si="4"/>
        <v>30</v>
      </c>
      <c r="C872" s="38">
        <v>141.29300000000001</v>
      </c>
      <c r="D872" s="38">
        <v>267.99299999999999</v>
      </c>
      <c r="E872" s="44">
        <v>829.71400000000006</v>
      </c>
      <c r="F872" s="38">
        <v>1239</v>
      </c>
      <c r="G872" s="38">
        <v>100</v>
      </c>
      <c r="H872" s="46">
        <v>600</v>
      </c>
      <c r="I872" s="38">
        <v>695</v>
      </c>
      <c r="J872" s="38">
        <v>50</v>
      </c>
      <c r="K872" s="39"/>
      <c r="L872" s="39"/>
      <c r="M872" s="39"/>
      <c r="N872" s="39"/>
      <c r="O872" s="39"/>
      <c r="P872" s="39"/>
      <c r="Q872" s="39"/>
      <c r="R872" s="39"/>
      <c r="S872" s="39"/>
      <c r="T872" s="39"/>
    </row>
    <row r="873" spans="1:20" ht="15.75">
      <c r="A873" s="13">
        <v>67723</v>
      </c>
      <c r="B873" s="47">
        <f t="shared" si="4"/>
        <v>31</v>
      </c>
      <c r="C873" s="38">
        <v>194.20500000000001</v>
      </c>
      <c r="D873" s="38">
        <v>267.46600000000001</v>
      </c>
      <c r="E873" s="44">
        <v>812.32899999999995</v>
      </c>
      <c r="F873" s="38">
        <v>1274</v>
      </c>
      <c r="G873" s="38">
        <v>75</v>
      </c>
      <c r="H873" s="46">
        <v>600</v>
      </c>
      <c r="I873" s="38">
        <v>695</v>
      </c>
      <c r="J873" s="38">
        <v>50</v>
      </c>
      <c r="K873" s="39"/>
      <c r="L873" s="39"/>
      <c r="M873" s="39"/>
      <c r="N873" s="39"/>
      <c r="O873" s="39"/>
      <c r="P873" s="39"/>
      <c r="Q873" s="39"/>
      <c r="R873" s="39"/>
      <c r="S873" s="39"/>
      <c r="T873" s="39"/>
    </row>
    <row r="874" spans="1:20" ht="15.75">
      <c r="A874" s="13">
        <v>67753</v>
      </c>
      <c r="B874" s="47">
        <f t="shared" si="4"/>
        <v>30</v>
      </c>
      <c r="C874" s="38">
        <v>194.20500000000001</v>
      </c>
      <c r="D874" s="38">
        <v>267.46600000000001</v>
      </c>
      <c r="E874" s="44">
        <v>812.32899999999995</v>
      </c>
      <c r="F874" s="38">
        <v>1274</v>
      </c>
      <c r="G874" s="38">
        <v>50</v>
      </c>
      <c r="H874" s="46">
        <v>600</v>
      </c>
      <c r="I874" s="38">
        <v>695</v>
      </c>
      <c r="J874" s="38">
        <v>50</v>
      </c>
      <c r="K874" s="39"/>
      <c r="L874" s="39"/>
      <c r="M874" s="39"/>
      <c r="N874" s="39"/>
      <c r="O874" s="39"/>
      <c r="P874" s="39"/>
      <c r="Q874" s="39"/>
      <c r="R874" s="39"/>
      <c r="S874" s="39"/>
      <c r="T874" s="39"/>
    </row>
    <row r="875" spans="1:20" ht="15.75">
      <c r="A875" s="13">
        <v>67784</v>
      </c>
      <c r="B875" s="47">
        <f t="shared" si="4"/>
        <v>31</v>
      </c>
      <c r="C875" s="38">
        <v>194.20500000000001</v>
      </c>
      <c r="D875" s="38">
        <v>267.46600000000001</v>
      </c>
      <c r="E875" s="44">
        <v>812.32899999999995</v>
      </c>
      <c r="F875" s="38">
        <v>1274</v>
      </c>
      <c r="G875" s="38">
        <v>50</v>
      </c>
      <c r="H875" s="46">
        <v>600</v>
      </c>
      <c r="I875" s="38">
        <v>695</v>
      </c>
      <c r="J875" s="38">
        <v>0</v>
      </c>
      <c r="K875" s="39"/>
      <c r="L875" s="39"/>
      <c r="M875" s="39"/>
      <c r="N875" s="39"/>
      <c r="O875" s="39"/>
      <c r="P875" s="39"/>
      <c r="Q875" s="39"/>
      <c r="R875" s="39"/>
      <c r="S875" s="39"/>
      <c r="T875" s="39"/>
    </row>
    <row r="876" spans="1:20" ht="15.75">
      <c r="A876" s="13">
        <v>67815</v>
      </c>
      <c r="B876" s="47">
        <f t="shared" si="4"/>
        <v>31</v>
      </c>
      <c r="C876" s="38">
        <v>194.20500000000001</v>
      </c>
      <c r="D876" s="38">
        <v>267.46600000000001</v>
      </c>
      <c r="E876" s="44">
        <v>812.32899999999995</v>
      </c>
      <c r="F876" s="38">
        <v>1274</v>
      </c>
      <c r="G876" s="38">
        <v>50</v>
      </c>
      <c r="H876" s="46">
        <v>600</v>
      </c>
      <c r="I876" s="38">
        <v>695</v>
      </c>
      <c r="J876" s="38">
        <v>0</v>
      </c>
      <c r="K876" s="39"/>
      <c r="L876" s="39"/>
      <c r="M876" s="39"/>
      <c r="N876" s="39"/>
      <c r="O876" s="39"/>
      <c r="P876" s="39"/>
      <c r="Q876" s="39"/>
      <c r="R876" s="39"/>
      <c r="S876" s="39"/>
      <c r="T876" s="39"/>
    </row>
    <row r="877" spans="1:20" ht="15.75">
      <c r="A877" s="13">
        <v>67845</v>
      </c>
      <c r="B877" s="47">
        <f t="shared" si="4"/>
        <v>30</v>
      </c>
      <c r="C877" s="38">
        <v>194.20500000000001</v>
      </c>
      <c r="D877" s="38">
        <v>267.46600000000001</v>
      </c>
      <c r="E877" s="44">
        <v>812.32899999999995</v>
      </c>
      <c r="F877" s="38">
        <v>1274</v>
      </c>
      <c r="G877" s="38">
        <v>50</v>
      </c>
      <c r="H877" s="46">
        <v>600</v>
      </c>
      <c r="I877" s="38">
        <v>695</v>
      </c>
      <c r="J877" s="38">
        <v>0</v>
      </c>
      <c r="K877" s="39"/>
      <c r="L877" s="39"/>
      <c r="M877" s="39"/>
      <c r="N877" s="39"/>
      <c r="O877" s="39"/>
      <c r="P877" s="39"/>
      <c r="Q877" s="39"/>
      <c r="R877" s="39"/>
      <c r="S877" s="39"/>
      <c r="T877" s="39"/>
    </row>
    <row r="878" spans="1:20" ht="15.75">
      <c r="A878" s="13">
        <v>67876</v>
      </c>
      <c r="B878" s="47">
        <f t="shared" si="4"/>
        <v>31</v>
      </c>
      <c r="C878" s="38">
        <v>131.881</v>
      </c>
      <c r="D878" s="38">
        <v>277.16699999999997</v>
      </c>
      <c r="E878" s="44">
        <v>829.952</v>
      </c>
      <c r="F878" s="38">
        <v>1239</v>
      </c>
      <c r="G878" s="38">
        <v>75</v>
      </c>
      <c r="H878" s="46">
        <v>600</v>
      </c>
      <c r="I878" s="38">
        <v>695</v>
      </c>
      <c r="J878" s="38">
        <v>0</v>
      </c>
      <c r="K878" s="39"/>
      <c r="L878" s="39"/>
      <c r="M878" s="39"/>
      <c r="N878" s="39"/>
      <c r="O878" s="39"/>
      <c r="P878" s="39"/>
      <c r="Q878" s="39"/>
      <c r="R878" s="39"/>
      <c r="S878" s="39"/>
      <c r="T878" s="39"/>
    </row>
    <row r="879" spans="1:20" ht="15.75">
      <c r="A879" s="13">
        <v>67906</v>
      </c>
      <c r="B879" s="47">
        <f t="shared" si="4"/>
        <v>30</v>
      </c>
      <c r="C879" s="38">
        <v>122.58</v>
      </c>
      <c r="D879" s="38">
        <v>297.94099999999997</v>
      </c>
      <c r="E879" s="44">
        <v>729.47900000000004</v>
      </c>
      <c r="F879" s="38">
        <v>1150</v>
      </c>
      <c r="G879" s="38">
        <v>100</v>
      </c>
      <c r="H879" s="46">
        <v>600</v>
      </c>
      <c r="I879" s="38">
        <v>695</v>
      </c>
      <c r="J879" s="38">
        <v>50</v>
      </c>
      <c r="K879" s="39"/>
      <c r="L879" s="39"/>
      <c r="M879" s="39"/>
      <c r="N879" s="39"/>
      <c r="O879" s="39"/>
      <c r="P879" s="39"/>
      <c r="Q879" s="39"/>
      <c r="R879" s="39"/>
      <c r="S879" s="39"/>
      <c r="T879" s="39"/>
    </row>
    <row r="880" spans="1:20" ht="15.75">
      <c r="A880" s="13">
        <v>67937</v>
      </c>
      <c r="B880" s="47">
        <f t="shared" si="4"/>
        <v>31</v>
      </c>
      <c r="C880" s="38">
        <v>122.58</v>
      </c>
      <c r="D880" s="38">
        <v>297.94099999999997</v>
      </c>
      <c r="E880" s="44">
        <v>729.47900000000004</v>
      </c>
      <c r="F880" s="38">
        <v>1150</v>
      </c>
      <c r="G880" s="38">
        <v>100</v>
      </c>
      <c r="H880" s="46">
        <v>600</v>
      </c>
      <c r="I880" s="38">
        <v>695</v>
      </c>
      <c r="J880" s="38">
        <v>50</v>
      </c>
      <c r="K880" s="39"/>
      <c r="L880" s="39"/>
      <c r="M880" s="39"/>
      <c r="N880" s="39"/>
      <c r="O880" s="39"/>
      <c r="P880" s="39"/>
      <c r="Q880" s="39"/>
      <c r="R880" s="39"/>
      <c r="S880" s="39"/>
      <c r="T880" s="39"/>
    </row>
    <row r="881" spans="1:20" ht="15.75">
      <c r="A881" s="13">
        <v>67968</v>
      </c>
      <c r="B881" s="47">
        <f t="shared" si="4"/>
        <v>31</v>
      </c>
      <c r="C881" s="38">
        <v>122.58</v>
      </c>
      <c r="D881" s="38">
        <v>297.94099999999997</v>
      </c>
      <c r="E881" s="44">
        <v>729.47900000000004</v>
      </c>
      <c r="F881" s="38">
        <v>1150</v>
      </c>
      <c r="G881" s="38">
        <v>100</v>
      </c>
      <c r="H881" s="46">
        <v>600</v>
      </c>
      <c r="I881" s="38">
        <v>695</v>
      </c>
      <c r="J881" s="38">
        <v>50</v>
      </c>
      <c r="K881" s="39"/>
      <c r="L881" s="39"/>
      <c r="M881" s="39"/>
      <c r="N881" s="39"/>
      <c r="O881" s="39"/>
      <c r="P881" s="39"/>
      <c r="Q881" s="39"/>
      <c r="R881" s="39"/>
      <c r="S881" s="39"/>
      <c r="T881" s="39"/>
    </row>
    <row r="882" spans="1:20" ht="15.75">
      <c r="A882" s="13">
        <v>67996</v>
      </c>
      <c r="B882" s="47">
        <f t="shared" si="4"/>
        <v>28</v>
      </c>
      <c r="C882" s="38">
        <v>122.58</v>
      </c>
      <c r="D882" s="38">
        <v>297.94099999999997</v>
      </c>
      <c r="E882" s="44">
        <v>729.47900000000004</v>
      </c>
      <c r="F882" s="38">
        <v>1150</v>
      </c>
      <c r="G882" s="38">
        <v>100</v>
      </c>
      <c r="H882" s="46">
        <v>600</v>
      </c>
      <c r="I882" s="38">
        <v>695</v>
      </c>
      <c r="J882" s="38">
        <v>50</v>
      </c>
      <c r="K882" s="39"/>
      <c r="L882" s="39"/>
      <c r="M882" s="39"/>
      <c r="N882" s="39"/>
      <c r="O882" s="39"/>
      <c r="P882" s="39"/>
      <c r="Q882" s="39"/>
      <c r="R882" s="39"/>
      <c r="S882" s="39"/>
      <c r="T882" s="39"/>
    </row>
    <row r="883" spans="1:20" ht="15.75">
      <c r="A883" s="13">
        <v>68027</v>
      </c>
      <c r="B883" s="47">
        <f t="shared" si="4"/>
        <v>31</v>
      </c>
      <c r="C883" s="38">
        <v>122.58</v>
      </c>
      <c r="D883" s="38">
        <v>297.94099999999997</v>
      </c>
      <c r="E883" s="44">
        <v>729.47900000000004</v>
      </c>
      <c r="F883" s="38">
        <v>1150</v>
      </c>
      <c r="G883" s="38">
        <v>100</v>
      </c>
      <c r="H883" s="46">
        <v>600</v>
      </c>
      <c r="I883" s="38">
        <v>695</v>
      </c>
      <c r="J883" s="38">
        <v>50</v>
      </c>
      <c r="K883" s="39"/>
      <c r="L883" s="39"/>
      <c r="M883" s="39"/>
      <c r="N883" s="39"/>
      <c r="O883" s="39"/>
      <c r="P883" s="39"/>
      <c r="Q883" s="39"/>
      <c r="R883" s="39"/>
      <c r="S883" s="39"/>
      <c r="T883" s="39"/>
    </row>
    <row r="884" spans="1:20" ht="15.75">
      <c r="A884" s="13">
        <v>68057</v>
      </c>
      <c r="B884" s="47">
        <f t="shared" si="4"/>
        <v>30</v>
      </c>
      <c r="C884" s="38">
        <v>141.29300000000001</v>
      </c>
      <c r="D884" s="38">
        <v>267.99299999999999</v>
      </c>
      <c r="E884" s="44">
        <v>829.71400000000006</v>
      </c>
      <c r="F884" s="38">
        <v>1239</v>
      </c>
      <c r="G884" s="38">
        <v>100</v>
      </c>
      <c r="H884" s="46">
        <v>600</v>
      </c>
      <c r="I884" s="38">
        <v>695</v>
      </c>
      <c r="J884" s="38">
        <v>50</v>
      </c>
      <c r="K884" s="39"/>
      <c r="L884" s="39"/>
      <c r="M884" s="39"/>
      <c r="N884" s="39"/>
      <c r="O884" s="39"/>
      <c r="P884" s="39"/>
      <c r="Q884" s="39"/>
      <c r="R884" s="39"/>
      <c r="S884" s="39"/>
      <c r="T884" s="39"/>
    </row>
    <row r="885" spans="1:20" ht="15.75">
      <c r="A885" s="13">
        <v>68088</v>
      </c>
      <c r="B885" s="47">
        <f t="shared" si="4"/>
        <v>31</v>
      </c>
      <c r="C885" s="38">
        <v>194.20500000000001</v>
      </c>
      <c r="D885" s="38">
        <v>267.46600000000001</v>
      </c>
      <c r="E885" s="44">
        <v>812.32899999999995</v>
      </c>
      <c r="F885" s="38">
        <v>1274</v>
      </c>
      <c r="G885" s="38">
        <v>75</v>
      </c>
      <c r="H885" s="46">
        <v>600</v>
      </c>
      <c r="I885" s="38">
        <v>695</v>
      </c>
      <c r="J885" s="38">
        <v>50</v>
      </c>
      <c r="K885" s="39"/>
      <c r="L885" s="39"/>
      <c r="M885" s="39"/>
      <c r="N885" s="39"/>
      <c r="O885" s="39"/>
      <c r="P885" s="39"/>
      <c r="Q885" s="39"/>
      <c r="R885" s="39"/>
      <c r="S885" s="39"/>
      <c r="T885" s="39"/>
    </row>
    <row r="886" spans="1:20" ht="15.75">
      <c r="A886" s="13">
        <v>68118</v>
      </c>
      <c r="B886" s="47">
        <f t="shared" si="4"/>
        <v>30</v>
      </c>
      <c r="C886" s="38">
        <v>194.20500000000001</v>
      </c>
      <c r="D886" s="38">
        <v>267.46600000000001</v>
      </c>
      <c r="E886" s="44">
        <v>812.32899999999995</v>
      </c>
      <c r="F886" s="38">
        <v>1274</v>
      </c>
      <c r="G886" s="38">
        <v>50</v>
      </c>
      <c r="H886" s="46">
        <v>600</v>
      </c>
      <c r="I886" s="38">
        <v>695</v>
      </c>
      <c r="J886" s="38">
        <v>50</v>
      </c>
      <c r="K886" s="39"/>
      <c r="L886" s="39"/>
      <c r="M886" s="39"/>
      <c r="N886" s="39"/>
      <c r="O886" s="39"/>
      <c r="P886" s="39"/>
      <c r="Q886" s="39"/>
      <c r="R886" s="39"/>
      <c r="S886" s="39"/>
      <c r="T886" s="39"/>
    </row>
    <row r="887" spans="1:20" ht="15.75">
      <c r="A887" s="13">
        <v>68149</v>
      </c>
      <c r="B887" s="47">
        <f t="shared" si="4"/>
        <v>31</v>
      </c>
      <c r="C887" s="38">
        <v>194.20500000000001</v>
      </c>
      <c r="D887" s="38">
        <v>267.46600000000001</v>
      </c>
      <c r="E887" s="44">
        <v>812.32899999999995</v>
      </c>
      <c r="F887" s="38">
        <v>1274</v>
      </c>
      <c r="G887" s="38">
        <v>50</v>
      </c>
      <c r="H887" s="46">
        <v>600</v>
      </c>
      <c r="I887" s="38">
        <v>695</v>
      </c>
      <c r="J887" s="38">
        <v>0</v>
      </c>
      <c r="K887" s="39"/>
      <c r="L887" s="39"/>
      <c r="M887" s="39"/>
      <c r="N887" s="39"/>
      <c r="O887" s="39"/>
      <c r="P887" s="39"/>
      <c r="Q887" s="39"/>
      <c r="R887" s="39"/>
      <c r="S887" s="39"/>
      <c r="T887" s="39"/>
    </row>
    <row r="888" spans="1:20" ht="15.75">
      <c r="A888" s="13">
        <v>68180</v>
      </c>
      <c r="B888" s="47">
        <f t="shared" si="4"/>
        <v>31</v>
      </c>
      <c r="C888" s="38">
        <v>194.20500000000001</v>
      </c>
      <c r="D888" s="38">
        <v>267.46600000000001</v>
      </c>
      <c r="E888" s="44">
        <v>812.32899999999995</v>
      </c>
      <c r="F888" s="38">
        <v>1274</v>
      </c>
      <c r="G888" s="38">
        <v>50</v>
      </c>
      <c r="H888" s="46">
        <v>600</v>
      </c>
      <c r="I888" s="38">
        <v>695</v>
      </c>
      <c r="J888" s="38">
        <v>0</v>
      </c>
      <c r="K888" s="39"/>
      <c r="L888" s="39"/>
      <c r="M888" s="39"/>
      <c r="N888" s="39"/>
      <c r="O888" s="39"/>
      <c r="P888" s="39"/>
      <c r="Q888" s="39"/>
      <c r="R888" s="39"/>
      <c r="S888" s="39"/>
      <c r="T888" s="39"/>
    </row>
    <row r="889" spans="1:20" ht="15.75">
      <c r="A889" s="13">
        <v>68210</v>
      </c>
      <c r="B889" s="47">
        <f t="shared" si="4"/>
        <v>30</v>
      </c>
      <c r="C889" s="38">
        <v>194.20500000000001</v>
      </c>
      <c r="D889" s="38">
        <v>267.46600000000001</v>
      </c>
      <c r="E889" s="44">
        <v>812.32899999999995</v>
      </c>
      <c r="F889" s="38">
        <v>1274</v>
      </c>
      <c r="G889" s="38">
        <v>50</v>
      </c>
      <c r="H889" s="46">
        <v>600</v>
      </c>
      <c r="I889" s="38">
        <v>695</v>
      </c>
      <c r="J889" s="38">
        <v>0</v>
      </c>
      <c r="K889" s="39"/>
      <c r="L889" s="39"/>
      <c r="M889" s="39"/>
      <c r="N889" s="39"/>
      <c r="O889" s="39"/>
      <c r="P889" s="39"/>
      <c r="Q889" s="39"/>
      <c r="R889" s="39"/>
      <c r="S889" s="39"/>
      <c r="T889" s="39"/>
    </row>
    <row r="890" spans="1:20" ht="15.75">
      <c r="A890" s="13">
        <v>68241</v>
      </c>
      <c r="B890" s="47">
        <f t="shared" si="4"/>
        <v>31</v>
      </c>
      <c r="C890" s="38">
        <v>131.881</v>
      </c>
      <c r="D890" s="38">
        <v>277.16699999999997</v>
      </c>
      <c r="E890" s="44">
        <v>829.952</v>
      </c>
      <c r="F890" s="38">
        <v>1239</v>
      </c>
      <c r="G890" s="38">
        <v>75</v>
      </c>
      <c r="H890" s="46">
        <v>600</v>
      </c>
      <c r="I890" s="38">
        <v>695</v>
      </c>
      <c r="J890" s="38">
        <v>0</v>
      </c>
      <c r="K890" s="39"/>
      <c r="L890" s="39"/>
      <c r="M890" s="39"/>
      <c r="N890" s="39"/>
      <c r="O890" s="39"/>
      <c r="P890" s="39"/>
      <c r="Q890" s="39"/>
      <c r="R890" s="39"/>
      <c r="S890" s="39"/>
      <c r="T890" s="39"/>
    </row>
    <row r="891" spans="1:20" ht="15.75">
      <c r="A891" s="13">
        <v>68271</v>
      </c>
      <c r="B891" s="47">
        <f t="shared" si="4"/>
        <v>30</v>
      </c>
      <c r="C891" s="38">
        <v>122.58</v>
      </c>
      <c r="D891" s="38">
        <v>297.94099999999997</v>
      </c>
      <c r="E891" s="44">
        <v>729.47900000000004</v>
      </c>
      <c r="F891" s="38">
        <v>1150</v>
      </c>
      <c r="G891" s="38">
        <v>100</v>
      </c>
      <c r="H891" s="46">
        <v>600</v>
      </c>
      <c r="I891" s="38">
        <v>695</v>
      </c>
      <c r="J891" s="38">
        <v>50</v>
      </c>
      <c r="K891" s="39"/>
      <c r="L891" s="39"/>
      <c r="M891" s="39"/>
      <c r="N891" s="39"/>
      <c r="O891" s="39"/>
      <c r="P891" s="39"/>
      <c r="Q891" s="39"/>
      <c r="R891" s="39"/>
      <c r="S891" s="39"/>
      <c r="T891" s="39"/>
    </row>
    <row r="892" spans="1:20" ht="15.75">
      <c r="A892" s="13">
        <v>68302</v>
      </c>
      <c r="B892" s="47">
        <f t="shared" si="4"/>
        <v>31</v>
      </c>
      <c r="C892" s="38">
        <v>122.58</v>
      </c>
      <c r="D892" s="38">
        <v>297.94099999999997</v>
      </c>
      <c r="E892" s="44">
        <v>729.47900000000004</v>
      </c>
      <c r="F892" s="38">
        <v>1150</v>
      </c>
      <c r="G892" s="38">
        <v>100</v>
      </c>
      <c r="H892" s="46">
        <v>600</v>
      </c>
      <c r="I892" s="38">
        <v>695</v>
      </c>
      <c r="J892" s="38">
        <v>50</v>
      </c>
      <c r="K892" s="39"/>
      <c r="L892" s="39"/>
      <c r="M892" s="39"/>
      <c r="N892" s="39"/>
      <c r="O892" s="39"/>
      <c r="P892" s="39"/>
      <c r="Q892" s="39"/>
      <c r="R892" s="39"/>
      <c r="S892" s="39"/>
      <c r="T892" s="39"/>
    </row>
    <row r="893" spans="1:20" ht="15.75">
      <c r="A893" s="13">
        <v>68333</v>
      </c>
      <c r="B893" s="47">
        <f t="shared" si="4"/>
        <v>31</v>
      </c>
      <c r="C893" s="38">
        <v>122.58</v>
      </c>
      <c r="D893" s="38">
        <v>297.94099999999997</v>
      </c>
      <c r="E893" s="44">
        <v>729.47900000000004</v>
      </c>
      <c r="F893" s="38">
        <v>1150</v>
      </c>
      <c r="G893" s="38">
        <v>100</v>
      </c>
      <c r="H893" s="46">
        <v>600</v>
      </c>
      <c r="I893" s="38">
        <v>695</v>
      </c>
      <c r="J893" s="38">
        <v>50</v>
      </c>
      <c r="K893" s="39"/>
      <c r="L893" s="39"/>
      <c r="M893" s="39"/>
      <c r="N893" s="39"/>
      <c r="O893" s="39"/>
      <c r="P893" s="39"/>
      <c r="Q893" s="39"/>
      <c r="R893" s="39"/>
      <c r="S893" s="39"/>
      <c r="T893" s="39"/>
    </row>
    <row r="894" spans="1:20" ht="15.75">
      <c r="A894" s="13">
        <v>68361</v>
      </c>
      <c r="B894" s="47">
        <f t="shared" si="4"/>
        <v>28</v>
      </c>
      <c r="C894" s="38">
        <v>122.58</v>
      </c>
      <c r="D894" s="38">
        <v>297.94099999999997</v>
      </c>
      <c r="E894" s="44">
        <v>729.47900000000004</v>
      </c>
      <c r="F894" s="38">
        <v>1150</v>
      </c>
      <c r="G894" s="38">
        <v>100</v>
      </c>
      <c r="H894" s="46">
        <v>600</v>
      </c>
      <c r="I894" s="38">
        <v>695</v>
      </c>
      <c r="J894" s="38">
        <v>50</v>
      </c>
      <c r="K894" s="39"/>
      <c r="L894" s="39"/>
      <c r="M894" s="39"/>
      <c r="N894" s="39"/>
      <c r="O894" s="39"/>
      <c r="P894" s="39"/>
      <c r="Q894" s="39"/>
      <c r="R894" s="39"/>
      <c r="S894" s="39"/>
      <c r="T894" s="39"/>
    </row>
    <row r="895" spans="1:20" ht="15.75">
      <c r="A895" s="13">
        <v>68392</v>
      </c>
      <c r="B895" s="47">
        <f t="shared" si="4"/>
        <v>31</v>
      </c>
      <c r="C895" s="38">
        <v>122.58</v>
      </c>
      <c r="D895" s="38">
        <v>297.94099999999997</v>
      </c>
      <c r="E895" s="44">
        <v>729.47900000000004</v>
      </c>
      <c r="F895" s="38">
        <v>1150</v>
      </c>
      <c r="G895" s="38">
        <v>100</v>
      </c>
      <c r="H895" s="46">
        <v>600</v>
      </c>
      <c r="I895" s="38">
        <v>695</v>
      </c>
      <c r="J895" s="38">
        <v>50</v>
      </c>
      <c r="K895" s="39"/>
      <c r="L895" s="39"/>
      <c r="M895" s="39"/>
      <c r="N895" s="39"/>
      <c r="O895" s="39"/>
      <c r="P895" s="39"/>
      <c r="Q895" s="39"/>
      <c r="R895" s="39"/>
      <c r="S895" s="39"/>
      <c r="T895" s="39"/>
    </row>
    <row r="896" spans="1:20" ht="15.75">
      <c r="A896" s="13">
        <v>68422</v>
      </c>
      <c r="B896" s="47">
        <f t="shared" si="4"/>
        <v>30</v>
      </c>
      <c r="C896" s="38">
        <v>141.29300000000001</v>
      </c>
      <c r="D896" s="38">
        <v>267.99299999999999</v>
      </c>
      <c r="E896" s="44">
        <v>829.71400000000006</v>
      </c>
      <c r="F896" s="38">
        <v>1239</v>
      </c>
      <c r="G896" s="38">
        <v>100</v>
      </c>
      <c r="H896" s="46">
        <v>600</v>
      </c>
      <c r="I896" s="38">
        <v>695</v>
      </c>
      <c r="J896" s="38">
        <v>50</v>
      </c>
      <c r="K896" s="39"/>
      <c r="L896" s="39"/>
      <c r="M896" s="39"/>
      <c r="N896" s="39"/>
      <c r="O896" s="39"/>
      <c r="P896" s="39"/>
      <c r="Q896" s="39"/>
      <c r="R896" s="39"/>
      <c r="S896" s="39"/>
      <c r="T896" s="39"/>
    </row>
    <row r="897" spans="1:20" ht="15.75">
      <c r="A897" s="13">
        <v>68453</v>
      </c>
      <c r="B897" s="47">
        <f t="shared" si="4"/>
        <v>31</v>
      </c>
      <c r="C897" s="38">
        <v>194.20500000000001</v>
      </c>
      <c r="D897" s="38">
        <v>267.46600000000001</v>
      </c>
      <c r="E897" s="44">
        <v>812.32899999999995</v>
      </c>
      <c r="F897" s="38">
        <v>1274</v>
      </c>
      <c r="G897" s="38">
        <v>75</v>
      </c>
      <c r="H897" s="46">
        <v>600</v>
      </c>
      <c r="I897" s="38">
        <v>695</v>
      </c>
      <c r="J897" s="38">
        <v>50</v>
      </c>
      <c r="K897" s="39"/>
      <c r="L897" s="39"/>
      <c r="M897" s="39"/>
      <c r="N897" s="39"/>
      <c r="O897" s="39"/>
      <c r="P897" s="39"/>
      <c r="Q897" s="39"/>
      <c r="R897" s="39"/>
      <c r="S897" s="39"/>
      <c r="T897" s="39"/>
    </row>
    <row r="898" spans="1:20" ht="15.75">
      <c r="A898" s="13">
        <v>68483</v>
      </c>
      <c r="B898" s="47">
        <f t="shared" si="4"/>
        <v>30</v>
      </c>
      <c r="C898" s="38">
        <v>194.20500000000001</v>
      </c>
      <c r="D898" s="38">
        <v>267.46600000000001</v>
      </c>
      <c r="E898" s="44">
        <v>812.32899999999995</v>
      </c>
      <c r="F898" s="38">
        <v>1274</v>
      </c>
      <c r="G898" s="38">
        <v>50</v>
      </c>
      <c r="H898" s="46">
        <v>600</v>
      </c>
      <c r="I898" s="38">
        <v>695</v>
      </c>
      <c r="J898" s="38">
        <v>50</v>
      </c>
      <c r="K898" s="39"/>
      <c r="L898" s="39"/>
      <c r="M898" s="39"/>
      <c r="N898" s="39"/>
      <c r="O898" s="39"/>
      <c r="P898" s="39"/>
      <c r="Q898" s="39"/>
      <c r="R898" s="39"/>
      <c r="S898" s="39"/>
      <c r="T898" s="39"/>
    </row>
    <row r="899" spans="1:20" ht="15.75">
      <c r="A899" s="13">
        <v>68514</v>
      </c>
      <c r="B899" s="47">
        <f t="shared" si="4"/>
        <v>31</v>
      </c>
      <c r="C899" s="38">
        <v>194.20500000000001</v>
      </c>
      <c r="D899" s="38">
        <v>267.46600000000001</v>
      </c>
      <c r="E899" s="44">
        <v>812.32899999999995</v>
      </c>
      <c r="F899" s="38">
        <v>1274</v>
      </c>
      <c r="G899" s="38">
        <v>50</v>
      </c>
      <c r="H899" s="46">
        <v>600</v>
      </c>
      <c r="I899" s="38">
        <v>695</v>
      </c>
      <c r="J899" s="38">
        <v>0</v>
      </c>
      <c r="K899" s="39"/>
      <c r="L899" s="39"/>
      <c r="M899" s="39"/>
      <c r="N899" s="39"/>
      <c r="O899" s="39"/>
      <c r="P899" s="39"/>
      <c r="Q899" s="39"/>
      <c r="R899" s="39"/>
      <c r="S899" s="39"/>
      <c r="T899" s="39"/>
    </row>
    <row r="900" spans="1:20" ht="15.75">
      <c r="A900" s="13">
        <v>68545</v>
      </c>
      <c r="B900" s="47">
        <f t="shared" si="4"/>
        <v>31</v>
      </c>
      <c r="C900" s="38">
        <v>194.20500000000001</v>
      </c>
      <c r="D900" s="38">
        <v>267.46600000000001</v>
      </c>
      <c r="E900" s="44">
        <v>812.32899999999995</v>
      </c>
      <c r="F900" s="38">
        <v>1274</v>
      </c>
      <c r="G900" s="38">
        <v>50</v>
      </c>
      <c r="H900" s="46">
        <v>600</v>
      </c>
      <c r="I900" s="38">
        <v>695</v>
      </c>
      <c r="J900" s="38">
        <v>0</v>
      </c>
      <c r="K900" s="39"/>
      <c r="L900" s="39"/>
      <c r="M900" s="39"/>
      <c r="N900" s="39"/>
      <c r="O900" s="39"/>
      <c r="P900" s="39"/>
      <c r="Q900" s="39"/>
      <c r="R900" s="39"/>
      <c r="S900" s="39"/>
      <c r="T900" s="39"/>
    </row>
    <row r="901" spans="1:20" ht="15.75">
      <c r="A901" s="13">
        <v>68575</v>
      </c>
      <c r="B901" s="47">
        <f t="shared" si="4"/>
        <v>30</v>
      </c>
      <c r="C901" s="38">
        <v>194.20500000000001</v>
      </c>
      <c r="D901" s="38">
        <v>267.46600000000001</v>
      </c>
      <c r="E901" s="44">
        <v>812.32899999999995</v>
      </c>
      <c r="F901" s="38">
        <v>1274</v>
      </c>
      <c r="G901" s="38">
        <v>50</v>
      </c>
      <c r="H901" s="46">
        <v>600</v>
      </c>
      <c r="I901" s="38">
        <v>695</v>
      </c>
      <c r="J901" s="38">
        <v>0</v>
      </c>
      <c r="K901" s="39"/>
      <c r="L901" s="39"/>
      <c r="M901" s="39"/>
      <c r="N901" s="39"/>
      <c r="O901" s="39"/>
      <c r="P901" s="39"/>
      <c r="Q901" s="39"/>
      <c r="R901" s="39"/>
      <c r="S901" s="39"/>
      <c r="T901" s="39"/>
    </row>
    <row r="902" spans="1:20" ht="15.75">
      <c r="A902" s="13">
        <v>68606</v>
      </c>
      <c r="B902" s="47">
        <f t="shared" si="4"/>
        <v>31</v>
      </c>
      <c r="C902" s="38">
        <v>131.881</v>
      </c>
      <c r="D902" s="38">
        <v>277.16699999999997</v>
      </c>
      <c r="E902" s="44">
        <v>829.952</v>
      </c>
      <c r="F902" s="38">
        <v>1239</v>
      </c>
      <c r="G902" s="38">
        <v>75</v>
      </c>
      <c r="H902" s="46">
        <v>600</v>
      </c>
      <c r="I902" s="38">
        <v>695</v>
      </c>
      <c r="J902" s="38">
        <v>0</v>
      </c>
      <c r="K902" s="39"/>
      <c r="L902" s="39"/>
      <c r="M902" s="39"/>
      <c r="N902" s="39"/>
      <c r="O902" s="39"/>
      <c r="P902" s="39"/>
      <c r="Q902" s="39"/>
      <c r="R902" s="39"/>
      <c r="S902" s="39"/>
      <c r="T902" s="39"/>
    </row>
    <row r="903" spans="1:20" ht="15.75">
      <c r="A903" s="13">
        <v>68636</v>
      </c>
      <c r="B903" s="47">
        <f t="shared" si="4"/>
        <v>30</v>
      </c>
      <c r="C903" s="38">
        <v>122.58</v>
      </c>
      <c r="D903" s="38">
        <v>297.94099999999997</v>
      </c>
      <c r="E903" s="44">
        <v>729.47900000000004</v>
      </c>
      <c r="F903" s="38">
        <v>1150</v>
      </c>
      <c r="G903" s="38">
        <v>100</v>
      </c>
      <c r="H903" s="46">
        <v>600</v>
      </c>
      <c r="I903" s="38">
        <v>695</v>
      </c>
      <c r="J903" s="38">
        <v>50</v>
      </c>
      <c r="K903" s="39"/>
      <c r="L903" s="39"/>
      <c r="M903" s="39"/>
      <c r="N903" s="39"/>
      <c r="O903" s="39"/>
      <c r="P903" s="39"/>
      <c r="Q903" s="39"/>
      <c r="R903" s="39"/>
      <c r="S903" s="39"/>
      <c r="T903" s="39"/>
    </row>
    <row r="904" spans="1:20" ht="15.75">
      <c r="A904" s="13">
        <v>68667</v>
      </c>
      <c r="B904" s="47">
        <f t="shared" si="4"/>
        <v>31</v>
      </c>
      <c r="C904" s="38">
        <v>122.58</v>
      </c>
      <c r="D904" s="38">
        <v>297.94099999999997</v>
      </c>
      <c r="E904" s="44">
        <v>729.47900000000004</v>
      </c>
      <c r="F904" s="38">
        <v>1150</v>
      </c>
      <c r="G904" s="38">
        <v>100</v>
      </c>
      <c r="H904" s="46">
        <v>600</v>
      </c>
      <c r="I904" s="38">
        <v>695</v>
      </c>
      <c r="J904" s="38">
        <v>50</v>
      </c>
      <c r="K904" s="39"/>
      <c r="L904" s="39"/>
      <c r="M904" s="39"/>
      <c r="N904" s="39"/>
      <c r="O904" s="39"/>
      <c r="P904" s="39"/>
      <c r="Q904" s="39"/>
      <c r="R904" s="39"/>
      <c r="S904" s="39"/>
      <c r="T904" s="39"/>
    </row>
    <row r="905" spans="1:20" ht="15.75">
      <c r="A905" s="13">
        <v>68698</v>
      </c>
      <c r="B905" s="47">
        <f t="shared" si="4"/>
        <v>31</v>
      </c>
      <c r="C905" s="38">
        <v>122.58</v>
      </c>
      <c r="D905" s="38">
        <v>297.94099999999997</v>
      </c>
      <c r="E905" s="44">
        <v>729.47900000000004</v>
      </c>
      <c r="F905" s="38">
        <v>1150</v>
      </c>
      <c r="G905" s="38">
        <v>100</v>
      </c>
      <c r="H905" s="46">
        <v>600</v>
      </c>
      <c r="I905" s="38">
        <v>695</v>
      </c>
      <c r="J905" s="38">
        <v>50</v>
      </c>
      <c r="K905" s="39"/>
      <c r="L905" s="39"/>
      <c r="M905" s="39"/>
      <c r="N905" s="39"/>
      <c r="O905" s="39"/>
      <c r="P905" s="39"/>
      <c r="Q905" s="39"/>
      <c r="R905" s="39"/>
      <c r="S905" s="39"/>
      <c r="T905" s="39"/>
    </row>
    <row r="906" spans="1:20" ht="15.75">
      <c r="A906" s="13">
        <v>68727</v>
      </c>
      <c r="B906" s="47">
        <f t="shared" si="4"/>
        <v>29</v>
      </c>
      <c r="C906" s="38">
        <v>122.58</v>
      </c>
      <c r="D906" s="38">
        <v>297.94099999999997</v>
      </c>
      <c r="E906" s="44">
        <v>729.47900000000004</v>
      </c>
      <c r="F906" s="38">
        <v>1150</v>
      </c>
      <c r="G906" s="38">
        <v>100</v>
      </c>
      <c r="H906" s="46">
        <v>600</v>
      </c>
      <c r="I906" s="38">
        <v>695</v>
      </c>
      <c r="J906" s="38">
        <v>50</v>
      </c>
      <c r="K906" s="39"/>
      <c r="L906" s="39"/>
      <c r="M906" s="39"/>
      <c r="N906" s="39"/>
      <c r="O906" s="39"/>
      <c r="P906" s="39"/>
      <c r="Q906" s="39"/>
      <c r="R906" s="39"/>
      <c r="S906" s="39"/>
      <c r="T906" s="39"/>
    </row>
    <row r="907" spans="1:20" ht="15.75">
      <c r="A907" s="13">
        <v>68758</v>
      </c>
      <c r="B907" s="47">
        <f t="shared" si="4"/>
        <v>31</v>
      </c>
      <c r="C907" s="38">
        <v>122.58</v>
      </c>
      <c r="D907" s="38">
        <v>297.94099999999997</v>
      </c>
      <c r="E907" s="44">
        <v>729.47900000000004</v>
      </c>
      <c r="F907" s="38">
        <v>1150</v>
      </c>
      <c r="G907" s="38">
        <v>100</v>
      </c>
      <c r="H907" s="46">
        <v>600</v>
      </c>
      <c r="I907" s="38">
        <v>695</v>
      </c>
      <c r="J907" s="38">
        <v>50</v>
      </c>
      <c r="K907" s="39"/>
      <c r="L907" s="39"/>
      <c r="M907" s="39"/>
      <c r="N907" s="39"/>
      <c r="O907" s="39"/>
      <c r="P907" s="39"/>
      <c r="Q907" s="39"/>
      <c r="R907" s="39"/>
      <c r="S907" s="39"/>
      <c r="T907" s="39"/>
    </row>
    <row r="908" spans="1:20" ht="15.75">
      <c r="A908" s="13">
        <v>68788</v>
      </c>
      <c r="B908" s="47">
        <f t="shared" si="4"/>
        <v>30</v>
      </c>
      <c r="C908" s="38">
        <v>141.29300000000001</v>
      </c>
      <c r="D908" s="38">
        <v>267.99299999999999</v>
      </c>
      <c r="E908" s="44">
        <v>829.71400000000006</v>
      </c>
      <c r="F908" s="38">
        <v>1239</v>
      </c>
      <c r="G908" s="38">
        <v>100</v>
      </c>
      <c r="H908" s="46">
        <v>600</v>
      </c>
      <c r="I908" s="38">
        <v>695</v>
      </c>
      <c r="J908" s="38">
        <v>50</v>
      </c>
      <c r="K908" s="39"/>
      <c r="L908" s="39"/>
      <c r="M908" s="39"/>
      <c r="N908" s="39"/>
      <c r="O908" s="39"/>
      <c r="P908" s="39"/>
      <c r="Q908" s="39"/>
      <c r="R908" s="39"/>
      <c r="S908" s="39"/>
      <c r="T908" s="39"/>
    </row>
    <row r="909" spans="1:20" ht="15.75">
      <c r="A909" s="13">
        <v>68819</v>
      </c>
      <c r="B909" s="47">
        <f t="shared" si="4"/>
        <v>31</v>
      </c>
      <c r="C909" s="38">
        <v>194.20500000000001</v>
      </c>
      <c r="D909" s="38">
        <v>267.46600000000001</v>
      </c>
      <c r="E909" s="44">
        <v>812.32899999999995</v>
      </c>
      <c r="F909" s="38">
        <v>1274</v>
      </c>
      <c r="G909" s="38">
        <v>75</v>
      </c>
      <c r="H909" s="46">
        <v>600</v>
      </c>
      <c r="I909" s="38">
        <v>695</v>
      </c>
      <c r="J909" s="38">
        <v>50</v>
      </c>
      <c r="K909" s="39"/>
      <c r="L909" s="39"/>
      <c r="M909" s="39"/>
      <c r="N909" s="39"/>
      <c r="O909" s="39"/>
      <c r="P909" s="39"/>
      <c r="Q909" s="39"/>
      <c r="R909" s="39"/>
      <c r="S909" s="39"/>
      <c r="T909" s="39"/>
    </row>
    <row r="910" spans="1:20" ht="15.75">
      <c r="A910" s="13">
        <v>68849</v>
      </c>
      <c r="B910" s="47">
        <f t="shared" si="4"/>
        <v>30</v>
      </c>
      <c r="C910" s="38">
        <v>194.20500000000001</v>
      </c>
      <c r="D910" s="38">
        <v>267.46600000000001</v>
      </c>
      <c r="E910" s="44">
        <v>812.32899999999995</v>
      </c>
      <c r="F910" s="38">
        <v>1274</v>
      </c>
      <c r="G910" s="38">
        <v>50</v>
      </c>
      <c r="H910" s="46">
        <v>600</v>
      </c>
      <c r="I910" s="38">
        <v>695</v>
      </c>
      <c r="J910" s="38">
        <v>50</v>
      </c>
      <c r="K910" s="39"/>
      <c r="L910" s="39"/>
      <c r="M910" s="39"/>
      <c r="N910" s="39"/>
      <c r="O910" s="39"/>
      <c r="P910" s="39"/>
      <c r="Q910" s="39"/>
      <c r="R910" s="39"/>
      <c r="S910" s="39"/>
      <c r="T910" s="39"/>
    </row>
    <row r="911" spans="1:20" ht="15.75">
      <c r="A911" s="13">
        <v>68880</v>
      </c>
      <c r="B911" s="47">
        <f t="shared" si="4"/>
        <v>31</v>
      </c>
      <c r="C911" s="38">
        <v>194.20500000000001</v>
      </c>
      <c r="D911" s="38">
        <v>267.46600000000001</v>
      </c>
      <c r="E911" s="44">
        <v>812.32899999999995</v>
      </c>
      <c r="F911" s="38">
        <v>1274</v>
      </c>
      <c r="G911" s="38">
        <v>50</v>
      </c>
      <c r="H911" s="46">
        <v>600</v>
      </c>
      <c r="I911" s="38">
        <v>695</v>
      </c>
      <c r="J911" s="38">
        <v>0</v>
      </c>
      <c r="K911" s="39"/>
      <c r="L911" s="39"/>
      <c r="M911" s="39"/>
      <c r="N911" s="39"/>
      <c r="O911" s="39"/>
      <c r="P911" s="39"/>
      <c r="Q911" s="39"/>
      <c r="R911" s="39"/>
      <c r="S911" s="39"/>
      <c r="T911" s="39"/>
    </row>
    <row r="912" spans="1:20" ht="15.75">
      <c r="A912" s="13">
        <v>68911</v>
      </c>
      <c r="B912" s="47">
        <f t="shared" si="4"/>
        <v>31</v>
      </c>
      <c r="C912" s="38">
        <v>194.20500000000001</v>
      </c>
      <c r="D912" s="38">
        <v>267.46600000000001</v>
      </c>
      <c r="E912" s="44">
        <v>812.32899999999995</v>
      </c>
      <c r="F912" s="38">
        <v>1274</v>
      </c>
      <c r="G912" s="38">
        <v>50</v>
      </c>
      <c r="H912" s="46">
        <v>600</v>
      </c>
      <c r="I912" s="38">
        <v>695</v>
      </c>
      <c r="J912" s="38">
        <v>0</v>
      </c>
      <c r="K912" s="39"/>
      <c r="L912" s="39"/>
      <c r="M912" s="39"/>
      <c r="N912" s="39"/>
      <c r="O912" s="39"/>
      <c r="P912" s="39"/>
      <c r="Q912" s="39"/>
      <c r="R912" s="39"/>
      <c r="S912" s="39"/>
      <c r="T912" s="39"/>
    </row>
    <row r="913" spans="1:20" ht="15.75">
      <c r="A913" s="13">
        <v>68941</v>
      </c>
      <c r="B913" s="47">
        <f t="shared" ref="B913:B976" si="5">EOMONTH(A913,0)-EOMONTH(A913,-1)</f>
        <v>30</v>
      </c>
      <c r="C913" s="38">
        <v>194.20500000000001</v>
      </c>
      <c r="D913" s="38">
        <v>267.46600000000001</v>
      </c>
      <c r="E913" s="44">
        <v>812.32899999999995</v>
      </c>
      <c r="F913" s="38">
        <v>1274</v>
      </c>
      <c r="G913" s="38">
        <v>50</v>
      </c>
      <c r="H913" s="46">
        <v>600</v>
      </c>
      <c r="I913" s="38">
        <v>695</v>
      </c>
      <c r="J913" s="38">
        <v>0</v>
      </c>
      <c r="K913" s="39"/>
      <c r="L913" s="39"/>
      <c r="M913" s="39"/>
      <c r="N913" s="39"/>
      <c r="O913" s="39"/>
      <c r="P913" s="39"/>
      <c r="Q913" s="39"/>
      <c r="R913" s="39"/>
      <c r="S913" s="39"/>
      <c r="T913" s="39"/>
    </row>
    <row r="914" spans="1:20" ht="15.75">
      <c r="A914" s="13">
        <v>68972</v>
      </c>
      <c r="B914" s="47">
        <f t="shared" si="5"/>
        <v>31</v>
      </c>
      <c r="C914" s="38">
        <v>131.881</v>
      </c>
      <c r="D914" s="38">
        <v>277.16699999999997</v>
      </c>
      <c r="E914" s="44">
        <v>829.952</v>
      </c>
      <c r="F914" s="38">
        <v>1239</v>
      </c>
      <c r="G914" s="38">
        <v>75</v>
      </c>
      <c r="H914" s="46">
        <v>600</v>
      </c>
      <c r="I914" s="38">
        <v>695</v>
      </c>
      <c r="J914" s="38">
        <v>0</v>
      </c>
      <c r="K914" s="39"/>
      <c r="L914" s="39"/>
      <c r="M914" s="39"/>
      <c r="N914" s="39"/>
      <c r="O914" s="39"/>
      <c r="P914" s="39"/>
      <c r="Q914" s="39"/>
      <c r="R914" s="39"/>
      <c r="S914" s="39"/>
      <c r="T914" s="39"/>
    </row>
    <row r="915" spans="1:20" ht="15.75">
      <c r="A915" s="13">
        <v>69002</v>
      </c>
      <c r="B915" s="47">
        <f t="shared" si="5"/>
        <v>30</v>
      </c>
      <c r="C915" s="38">
        <v>122.58</v>
      </c>
      <c r="D915" s="38">
        <v>297.94099999999997</v>
      </c>
      <c r="E915" s="44">
        <v>729.47900000000004</v>
      </c>
      <c r="F915" s="38">
        <v>1150</v>
      </c>
      <c r="G915" s="38">
        <v>100</v>
      </c>
      <c r="H915" s="46">
        <v>600</v>
      </c>
      <c r="I915" s="38">
        <v>695</v>
      </c>
      <c r="J915" s="38">
        <v>50</v>
      </c>
      <c r="K915" s="39"/>
      <c r="L915" s="39"/>
      <c r="M915" s="39"/>
      <c r="N915" s="39"/>
      <c r="O915" s="39"/>
      <c r="P915" s="39"/>
      <c r="Q915" s="39"/>
      <c r="R915" s="39"/>
      <c r="S915" s="39"/>
      <c r="T915" s="39"/>
    </row>
    <row r="916" spans="1:20" ht="15.75">
      <c r="A916" s="13">
        <v>69033</v>
      </c>
      <c r="B916" s="47">
        <f t="shared" si="5"/>
        <v>31</v>
      </c>
      <c r="C916" s="38">
        <v>122.58</v>
      </c>
      <c r="D916" s="38">
        <v>297.94099999999997</v>
      </c>
      <c r="E916" s="44">
        <v>729.47900000000004</v>
      </c>
      <c r="F916" s="38">
        <v>1150</v>
      </c>
      <c r="G916" s="38">
        <v>100</v>
      </c>
      <c r="H916" s="46">
        <v>600</v>
      </c>
      <c r="I916" s="38">
        <v>695</v>
      </c>
      <c r="J916" s="38">
        <v>50</v>
      </c>
      <c r="K916" s="39"/>
      <c r="L916" s="39"/>
      <c r="M916" s="39"/>
      <c r="N916" s="39"/>
      <c r="O916" s="39"/>
      <c r="P916" s="39"/>
      <c r="Q916" s="39"/>
      <c r="R916" s="39"/>
      <c r="S916" s="39"/>
      <c r="T916" s="39"/>
    </row>
    <row r="917" spans="1:20" ht="15.75">
      <c r="A917" s="13">
        <v>69064</v>
      </c>
      <c r="B917" s="47">
        <f t="shared" si="5"/>
        <v>31</v>
      </c>
      <c r="C917" s="38">
        <v>122.58</v>
      </c>
      <c r="D917" s="38">
        <v>297.94099999999997</v>
      </c>
      <c r="E917" s="44">
        <v>729.47900000000004</v>
      </c>
      <c r="F917" s="38">
        <v>1150</v>
      </c>
      <c r="G917" s="38">
        <v>100</v>
      </c>
      <c r="H917" s="46">
        <v>600</v>
      </c>
      <c r="I917" s="38">
        <v>695</v>
      </c>
      <c r="J917" s="38">
        <v>50</v>
      </c>
      <c r="K917" s="39"/>
      <c r="L917" s="39"/>
      <c r="M917" s="39"/>
      <c r="N917" s="39"/>
      <c r="O917" s="39"/>
      <c r="P917" s="39"/>
      <c r="Q917" s="39"/>
      <c r="R917" s="39"/>
      <c r="S917" s="39"/>
      <c r="T917" s="39"/>
    </row>
    <row r="918" spans="1:20" ht="15.75">
      <c r="A918" s="13">
        <v>69092</v>
      </c>
      <c r="B918" s="47">
        <f t="shared" si="5"/>
        <v>28</v>
      </c>
      <c r="C918" s="38">
        <v>122.58</v>
      </c>
      <c r="D918" s="38">
        <v>297.94099999999997</v>
      </c>
      <c r="E918" s="44">
        <v>729.47900000000004</v>
      </c>
      <c r="F918" s="38">
        <v>1150</v>
      </c>
      <c r="G918" s="38">
        <v>100</v>
      </c>
      <c r="H918" s="46">
        <v>600</v>
      </c>
      <c r="I918" s="38">
        <v>695</v>
      </c>
      <c r="J918" s="38">
        <v>50</v>
      </c>
      <c r="K918" s="39"/>
      <c r="L918" s="39"/>
      <c r="M918" s="39"/>
      <c r="N918" s="39"/>
      <c r="O918" s="39"/>
      <c r="P918" s="39"/>
      <c r="Q918" s="39"/>
      <c r="R918" s="39"/>
      <c r="S918" s="39"/>
      <c r="T918" s="39"/>
    </row>
    <row r="919" spans="1:20" ht="15.75">
      <c r="A919" s="13">
        <v>69123</v>
      </c>
      <c r="B919" s="47">
        <f t="shared" si="5"/>
        <v>31</v>
      </c>
      <c r="C919" s="38">
        <v>122.58</v>
      </c>
      <c r="D919" s="38">
        <v>297.94099999999997</v>
      </c>
      <c r="E919" s="44">
        <v>729.47900000000004</v>
      </c>
      <c r="F919" s="38">
        <v>1150</v>
      </c>
      <c r="G919" s="38">
        <v>100</v>
      </c>
      <c r="H919" s="46">
        <v>600</v>
      </c>
      <c r="I919" s="38">
        <v>695</v>
      </c>
      <c r="J919" s="38">
        <v>50</v>
      </c>
      <c r="K919" s="39"/>
      <c r="L919" s="39"/>
      <c r="M919" s="39"/>
      <c r="N919" s="39"/>
      <c r="O919" s="39"/>
      <c r="P919" s="39"/>
      <c r="Q919" s="39"/>
      <c r="R919" s="39"/>
      <c r="S919" s="39"/>
      <c r="T919" s="39"/>
    </row>
    <row r="920" spans="1:20" ht="15.75">
      <c r="A920" s="13">
        <v>69153</v>
      </c>
      <c r="B920" s="47">
        <f t="shared" si="5"/>
        <v>30</v>
      </c>
      <c r="C920" s="38">
        <v>141.29300000000001</v>
      </c>
      <c r="D920" s="38">
        <v>267.99299999999999</v>
      </c>
      <c r="E920" s="44">
        <v>829.71400000000006</v>
      </c>
      <c r="F920" s="38">
        <v>1239</v>
      </c>
      <c r="G920" s="38">
        <v>100</v>
      </c>
      <c r="H920" s="46">
        <v>600</v>
      </c>
      <c r="I920" s="38">
        <v>695</v>
      </c>
      <c r="J920" s="38">
        <v>50</v>
      </c>
      <c r="K920" s="39"/>
      <c r="L920" s="39"/>
      <c r="M920" s="39"/>
      <c r="N920" s="39"/>
      <c r="O920" s="39"/>
      <c r="P920" s="39"/>
      <c r="Q920" s="39"/>
      <c r="R920" s="39"/>
      <c r="S920" s="39"/>
      <c r="T920" s="39"/>
    </row>
    <row r="921" spans="1:20" ht="15.75">
      <c r="A921" s="13">
        <v>69184</v>
      </c>
      <c r="B921" s="47">
        <f t="shared" si="5"/>
        <v>31</v>
      </c>
      <c r="C921" s="38">
        <v>194.20500000000001</v>
      </c>
      <c r="D921" s="38">
        <v>267.46600000000001</v>
      </c>
      <c r="E921" s="44">
        <v>812.32899999999995</v>
      </c>
      <c r="F921" s="38">
        <v>1274</v>
      </c>
      <c r="G921" s="38">
        <v>75</v>
      </c>
      <c r="H921" s="46">
        <v>600</v>
      </c>
      <c r="I921" s="38">
        <v>695</v>
      </c>
      <c r="J921" s="38">
        <v>50</v>
      </c>
      <c r="K921" s="39"/>
      <c r="L921" s="39"/>
      <c r="M921" s="39"/>
      <c r="N921" s="39"/>
      <c r="O921" s="39"/>
      <c r="P921" s="39"/>
      <c r="Q921" s="39"/>
      <c r="R921" s="39"/>
      <c r="S921" s="39"/>
      <c r="T921" s="39"/>
    </row>
    <row r="922" spans="1:20" ht="15.75">
      <c r="A922" s="13">
        <v>69214</v>
      </c>
      <c r="B922" s="47">
        <f t="shared" si="5"/>
        <v>30</v>
      </c>
      <c r="C922" s="38">
        <v>194.20500000000001</v>
      </c>
      <c r="D922" s="38">
        <v>267.46600000000001</v>
      </c>
      <c r="E922" s="44">
        <v>812.32899999999995</v>
      </c>
      <c r="F922" s="38">
        <v>1274</v>
      </c>
      <c r="G922" s="38">
        <v>50</v>
      </c>
      <c r="H922" s="46">
        <v>600</v>
      </c>
      <c r="I922" s="38">
        <v>695</v>
      </c>
      <c r="J922" s="38">
        <v>50</v>
      </c>
      <c r="K922" s="39"/>
      <c r="L922" s="39"/>
      <c r="M922" s="39"/>
      <c r="N922" s="39"/>
      <c r="O922" s="39"/>
      <c r="P922" s="39"/>
      <c r="Q922" s="39"/>
      <c r="R922" s="39"/>
      <c r="S922" s="39"/>
      <c r="T922" s="39"/>
    </row>
    <row r="923" spans="1:20" ht="15.75">
      <c r="A923" s="13">
        <v>69245</v>
      </c>
      <c r="B923" s="47">
        <f t="shared" si="5"/>
        <v>31</v>
      </c>
      <c r="C923" s="38">
        <v>194.20500000000001</v>
      </c>
      <c r="D923" s="38">
        <v>267.46600000000001</v>
      </c>
      <c r="E923" s="44">
        <v>812.32899999999995</v>
      </c>
      <c r="F923" s="38">
        <v>1274</v>
      </c>
      <c r="G923" s="38">
        <v>50</v>
      </c>
      <c r="H923" s="46">
        <v>600</v>
      </c>
      <c r="I923" s="38">
        <v>695</v>
      </c>
      <c r="J923" s="38">
        <v>0</v>
      </c>
      <c r="K923" s="39"/>
      <c r="L923" s="39"/>
      <c r="M923" s="39"/>
      <c r="N923" s="39"/>
      <c r="O923" s="39"/>
      <c r="P923" s="39"/>
      <c r="Q923" s="39"/>
      <c r="R923" s="39"/>
      <c r="S923" s="39"/>
      <c r="T923" s="39"/>
    </row>
    <row r="924" spans="1:20" ht="15.75">
      <c r="A924" s="13">
        <v>69276</v>
      </c>
      <c r="B924" s="47">
        <f t="shared" si="5"/>
        <v>31</v>
      </c>
      <c r="C924" s="38">
        <v>194.20500000000001</v>
      </c>
      <c r="D924" s="38">
        <v>267.46600000000001</v>
      </c>
      <c r="E924" s="44">
        <v>812.32899999999995</v>
      </c>
      <c r="F924" s="38">
        <v>1274</v>
      </c>
      <c r="G924" s="38">
        <v>50</v>
      </c>
      <c r="H924" s="46">
        <v>600</v>
      </c>
      <c r="I924" s="38">
        <v>695</v>
      </c>
      <c r="J924" s="38">
        <v>0</v>
      </c>
      <c r="K924" s="39"/>
      <c r="L924" s="39"/>
      <c r="M924" s="39"/>
      <c r="N924" s="39"/>
      <c r="O924" s="39"/>
      <c r="P924" s="39"/>
      <c r="Q924" s="39"/>
      <c r="R924" s="39"/>
      <c r="S924" s="39"/>
      <c r="T924" s="39"/>
    </row>
    <row r="925" spans="1:20" ht="15.75">
      <c r="A925" s="13">
        <v>69306</v>
      </c>
      <c r="B925" s="47">
        <f t="shared" si="5"/>
        <v>30</v>
      </c>
      <c r="C925" s="38">
        <v>194.20500000000001</v>
      </c>
      <c r="D925" s="38">
        <v>267.46600000000001</v>
      </c>
      <c r="E925" s="44">
        <v>812.32899999999995</v>
      </c>
      <c r="F925" s="38">
        <v>1274</v>
      </c>
      <c r="G925" s="38">
        <v>50</v>
      </c>
      <c r="H925" s="46">
        <v>600</v>
      </c>
      <c r="I925" s="38">
        <v>695</v>
      </c>
      <c r="J925" s="38">
        <v>0</v>
      </c>
      <c r="K925" s="39"/>
      <c r="L925" s="39"/>
      <c r="M925" s="39"/>
      <c r="N925" s="39"/>
      <c r="O925" s="39"/>
      <c r="P925" s="39"/>
      <c r="Q925" s="39"/>
      <c r="R925" s="39"/>
      <c r="S925" s="39"/>
      <c r="T925" s="39"/>
    </row>
    <row r="926" spans="1:20" ht="15.75">
      <c r="A926" s="13">
        <v>69337</v>
      </c>
      <c r="B926" s="47">
        <f t="shared" si="5"/>
        <v>31</v>
      </c>
      <c r="C926" s="38">
        <v>131.881</v>
      </c>
      <c r="D926" s="38">
        <v>277.16699999999997</v>
      </c>
      <c r="E926" s="44">
        <v>829.952</v>
      </c>
      <c r="F926" s="38">
        <v>1239</v>
      </c>
      <c r="G926" s="38">
        <v>75</v>
      </c>
      <c r="H926" s="46">
        <v>600</v>
      </c>
      <c r="I926" s="38">
        <v>695</v>
      </c>
      <c r="J926" s="38">
        <v>0</v>
      </c>
      <c r="K926" s="39"/>
      <c r="L926" s="39"/>
      <c r="M926" s="39"/>
      <c r="N926" s="39"/>
      <c r="O926" s="39"/>
      <c r="P926" s="39"/>
      <c r="Q926" s="39"/>
      <c r="R926" s="39"/>
      <c r="S926" s="39"/>
      <c r="T926" s="39"/>
    </row>
    <row r="927" spans="1:20" ht="15.75">
      <c r="A927" s="13">
        <v>69367</v>
      </c>
      <c r="B927" s="47">
        <f t="shared" si="5"/>
        <v>30</v>
      </c>
      <c r="C927" s="38">
        <v>122.58</v>
      </c>
      <c r="D927" s="38">
        <v>297.94099999999997</v>
      </c>
      <c r="E927" s="44">
        <v>729.47900000000004</v>
      </c>
      <c r="F927" s="38">
        <v>1150</v>
      </c>
      <c r="G927" s="38">
        <v>100</v>
      </c>
      <c r="H927" s="46">
        <v>600</v>
      </c>
      <c r="I927" s="38">
        <v>695</v>
      </c>
      <c r="J927" s="38">
        <v>50</v>
      </c>
      <c r="K927" s="39"/>
      <c r="L927" s="39"/>
      <c r="M927" s="39"/>
      <c r="N927" s="39"/>
      <c r="O927" s="39"/>
      <c r="P927" s="39"/>
      <c r="Q927" s="39"/>
      <c r="R927" s="39"/>
      <c r="S927" s="39"/>
      <c r="T927" s="39"/>
    </row>
    <row r="928" spans="1:20" ht="15.75">
      <c r="A928" s="13">
        <v>69398</v>
      </c>
      <c r="B928" s="47">
        <f t="shared" si="5"/>
        <v>31</v>
      </c>
      <c r="C928" s="38">
        <v>122.58</v>
      </c>
      <c r="D928" s="38">
        <v>297.94099999999997</v>
      </c>
      <c r="E928" s="44">
        <v>729.47900000000004</v>
      </c>
      <c r="F928" s="38">
        <v>1150</v>
      </c>
      <c r="G928" s="38">
        <v>100</v>
      </c>
      <c r="H928" s="46">
        <v>600</v>
      </c>
      <c r="I928" s="38">
        <v>695</v>
      </c>
      <c r="J928" s="38">
        <v>50</v>
      </c>
      <c r="K928" s="39"/>
      <c r="L928" s="39"/>
      <c r="M928" s="39"/>
      <c r="N928" s="39"/>
      <c r="O928" s="39"/>
      <c r="P928" s="39"/>
      <c r="Q928" s="39"/>
      <c r="R928" s="39"/>
      <c r="S928" s="39"/>
      <c r="T928" s="39"/>
    </row>
    <row r="929" spans="1:20" ht="15.75">
      <c r="A929" s="13">
        <v>69429</v>
      </c>
      <c r="B929" s="47">
        <f t="shared" si="5"/>
        <v>31</v>
      </c>
      <c r="C929" s="38">
        <v>122.58</v>
      </c>
      <c r="D929" s="38">
        <v>297.94099999999997</v>
      </c>
      <c r="E929" s="44">
        <v>729.47900000000004</v>
      </c>
      <c r="F929" s="38">
        <v>1150</v>
      </c>
      <c r="G929" s="38">
        <v>100</v>
      </c>
      <c r="H929" s="46">
        <v>600</v>
      </c>
      <c r="I929" s="38">
        <v>695</v>
      </c>
      <c r="J929" s="38">
        <v>50</v>
      </c>
      <c r="K929" s="39"/>
      <c r="L929" s="39"/>
      <c r="M929" s="39"/>
      <c r="N929" s="39"/>
      <c r="O929" s="39"/>
      <c r="P929" s="39"/>
      <c r="Q929" s="39"/>
      <c r="R929" s="39"/>
      <c r="S929" s="39"/>
      <c r="T929" s="39"/>
    </row>
    <row r="930" spans="1:20" ht="15.75">
      <c r="A930" s="13">
        <v>69457</v>
      </c>
      <c r="B930" s="47">
        <f t="shared" si="5"/>
        <v>28</v>
      </c>
      <c r="C930" s="38">
        <v>122.58</v>
      </c>
      <c r="D930" s="38">
        <v>297.94099999999997</v>
      </c>
      <c r="E930" s="44">
        <v>729.47900000000004</v>
      </c>
      <c r="F930" s="38">
        <v>1150</v>
      </c>
      <c r="G930" s="38">
        <v>100</v>
      </c>
      <c r="H930" s="46">
        <v>600</v>
      </c>
      <c r="I930" s="38">
        <v>695</v>
      </c>
      <c r="J930" s="38">
        <v>50</v>
      </c>
      <c r="K930" s="39"/>
      <c r="L930" s="39"/>
      <c r="M930" s="39"/>
      <c r="N930" s="39"/>
      <c r="O930" s="39"/>
      <c r="P930" s="39"/>
      <c r="Q930" s="39"/>
      <c r="R930" s="39"/>
      <c r="S930" s="39"/>
      <c r="T930" s="39"/>
    </row>
    <row r="931" spans="1:20" ht="15.75">
      <c r="A931" s="13">
        <v>69488</v>
      </c>
      <c r="B931" s="47">
        <f t="shared" si="5"/>
        <v>31</v>
      </c>
      <c r="C931" s="38">
        <v>122.58</v>
      </c>
      <c r="D931" s="38">
        <v>297.94099999999997</v>
      </c>
      <c r="E931" s="44">
        <v>729.47900000000004</v>
      </c>
      <c r="F931" s="38">
        <v>1150</v>
      </c>
      <c r="G931" s="38">
        <v>100</v>
      </c>
      <c r="H931" s="46">
        <v>600</v>
      </c>
      <c r="I931" s="38">
        <v>695</v>
      </c>
      <c r="J931" s="38">
        <v>50</v>
      </c>
      <c r="K931" s="39"/>
      <c r="L931" s="39"/>
      <c r="M931" s="39"/>
      <c r="N931" s="39"/>
      <c r="O931" s="39"/>
      <c r="P931" s="39"/>
      <c r="Q931" s="39"/>
      <c r="R931" s="39"/>
      <c r="S931" s="39"/>
      <c r="T931" s="39"/>
    </row>
    <row r="932" spans="1:20" ht="15.75">
      <c r="A932" s="13">
        <v>69518</v>
      </c>
      <c r="B932" s="47">
        <f t="shared" si="5"/>
        <v>30</v>
      </c>
      <c r="C932" s="38">
        <v>141.29300000000001</v>
      </c>
      <c r="D932" s="38">
        <v>267.99299999999999</v>
      </c>
      <c r="E932" s="44">
        <v>829.71400000000006</v>
      </c>
      <c r="F932" s="38">
        <v>1239</v>
      </c>
      <c r="G932" s="38">
        <v>100</v>
      </c>
      <c r="H932" s="46">
        <v>600</v>
      </c>
      <c r="I932" s="38">
        <v>695</v>
      </c>
      <c r="J932" s="38">
        <v>50</v>
      </c>
      <c r="K932" s="39"/>
      <c r="L932" s="39"/>
      <c r="M932" s="39"/>
      <c r="N932" s="39"/>
      <c r="O932" s="39"/>
      <c r="P932" s="39"/>
      <c r="Q932" s="39"/>
      <c r="R932" s="39"/>
      <c r="S932" s="39"/>
      <c r="T932" s="39"/>
    </row>
    <row r="933" spans="1:20" ht="15.75">
      <c r="A933" s="13">
        <v>69549</v>
      </c>
      <c r="B933" s="47">
        <f t="shared" si="5"/>
        <v>31</v>
      </c>
      <c r="C933" s="38">
        <v>194.20500000000001</v>
      </c>
      <c r="D933" s="38">
        <v>267.46600000000001</v>
      </c>
      <c r="E933" s="44">
        <v>812.32899999999995</v>
      </c>
      <c r="F933" s="38">
        <v>1274</v>
      </c>
      <c r="G933" s="38">
        <v>75</v>
      </c>
      <c r="H933" s="46">
        <v>600</v>
      </c>
      <c r="I933" s="38">
        <v>695</v>
      </c>
      <c r="J933" s="38">
        <v>50</v>
      </c>
      <c r="K933" s="39"/>
      <c r="L933" s="39"/>
      <c r="M933" s="39"/>
      <c r="N933" s="39"/>
      <c r="O933" s="39"/>
      <c r="P933" s="39"/>
      <c r="Q933" s="39"/>
      <c r="R933" s="39"/>
      <c r="S933" s="39"/>
      <c r="T933" s="39"/>
    </row>
    <row r="934" spans="1:20" ht="15.75">
      <c r="A934" s="13">
        <v>69579</v>
      </c>
      <c r="B934" s="47">
        <f t="shared" si="5"/>
        <v>30</v>
      </c>
      <c r="C934" s="38">
        <v>194.20500000000001</v>
      </c>
      <c r="D934" s="38">
        <v>267.46600000000001</v>
      </c>
      <c r="E934" s="44">
        <v>812.32899999999995</v>
      </c>
      <c r="F934" s="38">
        <v>1274</v>
      </c>
      <c r="G934" s="38">
        <v>50</v>
      </c>
      <c r="H934" s="46">
        <v>600</v>
      </c>
      <c r="I934" s="38">
        <v>695</v>
      </c>
      <c r="J934" s="38">
        <v>50</v>
      </c>
      <c r="K934" s="39"/>
      <c r="L934" s="39"/>
      <c r="M934" s="39"/>
      <c r="N934" s="39"/>
      <c r="O934" s="39"/>
      <c r="P934" s="39"/>
      <c r="Q934" s="39"/>
      <c r="R934" s="39"/>
      <c r="S934" s="39"/>
      <c r="T934" s="39"/>
    </row>
    <row r="935" spans="1:20" ht="15.75">
      <c r="A935" s="13">
        <v>69610</v>
      </c>
      <c r="B935" s="47">
        <f t="shared" si="5"/>
        <v>31</v>
      </c>
      <c r="C935" s="38">
        <v>194.20500000000001</v>
      </c>
      <c r="D935" s="38">
        <v>267.46600000000001</v>
      </c>
      <c r="E935" s="44">
        <v>812.32899999999995</v>
      </c>
      <c r="F935" s="38">
        <v>1274</v>
      </c>
      <c r="G935" s="38">
        <v>50</v>
      </c>
      <c r="H935" s="46">
        <v>600</v>
      </c>
      <c r="I935" s="38">
        <v>695</v>
      </c>
      <c r="J935" s="38">
        <v>0</v>
      </c>
      <c r="K935" s="39"/>
      <c r="L935" s="39"/>
      <c r="M935" s="39"/>
      <c r="N935" s="39"/>
      <c r="O935" s="39"/>
      <c r="P935" s="39"/>
      <c r="Q935" s="39"/>
      <c r="R935" s="39"/>
      <c r="S935" s="39"/>
      <c r="T935" s="39"/>
    </row>
    <row r="936" spans="1:20" ht="15.75">
      <c r="A936" s="13">
        <v>69641</v>
      </c>
      <c r="B936" s="47">
        <f t="shared" si="5"/>
        <v>31</v>
      </c>
      <c r="C936" s="38">
        <v>194.20500000000001</v>
      </c>
      <c r="D936" s="38">
        <v>267.46600000000001</v>
      </c>
      <c r="E936" s="44">
        <v>812.32899999999995</v>
      </c>
      <c r="F936" s="38">
        <v>1274</v>
      </c>
      <c r="G936" s="38">
        <v>50</v>
      </c>
      <c r="H936" s="46">
        <v>600</v>
      </c>
      <c r="I936" s="38">
        <v>695</v>
      </c>
      <c r="J936" s="38">
        <v>0</v>
      </c>
      <c r="K936" s="39"/>
      <c r="L936" s="39"/>
      <c r="M936" s="39"/>
      <c r="N936" s="39"/>
      <c r="O936" s="39"/>
      <c r="P936" s="39"/>
      <c r="Q936" s="39"/>
      <c r="R936" s="39"/>
      <c r="S936" s="39"/>
      <c r="T936" s="39"/>
    </row>
    <row r="937" spans="1:20" ht="15.75">
      <c r="A937" s="13">
        <v>69671</v>
      </c>
      <c r="B937" s="47">
        <f t="shared" si="5"/>
        <v>30</v>
      </c>
      <c r="C937" s="38">
        <v>194.20500000000001</v>
      </c>
      <c r="D937" s="38">
        <v>267.46600000000001</v>
      </c>
      <c r="E937" s="44">
        <v>812.32899999999995</v>
      </c>
      <c r="F937" s="38">
        <v>1274</v>
      </c>
      <c r="G937" s="38">
        <v>50</v>
      </c>
      <c r="H937" s="46">
        <v>600</v>
      </c>
      <c r="I937" s="38">
        <v>695</v>
      </c>
      <c r="J937" s="38">
        <v>0</v>
      </c>
      <c r="K937" s="39"/>
      <c r="L937" s="39"/>
      <c r="M937" s="39"/>
      <c r="N937" s="39"/>
      <c r="O937" s="39"/>
      <c r="P937" s="39"/>
      <c r="Q937" s="39"/>
      <c r="R937" s="39"/>
      <c r="S937" s="39"/>
      <c r="T937" s="39"/>
    </row>
    <row r="938" spans="1:20" ht="15.75">
      <c r="A938" s="13">
        <v>69702</v>
      </c>
      <c r="B938" s="47">
        <f t="shared" si="5"/>
        <v>31</v>
      </c>
      <c r="C938" s="38">
        <v>131.881</v>
      </c>
      <c r="D938" s="38">
        <v>277.16699999999997</v>
      </c>
      <c r="E938" s="44">
        <v>829.952</v>
      </c>
      <c r="F938" s="38">
        <v>1239</v>
      </c>
      <c r="G938" s="38">
        <v>75</v>
      </c>
      <c r="H938" s="46">
        <v>600</v>
      </c>
      <c r="I938" s="38">
        <v>695</v>
      </c>
      <c r="J938" s="38">
        <v>0</v>
      </c>
      <c r="K938" s="39"/>
      <c r="L938" s="39"/>
      <c r="M938" s="39"/>
      <c r="N938" s="39"/>
      <c r="O938" s="39"/>
      <c r="P938" s="39"/>
      <c r="Q938" s="39"/>
      <c r="R938" s="39"/>
      <c r="S938" s="39"/>
      <c r="T938" s="39"/>
    </row>
    <row r="939" spans="1:20" ht="15.75">
      <c r="A939" s="13">
        <v>69732</v>
      </c>
      <c r="B939" s="47">
        <f t="shared" si="5"/>
        <v>30</v>
      </c>
      <c r="C939" s="38">
        <v>122.58</v>
      </c>
      <c r="D939" s="38">
        <v>297.94099999999997</v>
      </c>
      <c r="E939" s="44">
        <v>729.47900000000004</v>
      </c>
      <c r="F939" s="38">
        <v>1150</v>
      </c>
      <c r="G939" s="38">
        <v>100</v>
      </c>
      <c r="H939" s="46">
        <v>600</v>
      </c>
      <c r="I939" s="38">
        <v>695</v>
      </c>
      <c r="J939" s="38">
        <v>50</v>
      </c>
      <c r="K939" s="39"/>
      <c r="L939" s="39"/>
      <c r="M939" s="39"/>
      <c r="N939" s="39"/>
      <c r="O939" s="39"/>
      <c r="P939" s="39"/>
      <c r="Q939" s="39"/>
      <c r="R939" s="39"/>
      <c r="S939" s="39"/>
      <c r="T939" s="39"/>
    </row>
    <row r="940" spans="1:20" ht="15.75">
      <c r="A940" s="13">
        <v>69763</v>
      </c>
      <c r="B940" s="47">
        <f t="shared" si="5"/>
        <v>31</v>
      </c>
      <c r="C940" s="38">
        <v>122.58</v>
      </c>
      <c r="D940" s="38">
        <v>297.94099999999997</v>
      </c>
      <c r="E940" s="44">
        <v>729.47900000000004</v>
      </c>
      <c r="F940" s="38">
        <v>1150</v>
      </c>
      <c r="G940" s="38">
        <v>100</v>
      </c>
      <c r="H940" s="46">
        <v>600</v>
      </c>
      <c r="I940" s="38">
        <v>695</v>
      </c>
      <c r="J940" s="38">
        <v>50</v>
      </c>
      <c r="K940" s="39"/>
      <c r="L940" s="39"/>
      <c r="M940" s="39"/>
      <c r="N940" s="39"/>
      <c r="O940" s="39"/>
      <c r="P940" s="39"/>
      <c r="Q940" s="39"/>
      <c r="R940" s="39"/>
      <c r="S940" s="39"/>
      <c r="T940" s="39"/>
    </row>
    <row r="941" spans="1:20" ht="15.75">
      <c r="A941" s="13">
        <v>69794</v>
      </c>
      <c r="B941" s="47">
        <f t="shared" si="5"/>
        <v>31</v>
      </c>
      <c r="C941" s="38">
        <v>122.58</v>
      </c>
      <c r="D941" s="38">
        <v>297.94099999999997</v>
      </c>
      <c r="E941" s="44">
        <v>729.47900000000004</v>
      </c>
      <c r="F941" s="38">
        <v>1150</v>
      </c>
      <c r="G941" s="38">
        <v>100</v>
      </c>
      <c r="H941" s="46">
        <v>600</v>
      </c>
      <c r="I941" s="38">
        <v>695</v>
      </c>
      <c r="J941" s="38">
        <v>50</v>
      </c>
      <c r="K941" s="39"/>
      <c r="L941" s="39"/>
      <c r="M941" s="39"/>
      <c r="N941" s="39"/>
      <c r="O941" s="39"/>
      <c r="P941" s="39"/>
      <c r="Q941" s="39"/>
      <c r="R941" s="39"/>
      <c r="S941" s="39"/>
      <c r="T941" s="39"/>
    </row>
    <row r="942" spans="1:20" ht="15.75">
      <c r="A942" s="13">
        <v>69822</v>
      </c>
      <c r="B942" s="47">
        <f t="shared" si="5"/>
        <v>28</v>
      </c>
      <c r="C942" s="38">
        <v>122.58</v>
      </c>
      <c r="D942" s="38">
        <v>297.94099999999997</v>
      </c>
      <c r="E942" s="44">
        <v>729.47900000000004</v>
      </c>
      <c r="F942" s="38">
        <v>1150</v>
      </c>
      <c r="G942" s="38">
        <v>100</v>
      </c>
      <c r="H942" s="46">
        <v>600</v>
      </c>
      <c r="I942" s="38">
        <v>695</v>
      </c>
      <c r="J942" s="38">
        <v>50</v>
      </c>
      <c r="K942" s="39"/>
      <c r="L942" s="39"/>
      <c r="M942" s="39"/>
      <c r="N942" s="39"/>
      <c r="O942" s="39"/>
      <c r="P942" s="39"/>
      <c r="Q942" s="39"/>
      <c r="R942" s="39"/>
      <c r="S942" s="39"/>
      <c r="T942" s="39"/>
    </row>
    <row r="943" spans="1:20" ht="15.75">
      <c r="A943" s="13">
        <v>69853</v>
      </c>
      <c r="B943" s="47">
        <f t="shared" si="5"/>
        <v>31</v>
      </c>
      <c r="C943" s="38">
        <v>122.58</v>
      </c>
      <c r="D943" s="38">
        <v>297.94099999999997</v>
      </c>
      <c r="E943" s="44">
        <v>729.47900000000004</v>
      </c>
      <c r="F943" s="38">
        <v>1150</v>
      </c>
      <c r="G943" s="38">
        <v>100</v>
      </c>
      <c r="H943" s="46">
        <v>600</v>
      </c>
      <c r="I943" s="38">
        <v>695</v>
      </c>
      <c r="J943" s="38">
        <v>50</v>
      </c>
      <c r="K943" s="39"/>
      <c r="L943" s="39"/>
      <c r="M943" s="39"/>
      <c r="N943" s="39"/>
      <c r="O943" s="39"/>
      <c r="P943" s="39"/>
      <c r="Q943" s="39"/>
      <c r="R943" s="39"/>
      <c r="S943" s="39"/>
      <c r="T943" s="39"/>
    </row>
    <row r="944" spans="1:20" ht="15.75">
      <c r="A944" s="13">
        <v>69883</v>
      </c>
      <c r="B944" s="47">
        <f t="shared" si="5"/>
        <v>30</v>
      </c>
      <c r="C944" s="38">
        <v>141.29300000000001</v>
      </c>
      <c r="D944" s="38">
        <v>267.99299999999999</v>
      </c>
      <c r="E944" s="44">
        <v>829.71400000000006</v>
      </c>
      <c r="F944" s="38">
        <v>1239</v>
      </c>
      <c r="G944" s="38">
        <v>100</v>
      </c>
      <c r="H944" s="46">
        <v>600</v>
      </c>
      <c r="I944" s="38">
        <v>695</v>
      </c>
      <c r="J944" s="38">
        <v>50</v>
      </c>
      <c r="K944" s="39"/>
      <c r="L944" s="39"/>
      <c r="M944" s="39"/>
      <c r="N944" s="39"/>
      <c r="O944" s="39"/>
      <c r="P944" s="39"/>
      <c r="Q944" s="39"/>
      <c r="R944" s="39"/>
      <c r="S944" s="39"/>
      <c r="T944" s="39"/>
    </row>
    <row r="945" spans="1:20" ht="15.75">
      <c r="A945" s="13">
        <v>69914</v>
      </c>
      <c r="B945" s="47">
        <f t="shared" si="5"/>
        <v>31</v>
      </c>
      <c r="C945" s="38">
        <v>194.20500000000001</v>
      </c>
      <c r="D945" s="38">
        <v>267.46600000000001</v>
      </c>
      <c r="E945" s="44">
        <v>812.32899999999995</v>
      </c>
      <c r="F945" s="38">
        <v>1274</v>
      </c>
      <c r="G945" s="38">
        <v>75</v>
      </c>
      <c r="H945" s="46">
        <v>600</v>
      </c>
      <c r="I945" s="38">
        <v>695</v>
      </c>
      <c r="J945" s="38">
        <v>50</v>
      </c>
      <c r="K945" s="39"/>
      <c r="L945" s="39"/>
      <c r="M945" s="39"/>
      <c r="N945" s="39"/>
      <c r="O945" s="39"/>
      <c r="P945" s="39"/>
      <c r="Q945" s="39"/>
      <c r="R945" s="39"/>
      <c r="S945" s="39"/>
      <c r="T945" s="39"/>
    </row>
    <row r="946" spans="1:20" ht="15.75">
      <c r="A946" s="13">
        <v>69944</v>
      </c>
      <c r="B946" s="47">
        <f t="shared" si="5"/>
        <v>30</v>
      </c>
      <c r="C946" s="38">
        <v>194.20500000000001</v>
      </c>
      <c r="D946" s="38">
        <v>267.46600000000001</v>
      </c>
      <c r="E946" s="44">
        <v>812.32899999999995</v>
      </c>
      <c r="F946" s="38">
        <v>1274</v>
      </c>
      <c r="G946" s="38">
        <v>50</v>
      </c>
      <c r="H946" s="46">
        <v>600</v>
      </c>
      <c r="I946" s="38">
        <v>695</v>
      </c>
      <c r="J946" s="38">
        <v>50</v>
      </c>
      <c r="K946" s="39"/>
      <c r="L946" s="39"/>
      <c r="M946" s="39"/>
      <c r="N946" s="39"/>
      <c r="O946" s="39"/>
      <c r="P946" s="39"/>
      <c r="Q946" s="39"/>
      <c r="R946" s="39"/>
      <c r="S946" s="39"/>
      <c r="T946" s="39"/>
    </row>
    <row r="947" spans="1:20" ht="15.75">
      <c r="A947" s="13">
        <v>69975</v>
      </c>
      <c r="B947" s="47">
        <f t="shared" si="5"/>
        <v>31</v>
      </c>
      <c r="C947" s="38">
        <v>194.20500000000001</v>
      </c>
      <c r="D947" s="38">
        <v>267.46600000000001</v>
      </c>
      <c r="E947" s="44">
        <v>812.32899999999995</v>
      </c>
      <c r="F947" s="38">
        <v>1274</v>
      </c>
      <c r="G947" s="38">
        <v>50</v>
      </c>
      <c r="H947" s="46">
        <v>600</v>
      </c>
      <c r="I947" s="38">
        <v>695</v>
      </c>
      <c r="J947" s="38">
        <v>0</v>
      </c>
      <c r="K947" s="39"/>
      <c r="L947" s="39"/>
      <c r="M947" s="39"/>
      <c r="N947" s="39"/>
      <c r="O947" s="39"/>
      <c r="P947" s="39"/>
      <c r="Q947" s="39"/>
      <c r="R947" s="39"/>
      <c r="S947" s="39"/>
      <c r="T947" s="39"/>
    </row>
    <row r="948" spans="1:20" ht="15.75">
      <c r="A948" s="13">
        <v>70006</v>
      </c>
      <c r="B948" s="47">
        <f t="shared" si="5"/>
        <v>31</v>
      </c>
      <c r="C948" s="38">
        <v>194.20500000000001</v>
      </c>
      <c r="D948" s="38">
        <v>267.46600000000001</v>
      </c>
      <c r="E948" s="44">
        <v>812.32899999999995</v>
      </c>
      <c r="F948" s="38">
        <v>1274</v>
      </c>
      <c r="G948" s="38">
        <v>50</v>
      </c>
      <c r="H948" s="46">
        <v>600</v>
      </c>
      <c r="I948" s="38">
        <v>695</v>
      </c>
      <c r="J948" s="38">
        <v>0</v>
      </c>
      <c r="K948" s="39"/>
      <c r="L948" s="39"/>
      <c r="M948" s="39"/>
      <c r="N948" s="39"/>
      <c r="O948" s="39"/>
      <c r="P948" s="39"/>
      <c r="Q948" s="39"/>
      <c r="R948" s="39"/>
      <c r="S948" s="39"/>
      <c r="T948" s="39"/>
    </row>
    <row r="949" spans="1:20" ht="15.75">
      <c r="A949" s="13">
        <v>70036</v>
      </c>
      <c r="B949" s="47">
        <f t="shared" si="5"/>
        <v>30</v>
      </c>
      <c r="C949" s="38">
        <v>194.20500000000001</v>
      </c>
      <c r="D949" s="38">
        <v>267.46600000000001</v>
      </c>
      <c r="E949" s="44">
        <v>812.32899999999995</v>
      </c>
      <c r="F949" s="38">
        <v>1274</v>
      </c>
      <c r="G949" s="38">
        <v>50</v>
      </c>
      <c r="H949" s="46">
        <v>600</v>
      </c>
      <c r="I949" s="38">
        <v>695</v>
      </c>
      <c r="J949" s="38">
        <v>0</v>
      </c>
      <c r="K949" s="39"/>
      <c r="L949" s="39"/>
      <c r="M949" s="39"/>
      <c r="N949" s="39"/>
      <c r="O949" s="39"/>
      <c r="P949" s="39"/>
      <c r="Q949" s="39"/>
      <c r="R949" s="39"/>
      <c r="S949" s="39"/>
      <c r="T949" s="39"/>
    </row>
    <row r="950" spans="1:20" ht="15.75">
      <c r="A950" s="13">
        <v>70067</v>
      </c>
      <c r="B950" s="47">
        <f t="shared" si="5"/>
        <v>31</v>
      </c>
      <c r="C950" s="38">
        <v>131.881</v>
      </c>
      <c r="D950" s="38">
        <v>277.16699999999997</v>
      </c>
      <c r="E950" s="44">
        <v>829.952</v>
      </c>
      <c r="F950" s="38">
        <v>1239</v>
      </c>
      <c r="G950" s="38">
        <v>75</v>
      </c>
      <c r="H950" s="46">
        <v>600</v>
      </c>
      <c r="I950" s="38">
        <v>695</v>
      </c>
      <c r="J950" s="38">
        <v>0</v>
      </c>
      <c r="K950" s="39"/>
      <c r="L950" s="39"/>
      <c r="M950" s="39"/>
      <c r="N950" s="39"/>
      <c r="O950" s="39"/>
      <c r="P950" s="39"/>
      <c r="Q950" s="39"/>
      <c r="R950" s="39"/>
      <c r="S950" s="39"/>
      <c r="T950" s="39"/>
    </row>
    <row r="951" spans="1:20" ht="15.75">
      <c r="A951" s="13">
        <v>70097</v>
      </c>
      <c r="B951" s="47">
        <f t="shared" si="5"/>
        <v>30</v>
      </c>
      <c r="C951" s="38">
        <v>122.58</v>
      </c>
      <c r="D951" s="38">
        <v>297.94099999999997</v>
      </c>
      <c r="E951" s="44">
        <v>729.47900000000004</v>
      </c>
      <c r="F951" s="38">
        <v>1150</v>
      </c>
      <c r="G951" s="38">
        <v>100</v>
      </c>
      <c r="H951" s="46">
        <v>600</v>
      </c>
      <c r="I951" s="38">
        <v>695</v>
      </c>
      <c r="J951" s="38">
        <v>50</v>
      </c>
      <c r="K951" s="39"/>
      <c r="L951" s="39"/>
      <c r="M951" s="39"/>
      <c r="N951" s="39"/>
      <c r="O951" s="39"/>
      <c r="P951" s="39"/>
      <c r="Q951" s="39"/>
      <c r="R951" s="39"/>
      <c r="S951" s="39"/>
      <c r="T951" s="39"/>
    </row>
    <row r="952" spans="1:20" ht="15.75">
      <c r="A952" s="13">
        <v>70128</v>
      </c>
      <c r="B952" s="47">
        <f t="shared" si="5"/>
        <v>31</v>
      </c>
      <c r="C952" s="38">
        <v>122.58</v>
      </c>
      <c r="D952" s="38">
        <v>297.94099999999997</v>
      </c>
      <c r="E952" s="44">
        <v>729.47900000000004</v>
      </c>
      <c r="F952" s="38">
        <v>1150</v>
      </c>
      <c r="G952" s="38">
        <v>100</v>
      </c>
      <c r="H952" s="46">
        <v>600</v>
      </c>
      <c r="I952" s="38">
        <v>695</v>
      </c>
      <c r="J952" s="38">
        <v>50</v>
      </c>
      <c r="K952" s="39"/>
      <c r="L952" s="39"/>
      <c r="M952" s="39"/>
      <c r="N952" s="39"/>
      <c r="O952" s="39"/>
      <c r="P952" s="39"/>
      <c r="Q952" s="39"/>
      <c r="R952" s="39"/>
      <c r="S952" s="39"/>
      <c r="T952" s="39"/>
    </row>
    <row r="953" spans="1:20" ht="15.75">
      <c r="A953" s="13">
        <v>70159</v>
      </c>
      <c r="B953" s="47">
        <f t="shared" si="5"/>
        <v>31</v>
      </c>
      <c r="C953" s="38">
        <v>122.58</v>
      </c>
      <c r="D953" s="38">
        <v>297.94099999999997</v>
      </c>
      <c r="E953" s="44">
        <v>729.47900000000004</v>
      </c>
      <c r="F953" s="38">
        <v>1150</v>
      </c>
      <c r="G953" s="38">
        <v>100</v>
      </c>
      <c r="H953" s="46">
        <v>600</v>
      </c>
      <c r="I953" s="38">
        <v>695</v>
      </c>
      <c r="J953" s="38">
        <v>50</v>
      </c>
      <c r="K953" s="39"/>
      <c r="L953" s="39"/>
      <c r="M953" s="39"/>
      <c r="N953" s="39"/>
      <c r="O953" s="39"/>
      <c r="P953" s="39"/>
      <c r="Q953" s="39"/>
      <c r="R953" s="39"/>
      <c r="S953" s="39"/>
      <c r="T953" s="39"/>
    </row>
    <row r="954" spans="1:20" ht="15.75">
      <c r="A954" s="13">
        <v>70188</v>
      </c>
      <c r="B954" s="47">
        <f t="shared" si="5"/>
        <v>29</v>
      </c>
      <c r="C954" s="38">
        <v>122.58</v>
      </c>
      <c r="D954" s="38">
        <v>297.94099999999997</v>
      </c>
      <c r="E954" s="44">
        <v>729.47900000000004</v>
      </c>
      <c r="F954" s="38">
        <v>1150</v>
      </c>
      <c r="G954" s="38">
        <v>100</v>
      </c>
      <c r="H954" s="46">
        <v>600</v>
      </c>
      <c r="I954" s="38">
        <v>695</v>
      </c>
      <c r="J954" s="38">
        <v>50</v>
      </c>
      <c r="K954" s="39"/>
      <c r="L954" s="39"/>
      <c r="M954" s="39"/>
      <c r="N954" s="39"/>
      <c r="O954" s="39"/>
      <c r="P954" s="39"/>
      <c r="Q954" s="39"/>
      <c r="R954" s="39"/>
      <c r="S954" s="39"/>
      <c r="T954" s="39"/>
    </row>
    <row r="955" spans="1:20" ht="15.75">
      <c r="A955" s="13">
        <v>70219</v>
      </c>
      <c r="B955" s="47">
        <f t="shared" si="5"/>
        <v>31</v>
      </c>
      <c r="C955" s="38">
        <v>122.58</v>
      </c>
      <c r="D955" s="38">
        <v>297.94099999999997</v>
      </c>
      <c r="E955" s="44">
        <v>729.47900000000004</v>
      </c>
      <c r="F955" s="38">
        <v>1150</v>
      </c>
      <c r="G955" s="38">
        <v>100</v>
      </c>
      <c r="H955" s="46">
        <v>600</v>
      </c>
      <c r="I955" s="38">
        <v>695</v>
      </c>
      <c r="J955" s="38">
        <v>50</v>
      </c>
      <c r="K955" s="39"/>
      <c r="L955" s="39"/>
      <c r="M955" s="39"/>
      <c r="N955" s="39"/>
      <c r="O955" s="39"/>
      <c r="P955" s="39"/>
      <c r="Q955" s="39"/>
      <c r="R955" s="39"/>
      <c r="S955" s="39"/>
      <c r="T955" s="39"/>
    </row>
    <row r="956" spans="1:20" ht="15.75">
      <c r="A956" s="13">
        <v>70249</v>
      </c>
      <c r="B956" s="47">
        <f t="shared" si="5"/>
        <v>30</v>
      </c>
      <c r="C956" s="38">
        <v>141.29300000000001</v>
      </c>
      <c r="D956" s="38">
        <v>267.99299999999999</v>
      </c>
      <c r="E956" s="44">
        <v>829.71400000000006</v>
      </c>
      <c r="F956" s="38">
        <v>1239</v>
      </c>
      <c r="G956" s="38">
        <v>100</v>
      </c>
      <c r="H956" s="46">
        <v>600</v>
      </c>
      <c r="I956" s="38">
        <v>695</v>
      </c>
      <c r="J956" s="38">
        <v>50</v>
      </c>
      <c r="K956" s="39"/>
      <c r="L956" s="39"/>
      <c r="M956" s="39"/>
      <c r="N956" s="39"/>
      <c r="O956" s="39"/>
      <c r="P956" s="39"/>
      <c r="Q956" s="39"/>
      <c r="R956" s="39"/>
      <c r="S956" s="39"/>
      <c r="T956" s="39"/>
    </row>
    <row r="957" spans="1:20" ht="15.75">
      <c r="A957" s="13">
        <v>70280</v>
      </c>
      <c r="B957" s="47">
        <f t="shared" si="5"/>
        <v>31</v>
      </c>
      <c r="C957" s="38">
        <v>194.20500000000001</v>
      </c>
      <c r="D957" s="38">
        <v>267.46600000000001</v>
      </c>
      <c r="E957" s="44">
        <v>812.32899999999995</v>
      </c>
      <c r="F957" s="38">
        <v>1274</v>
      </c>
      <c r="G957" s="38">
        <v>75</v>
      </c>
      <c r="H957" s="46">
        <v>600</v>
      </c>
      <c r="I957" s="38">
        <v>695</v>
      </c>
      <c r="J957" s="38">
        <v>50</v>
      </c>
      <c r="K957" s="39"/>
      <c r="L957" s="39"/>
      <c r="M957" s="39"/>
      <c r="N957" s="39"/>
      <c r="O957" s="39"/>
      <c r="P957" s="39"/>
      <c r="Q957" s="39"/>
      <c r="R957" s="39"/>
      <c r="S957" s="39"/>
      <c r="T957" s="39"/>
    </row>
    <row r="958" spans="1:20" ht="15.75">
      <c r="A958" s="13">
        <v>70310</v>
      </c>
      <c r="B958" s="47">
        <f t="shared" si="5"/>
        <v>30</v>
      </c>
      <c r="C958" s="38">
        <v>194.20500000000001</v>
      </c>
      <c r="D958" s="38">
        <v>267.46600000000001</v>
      </c>
      <c r="E958" s="44">
        <v>812.32899999999995</v>
      </c>
      <c r="F958" s="38">
        <v>1274</v>
      </c>
      <c r="G958" s="38">
        <v>50</v>
      </c>
      <c r="H958" s="46">
        <v>600</v>
      </c>
      <c r="I958" s="38">
        <v>695</v>
      </c>
      <c r="J958" s="38">
        <v>50</v>
      </c>
      <c r="K958" s="39"/>
      <c r="L958" s="39"/>
      <c r="M958" s="39"/>
      <c r="N958" s="39"/>
      <c r="O958" s="39"/>
      <c r="P958" s="39"/>
      <c r="Q958" s="39"/>
      <c r="R958" s="39"/>
      <c r="S958" s="39"/>
      <c r="T958" s="39"/>
    </row>
    <row r="959" spans="1:20" ht="15.75">
      <c r="A959" s="13">
        <v>70341</v>
      </c>
      <c r="B959" s="47">
        <f t="shared" si="5"/>
        <v>31</v>
      </c>
      <c r="C959" s="38">
        <v>194.20500000000001</v>
      </c>
      <c r="D959" s="38">
        <v>267.46600000000001</v>
      </c>
      <c r="E959" s="44">
        <v>812.32899999999995</v>
      </c>
      <c r="F959" s="38">
        <v>1274</v>
      </c>
      <c r="G959" s="38">
        <v>50</v>
      </c>
      <c r="H959" s="46">
        <v>600</v>
      </c>
      <c r="I959" s="38">
        <v>695</v>
      </c>
      <c r="J959" s="38">
        <v>0</v>
      </c>
      <c r="K959" s="39"/>
      <c r="L959" s="39"/>
      <c r="M959" s="39"/>
      <c r="N959" s="39"/>
      <c r="O959" s="39"/>
      <c r="P959" s="39"/>
      <c r="Q959" s="39"/>
      <c r="R959" s="39"/>
      <c r="S959" s="39"/>
      <c r="T959" s="39"/>
    </row>
    <row r="960" spans="1:20" ht="15.75">
      <c r="A960" s="13">
        <v>70372</v>
      </c>
      <c r="B960" s="47">
        <f t="shared" si="5"/>
        <v>31</v>
      </c>
      <c r="C960" s="38">
        <v>194.20500000000001</v>
      </c>
      <c r="D960" s="38">
        <v>267.46600000000001</v>
      </c>
      <c r="E960" s="44">
        <v>812.32899999999995</v>
      </c>
      <c r="F960" s="38">
        <v>1274</v>
      </c>
      <c r="G960" s="38">
        <v>50</v>
      </c>
      <c r="H960" s="46">
        <v>600</v>
      </c>
      <c r="I960" s="38">
        <v>695</v>
      </c>
      <c r="J960" s="38">
        <v>0</v>
      </c>
      <c r="K960" s="39"/>
      <c r="L960" s="39"/>
      <c r="M960" s="39"/>
      <c r="N960" s="39"/>
      <c r="O960" s="39"/>
      <c r="P960" s="39"/>
      <c r="Q960" s="39"/>
      <c r="R960" s="39"/>
      <c r="S960" s="39"/>
      <c r="T960" s="39"/>
    </row>
    <row r="961" spans="1:20" ht="15.75">
      <c r="A961" s="13">
        <v>70402</v>
      </c>
      <c r="B961" s="47">
        <f t="shared" si="5"/>
        <v>30</v>
      </c>
      <c r="C961" s="38">
        <v>194.20500000000001</v>
      </c>
      <c r="D961" s="38">
        <v>267.46600000000001</v>
      </c>
      <c r="E961" s="44">
        <v>812.32899999999995</v>
      </c>
      <c r="F961" s="38">
        <v>1274</v>
      </c>
      <c r="G961" s="38">
        <v>50</v>
      </c>
      <c r="H961" s="46">
        <v>600</v>
      </c>
      <c r="I961" s="38">
        <v>695</v>
      </c>
      <c r="J961" s="38">
        <v>0</v>
      </c>
      <c r="K961" s="39"/>
      <c r="L961" s="39"/>
      <c r="M961" s="39"/>
      <c r="N961" s="39"/>
      <c r="O961" s="39"/>
      <c r="P961" s="39"/>
      <c r="Q961" s="39"/>
      <c r="R961" s="39"/>
      <c r="S961" s="39"/>
      <c r="T961" s="39"/>
    </row>
    <row r="962" spans="1:20" ht="15.75">
      <c r="A962" s="13">
        <v>70433</v>
      </c>
      <c r="B962" s="47">
        <f t="shared" si="5"/>
        <v>31</v>
      </c>
      <c r="C962" s="38">
        <v>131.881</v>
      </c>
      <c r="D962" s="38">
        <v>277.16699999999997</v>
      </c>
      <c r="E962" s="44">
        <v>829.952</v>
      </c>
      <c r="F962" s="38">
        <v>1239</v>
      </c>
      <c r="G962" s="38">
        <v>75</v>
      </c>
      <c r="H962" s="46">
        <v>600</v>
      </c>
      <c r="I962" s="38">
        <v>695</v>
      </c>
      <c r="J962" s="38">
        <v>0</v>
      </c>
      <c r="K962" s="39"/>
      <c r="L962" s="39"/>
      <c r="M962" s="39"/>
      <c r="N962" s="39"/>
      <c r="O962" s="39"/>
      <c r="P962" s="39"/>
      <c r="Q962" s="39"/>
      <c r="R962" s="39"/>
      <c r="S962" s="39"/>
      <c r="T962" s="39"/>
    </row>
    <row r="963" spans="1:20" ht="15.75">
      <c r="A963" s="13">
        <v>70463</v>
      </c>
      <c r="B963" s="47">
        <f t="shared" si="5"/>
        <v>30</v>
      </c>
      <c r="C963" s="38">
        <v>122.58</v>
      </c>
      <c r="D963" s="38">
        <v>297.94099999999997</v>
      </c>
      <c r="E963" s="44">
        <v>729.47900000000004</v>
      </c>
      <c r="F963" s="38">
        <v>1150</v>
      </c>
      <c r="G963" s="38">
        <v>100</v>
      </c>
      <c r="H963" s="46">
        <v>600</v>
      </c>
      <c r="I963" s="38">
        <v>695</v>
      </c>
      <c r="J963" s="38">
        <v>50</v>
      </c>
      <c r="K963" s="39"/>
      <c r="L963" s="39"/>
      <c r="M963" s="39"/>
      <c r="N963" s="39"/>
      <c r="O963" s="39"/>
      <c r="P963" s="39"/>
      <c r="Q963" s="39"/>
      <c r="R963" s="39"/>
      <c r="S963" s="39"/>
      <c r="T963" s="39"/>
    </row>
    <row r="964" spans="1:20" ht="15.75">
      <c r="A964" s="13">
        <v>70494</v>
      </c>
      <c r="B964" s="47">
        <f t="shared" si="5"/>
        <v>31</v>
      </c>
      <c r="C964" s="38">
        <v>122.58</v>
      </c>
      <c r="D964" s="38">
        <v>297.94099999999997</v>
      </c>
      <c r="E964" s="44">
        <v>729.47900000000004</v>
      </c>
      <c r="F964" s="38">
        <v>1150</v>
      </c>
      <c r="G964" s="38">
        <v>100</v>
      </c>
      <c r="H964" s="46">
        <v>600</v>
      </c>
      <c r="I964" s="38">
        <v>695</v>
      </c>
      <c r="J964" s="38">
        <v>50</v>
      </c>
      <c r="K964" s="39"/>
      <c r="L964" s="39"/>
      <c r="M964" s="39"/>
      <c r="N964" s="39"/>
      <c r="O964" s="39"/>
      <c r="P964" s="39"/>
      <c r="Q964" s="39"/>
      <c r="R964" s="39"/>
      <c r="S964" s="39"/>
      <c r="T964" s="39"/>
    </row>
    <row r="965" spans="1:20" ht="15.75">
      <c r="A965" s="13">
        <v>70525</v>
      </c>
      <c r="B965" s="47">
        <f t="shared" si="5"/>
        <v>31</v>
      </c>
      <c r="C965" s="38">
        <v>122.58</v>
      </c>
      <c r="D965" s="38">
        <v>297.94099999999997</v>
      </c>
      <c r="E965" s="44">
        <v>729.47900000000004</v>
      </c>
      <c r="F965" s="38">
        <v>1150</v>
      </c>
      <c r="G965" s="38">
        <v>100</v>
      </c>
      <c r="H965" s="46">
        <v>600</v>
      </c>
      <c r="I965" s="38">
        <v>695</v>
      </c>
      <c r="J965" s="38">
        <v>50</v>
      </c>
      <c r="K965" s="39"/>
      <c r="L965" s="39"/>
      <c r="M965" s="39"/>
      <c r="N965" s="39"/>
      <c r="O965" s="39"/>
      <c r="P965" s="39"/>
      <c r="Q965" s="39"/>
      <c r="R965" s="39"/>
      <c r="S965" s="39"/>
      <c r="T965" s="39"/>
    </row>
    <row r="966" spans="1:20" ht="15.75">
      <c r="A966" s="13">
        <v>70553</v>
      </c>
      <c r="B966" s="47">
        <f t="shared" si="5"/>
        <v>28</v>
      </c>
      <c r="C966" s="38">
        <v>122.58</v>
      </c>
      <c r="D966" s="38">
        <v>297.94099999999997</v>
      </c>
      <c r="E966" s="44">
        <v>729.47900000000004</v>
      </c>
      <c r="F966" s="38">
        <v>1150</v>
      </c>
      <c r="G966" s="38">
        <v>100</v>
      </c>
      <c r="H966" s="46">
        <v>600</v>
      </c>
      <c r="I966" s="38">
        <v>695</v>
      </c>
      <c r="J966" s="38">
        <v>50</v>
      </c>
      <c r="K966" s="39"/>
      <c r="L966" s="39"/>
      <c r="M966" s="39"/>
      <c r="N966" s="39"/>
      <c r="O966" s="39"/>
      <c r="P966" s="39"/>
      <c r="Q966" s="39"/>
      <c r="R966" s="39"/>
      <c r="S966" s="39"/>
      <c r="T966" s="39"/>
    </row>
    <row r="967" spans="1:20" ht="15.75">
      <c r="A967" s="13">
        <v>70584</v>
      </c>
      <c r="B967" s="47">
        <f t="shared" si="5"/>
        <v>31</v>
      </c>
      <c r="C967" s="38">
        <v>122.58</v>
      </c>
      <c r="D967" s="38">
        <v>297.94099999999997</v>
      </c>
      <c r="E967" s="44">
        <v>729.47900000000004</v>
      </c>
      <c r="F967" s="38">
        <v>1150</v>
      </c>
      <c r="G967" s="38">
        <v>100</v>
      </c>
      <c r="H967" s="46">
        <v>600</v>
      </c>
      <c r="I967" s="38">
        <v>695</v>
      </c>
      <c r="J967" s="38">
        <v>50</v>
      </c>
      <c r="K967" s="39"/>
      <c r="L967" s="39"/>
      <c r="M967" s="39"/>
      <c r="N967" s="39"/>
      <c r="O967" s="39"/>
      <c r="P967" s="39"/>
      <c r="Q967" s="39"/>
      <c r="R967" s="39"/>
      <c r="S967" s="39"/>
      <c r="T967" s="39"/>
    </row>
    <row r="968" spans="1:20" ht="15.75">
      <c r="A968" s="13">
        <v>70614</v>
      </c>
      <c r="B968" s="47">
        <f t="shared" si="5"/>
        <v>30</v>
      </c>
      <c r="C968" s="38">
        <v>141.29300000000001</v>
      </c>
      <c r="D968" s="38">
        <v>267.99299999999999</v>
      </c>
      <c r="E968" s="44">
        <v>829.71400000000006</v>
      </c>
      <c r="F968" s="38">
        <v>1239</v>
      </c>
      <c r="G968" s="38">
        <v>100</v>
      </c>
      <c r="H968" s="46">
        <v>600</v>
      </c>
      <c r="I968" s="38">
        <v>695</v>
      </c>
      <c r="J968" s="38">
        <v>50</v>
      </c>
      <c r="K968" s="39"/>
      <c r="L968" s="39"/>
      <c r="M968" s="39"/>
      <c r="N968" s="39"/>
      <c r="O968" s="39"/>
      <c r="P968" s="39"/>
      <c r="Q968" s="39"/>
      <c r="R968" s="39"/>
      <c r="S968" s="39"/>
      <c r="T968" s="39"/>
    </row>
    <row r="969" spans="1:20" ht="15.75">
      <c r="A969" s="13">
        <v>70645</v>
      </c>
      <c r="B969" s="47">
        <f t="shared" si="5"/>
        <v>31</v>
      </c>
      <c r="C969" s="38">
        <v>194.20500000000001</v>
      </c>
      <c r="D969" s="38">
        <v>267.46600000000001</v>
      </c>
      <c r="E969" s="44">
        <v>812.32899999999995</v>
      </c>
      <c r="F969" s="38">
        <v>1274</v>
      </c>
      <c r="G969" s="38">
        <v>75</v>
      </c>
      <c r="H969" s="46">
        <v>600</v>
      </c>
      <c r="I969" s="38">
        <v>695</v>
      </c>
      <c r="J969" s="38">
        <v>50</v>
      </c>
      <c r="K969" s="39"/>
      <c r="L969" s="39"/>
      <c r="M969" s="39"/>
      <c r="N969" s="39"/>
      <c r="O969" s="39"/>
      <c r="P969" s="39"/>
      <c r="Q969" s="39"/>
      <c r="R969" s="39"/>
      <c r="S969" s="39"/>
      <c r="T969" s="39"/>
    </row>
    <row r="970" spans="1:20" ht="15.75">
      <c r="A970" s="13">
        <v>70675</v>
      </c>
      <c r="B970" s="47">
        <f t="shared" si="5"/>
        <v>30</v>
      </c>
      <c r="C970" s="38">
        <v>194.20500000000001</v>
      </c>
      <c r="D970" s="38">
        <v>267.46600000000001</v>
      </c>
      <c r="E970" s="44">
        <v>812.32899999999995</v>
      </c>
      <c r="F970" s="38">
        <v>1274</v>
      </c>
      <c r="G970" s="38">
        <v>50</v>
      </c>
      <c r="H970" s="46">
        <v>600</v>
      </c>
      <c r="I970" s="38">
        <v>695</v>
      </c>
      <c r="J970" s="38">
        <v>50</v>
      </c>
      <c r="K970" s="39"/>
      <c r="L970" s="39"/>
      <c r="M970" s="39"/>
      <c r="N970" s="39"/>
      <c r="O970" s="39"/>
      <c r="P970" s="39"/>
      <c r="Q970" s="39"/>
      <c r="R970" s="39"/>
      <c r="S970" s="39"/>
      <c r="T970" s="39"/>
    </row>
    <row r="971" spans="1:20" ht="15.75">
      <c r="A971" s="13">
        <v>70706</v>
      </c>
      <c r="B971" s="47">
        <f t="shared" si="5"/>
        <v>31</v>
      </c>
      <c r="C971" s="38">
        <v>194.20500000000001</v>
      </c>
      <c r="D971" s="38">
        <v>267.46600000000001</v>
      </c>
      <c r="E971" s="44">
        <v>812.32899999999995</v>
      </c>
      <c r="F971" s="38">
        <v>1274</v>
      </c>
      <c r="G971" s="38">
        <v>50</v>
      </c>
      <c r="H971" s="46">
        <v>600</v>
      </c>
      <c r="I971" s="38">
        <v>695</v>
      </c>
      <c r="J971" s="38">
        <v>0</v>
      </c>
      <c r="K971" s="39"/>
      <c r="L971" s="39"/>
      <c r="M971" s="39"/>
      <c r="N971" s="39"/>
      <c r="O971" s="39"/>
      <c r="P971" s="39"/>
      <c r="Q971" s="39"/>
      <c r="R971" s="39"/>
      <c r="S971" s="39"/>
      <c r="T971" s="39"/>
    </row>
    <row r="972" spans="1:20" ht="15.75">
      <c r="A972" s="13">
        <v>70737</v>
      </c>
      <c r="B972" s="47">
        <f t="shared" si="5"/>
        <v>31</v>
      </c>
      <c r="C972" s="38">
        <v>194.20500000000001</v>
      </c>
      <c r="D972" s="38">
        <v>267.46600000000001</v>
      </c>
      <c r="E972" s="44">
        <v>812.32899999999995</v>
      </c>
      <c r="F972" s="38">
        <v>1274</v>
      </c>
      <c r="G972" s="38">
        <v>50</v>
      </c>
      <c r="H972" s="46">
        <v>600</v>
      </c>
      <c r="I972" s="38">
        <v>695</v>
      </c>
      <c r="J972" s="38">
        <v>0</v>
      </c>
      <c r="K972" s="39"/>
      <c r="L972" s="39"/>
      <c r="M972" s="39"/>
      <c r="N972" s="39"/>
      <c r="O972" s="39"/>
      <c r="P972" s="39"/>
      <c r="Q972" s="39"/>
      <c r="R972" s="39"/>
      <c r="S972" s="39"/>
      <c r="T972" s="39"/>
    </row>
    <row r="973" spans="1:20" ht="15.75">
      <c r="A973" s="13">
        <v>70767</v>
      </c>
      <c r="B973" s="47">
        <f t="shared" si="5"/>
        <v>30</v>
      </c>
      <c r="C973" s="38">
        <v>194.20500000000001</v>
      </c>
      <c r="D973" s="38">
        <v>267.46600000000001</v>
      </c>
      <c r="E973" s="44">
        <v>812.32899999999995</v>
      </c>
      <c r="F973" s="38">
        <v>1274</v>
      </c>
      <c r="G973" s="38">
        <v>50</v>
      </c>
      <c r="H973" s="46">
        <v>600</v>
      </c>
      <c r="I973" s="38">
        <v>695</v>
      </c>
      <c r="J973" s="38">
        <v>0</v>
      </c>
      <c r="K973" s="39"/>
      <c r="L973" s="39"/>
      <c r="M973" s="39"/>
      <c r="N973" s="39"/>
      <c r="O973" s="39"/>
      <c r="P973" s="39"/>
      <c r="Q973" s="39"/>
      <c r="R973" s="39"/>
      <c r="S973" s="39"/>
      <c r="T973" s="39"/>
    </row>
    <row r="974" spans="1:20" ht="15.75">
      <c r="A974" s="13">
        <v>70798</v>
      </c>
      <c r="B974" s="47">
        <f t="shared" si="5"/>
        <v>31</v>
      </c>
      <c r="C974" s="38">
        <v>131.881</v>
      </c>
      <c r="D974" s="38">
        <v>277.16699999999997</v>
      </c>
      <c r="E974" s="44">
        <v>829.952</v>
      </c>
      <c r="F974" s="38">
        <v>1239</v>
      </c>
      <c r="G974" s="38">
        <v>75</v>
      </c>
      <c r="H974" s="46">
        <v>600</v>
      </c>
      <c r="I974" s="38">
        <v>695</v>
      </c>
      <c r="J974" s="38">
        <v>0</v>
      </c>
      <c r="K974" s="39"/>
      <c r="L974" s="39"/>
      <c r="M974" s="39"/>
      <c r="N974" s="39"/>
      <c r="O974" s="39"/>
      <c r="P974" s="39"/>
      <c r="Q974" s="39"/>
      <c r="R974" s="39"/>
      <c r="S974" s="39"/>
      <c r="T974" s="39"/>
    </row>
    <row r="975" spans="1:20" ht="15.75">
      <c r="A975" s="13">
        <v>70828</v>
      </c>
      <c r="B975" s="47">
        <f t="shared" si="5"/>
        <v>30</v>
      </c>
      <c r="C975" s="38">
        <v>122.58</v>
      </c>
      <c r="D975" s="38">
        <v>297.94099999999997</v>
      </c>
      <c r="E975" s="44">
        <v>729.47900000000004</v>
      </c>
      <c r="F975" s="38">
        <v>1150</v>
      </c>
      <c r="G975" s="38">
        <v>100</v>
      </c>
      <c r="H975" s="46">
        <v>600</v>
      </c>
      <c r="I975" s="38">
        <v>695</v>
      </c>
      <c r="J975" s="38">
        <v>50</v>
      </c>
      <c r="K975" s="39"/>
      <c r="L975" s="39"/>
      <c r="M975" s="39"/>
      <c r="N975" s="39"/>
      <c r="O975" s="39"/>
      <c r="P975" s="39"/>
      <c r="Q975" s="39"/>
      <c r="R975" s="39"/>
      <c r="S975" s="39"/>
      <c r="T975" s="39"/>
    </row>
    <row r="976" spans="1:20" ht="15.75">
      <c r="A976" s="13">
        <v>70859</v>
      </c>
      <c r="B976" s="47">
        <f t="shared" si="5"/>
        <v>31</v>
      </c>
      <c r="C976" s="38">
        <v>122.58</v>
      </c>
      <c r="D976" s="38">
        <v>297.94099999999997</v>
      </c>
      <c r="E976" s="44">
        <v>729.47900000000004</v>
      </c>
      <c r="F976" s="38">
        <v>1150</v>
      </c>
      <c r="G976" s="38">
        <v>100</v>
      </c>
      <c r="H976" s="46">
        <v>600</v>
      </c>
      <c r="I976" s="38">
        <v>695</v>
      </c>
      <c r="J976" s="38">
        <v>50</v>
      </c>
      <c r="K976" s="39"/>
      <c r="L976" s="39"/>
      <c r="M976" s="39"/>
      <c r="N976" s="39"/>
      <c r="O976" s="39"/>
      <c r="P976" s="39"/>
      <c r="Q976" s="39"/>
      <c r="R976" s="39"/>
      <c r="S976" s="39"/>
      <c r="T976" s="39"/>
    </row>
    <row r="977" spans="1:20" ht="15.75">
      <c r="A977" s="13">
        <v>70890</v>
      </c>
      <c r="B977" s="47">
        <f t="shared" ref="B977:B1040" si="6">EOMONTH(A977,0)-EOMONTH(A977,-1)</f>
        <v>31</v>
      </c>
      <c r="C977" s="38">
        <v>122.58</v>
      </c>
      <c r="D977" s="38">
        <v>297.94099999999997</v>
      </c>
      <c r="E977" s="44">
        <v>729.47900000000004</v>
      </c>
      <c r="F977" s="38">
        <v>1150</v>
      </c>
      <c r="G977" s="38">
        <v>100</v>
      </c>
      <c r="H977" s="46">
        <v>600</v>
      </c>
      <c r="I977" s="38">
        <v>695</v>
      </c>
      <c r="J977" s="38">
        <v>50</v>
      </c>
      <c r="K977" s="39"/>
      <c r="L977" s="39"/>
      <c r="M977" s="39"/>
      <c r="N977" s="39"/>
      <c r="O977" s="39"/>
      <c r="P977" s="39"/>
      <c r="Q977" s="39"/>
      <c r="R977" s="39"/>
      <c r="S977" s="39"/>
      <c r="T977" s="39"/>
    </row>
    <row r="978" spans="1:20" ht="15.75">
      <c r="A978" s="13">
        <v>70918</v>
      </c>
      <c r="B978" s="47">
        <f t="shared" si="6"/>
        <v>28</v>
      </c>
      <c r="C978" s="38">
        <v>122.58</v>
      </c>
      <c r="D978" s="38">
        <v>297.94099999999997</v>
      </c>
      <c r="E978" s="44">
        <v>729.47900000000004</v>
      </c>
      <c r="F978" s="38">
        <v>1150</v>
      </c>
      <c r="G978" s="38">
        <v>100</v>
      </c>
      <c r="H978" s="46">
        <v>600</v>
      </c>
      <c r="I978" s="38">
        <v>695</v>
      </c>
      <c r="J978" s="38">
        <v>50</v>
      </c>
      <c r="K978" s="39"/>
      <c r="L978" s="39"/>
      <c r="M978" s="39"/>
      <c r="N978" s="39"/>
      <c r="O978" s="39"/>
      <c r="P978" s="39"/>
      <c r="Q978" s="39"/>
      <c r="R978" s="39"/>
      <c r="S978" s="39"/>
      <c r="T978" s="39"/>
    </row>
    <row r="979" spans="1:20" ht="15.75">
      <c r="A979" s="13">
        <v>70949</v>
      </c>
      <c r="B979" s="47">
        <f t="shared" si="6"/>
        <v>31</v>
      </c>
      <c r="C979" s="38">
        <v>122.58</v>
      </c>
      <c r="D979" s="38">
        <v>297.94099999999997</v>
      </c>
      <c r="E979" s="44">
        <v>729.47900000000004</v>
      </c>
      <c r="F979" s="38">
        <v>1150</v>
      </c>
      <c r="G979" s="38">
        <v>100</v>
      </c>
      <c r="H979" s="46">
        <v>600</v>
      </c>
      <c r="I979" s="38">
        <v>695</v>
      </c>
      <c r="J979" s="38">
        <v>50</v>
      </c>
      <c r="K979" s="39"/>
      <c r="L979" s="39"/>
      <c r="M979" s="39"/>
      <c r="N979" s="39"/>
      <c r="O979" s="39"/>
      <c r="P979" s="39"/>
      <c r="Q979" s="39"/>
      <c r="R979" s="39"/>
      <c r="S979" s="39"/>
      <c r="T979" s="39"/>
    </row>
    <row r="980" spans="1:20" ht="15.75">
      <c r="A980" s="13">
        <v>70979</v>
      </c>
      <c r="B980" s="47">
        <f t="shared" si="6"/>
        <v>30</v>
      </c>
      <c r="C980" s="38">
        <v>141.29300000000001</v>
      </c>
      <c r="D980" s="38">
        <v>267.99299999999999</v>
      </c>
      <c r="E980" s="44">
        <v>829.71400000000006</v>
      </c>
      <c r="F980" s="38">
        <v>1239</v>
      </c>
      <c r="G980" s="38">
        <v>100</v>
      </c>
      <c r="H980" s="46">
        <v>600</v>
      </c>
      <c r="I980" s="38">
        <v>695</v>
      </c>
      <c r="J980" s="38">
        <v>50</v>
      </c>
      <c r="K980" s="39"/>
      <c r="L980" s="39"/>
      <c r="M980" s="39"/>
      <c r="N980" s="39"/>
      <c r="O980" s="39"/>
      <c r="P980" s="39"/>
      <c r="Q980" s="39"/>
      <c r="R980" s="39"/>
      <c r="S980" s="39"/>
      <c r="T980" s="39"/>
    </row>
    <row r="981" spans="1:20" ht="15.75">
      <c r="A981" s="13">
        <v>71010</v>
      </c>
      <c r="B981" s="47">
        <f t="shared" si="6"/>
        <v>31</v>
      </c>
      <c r="C981" s="38">
        <v>194.20500000000001</v>
      </c>
      <c r="D981" s="38">
        <v>267.46600000000001</v>
      </c>
      <c r="E981" s="44">
        <v>812.32899999999995</v>
      </c>
      <c r="F981" s="38">
        <v>1274</v>
      </c>
      <c r="G981" s="38">
        <v>75</v>
      </c>
      <c r="H981" s="46">
        <v>600</v>
      </c>
      <c r="I981" s="38">
        <v>695</v>
      </c>
      <c r="J981" s="38">
        <v>50</v>
      </c>
      <c r="K981" s="39"/>
      <c r="L981" s="39"/>
      <c r="M981" s="39"/>
      <c r="N981" s="39"/>
      <c r="O981" s="39"/>
      <c r="P981" s="39"/>
      <c r="Q981" s="39"/>
      <c r="R981" s="39"/>
      <c r="S981" s="39"/>
      <c r="T981" s="39"/>
    </row>
    <row r="982" spans="1:20" ht="15.75">
      <c r="A982" s="13">
        <v>71040</v>
      </c>
      <c r="B982" s="47">
        <f t="shared" si="6"/>
        <v>30</v>
      </c>
      <c r="C982" s="38">
        <v>194.20500000000001</v>
      </c>
      <c r="D982" s="38">
        <v>267.46600000000001</v>
      </c>
      <c r="E982" s="44">
        <v>812.32899999999995</v>
      </c>
      <c r="F982" s="38">
        <v>1274</v>
      </c>
      <c r="G982" s="38">
        <v>50</v>
      </c>
      <c r="H982" s="46">
        <v>600</v>
      </c>
      <c r="I982" s="38">
        <v>695</v>
      </c>
      <c r="J982" s="38">
        <v>50</v>
      </c>
      <c r="K982" s="39"/>
      <c r="L982" s="39"/>
      <c r="M982" s="39"/>
      <c r="N982" s="39"/>
      <c r="O982" s="39"/>
      <c r="P982" s="39"/>
      <c r="Q982" s="39"/>
      <c r="R982" s="39"/>
      <c r="S982" s="39"/>
      <c r="T982" s="39"/>
    </row>
    <row r="983" spans="1:20" ht="15.75">
      <c r="A983" s="13">
        <v>71071</v>
      </c>
      <c r="B983" s="47">
        <f t="shared" si="6"/>
        <v>31</v>
      </c>
      <c r="C983" s="38">
        <v>194.20500000000001</v>
      </c>
      <c r="D983" s="38">
        <v>267.46600000000001</v>
      </c>
      <c r="E983" s="44">
        <v>812.32899999999995</v>
      </c>
      <c r="F983" s="38">
        <v>1274</v>
      </c>
      <c r="G983" s="38">
        <v>50</v>
      </c>
      <c r="H983" s="46">
        <v>600</v>
      </c>
      <c r="I983" s="38">
        <v>695</v>
      </c>
      <c r="J983" s="38">
        <v>0</v>
      </c>
      <c r="K983" s="39"/>
      <c r="L983" s="39"/>
      <c r="M983" s="39"/>
      <c r="N983" s="39"/>
      <c r="O983" s="39"/>
      <c r="P983" s="39"/>
      <c r="Q983" s="39"/>
      <c r="R983" s="39"/>
      <c r="S983" s="39"/>
      <c r="T983" s="39"/>
    </row>
    <row r="984" spans="1:20" ht="15.75">
      <c r="A984" s="13">
        <v>71102</v>
      </c>
      <c r="B984" s="47">
        <f t="shared" si="6"/>
        <v>31</v>
      </c>
      <c r="C984" s="38">
        <v>194.20500000000001</v>
      </c>
      <c r="D984" s="38">
        <v>267.46600000000001</v>
      </c>
      <c r="E984" s="44">
        <v>812.32899999999995</v>
      </c>
      <c r="F984" s="38">
        <v>1274</v>
      </c>
      <c r="G984" s="38">
        <v>50</v>
      </c>
      <c r="H984" s="46">
        <v>600</v>
      </c>
      <c r="I984" s="38">
        <v>695</v>
      </c>
      <c r="J984" s="38">
        <v>0</v>
      </c>
      <c r="K984" s="39"/>
      <c r="L984" s="39"/>
      <c r="M984" s="39"/>
      <c r="N984" s="39"/>
      <c r="O984" s="39"/>
      <c r="P984" s="39"/>
      <c r="Q984" s="39"/>
      <c r="R984" s="39"/>
      <c r="S984" s="39"/>
      <c r="T984" s="39"/>
    </row>
    <row r="985" spans="1:20" ht="15.75">
      <c r="A985" s="13">
        <v>71132</v>
      </c>
      <c r="B985" s="47">
        <f t="shared" si="6"/>
        <v>30</v>
      </c>
      <c r="C985" s="38">
        <v>194.20500000000001</v>
      </c>
      <c r="D985" s="38">
        <v>267.46600000000001</v>
      </c>
      <c r="E985" s="44">
        <v>812.32899999999995</v>
      </c>
      <c r="F985" s="38">
        <v>1274</v>
      </c>
      <c r="G985" s="38">
        <v>50</v>
      </c>
      <c r="H985" s="46">
        <v>600</v>
      </c>
      <c r="I985" s="38">
        <v>695</v>
      </c>
      <c r="J985" s="38">
        <v>0</v>
      </c>
      <c r="K985" s="39"/>
      <c r="L985" s="39"/>
      <c r="M985" s="39"/>
      <c r="N985" s="39"/>
      <c r="O985" s="39"/>
      <c r="P985" s="39"/>
      <c r="Q985" s="39"/>
      <c r="R985" s="39"/>
      <c r="S985" s="39"/>
      <c r="T985" s="39"/>
    </row>
    <row r="986" spans="1:20" ht="15.75">
      <c r="A986" s="13">
        <v>71163</v>
      </c>
      <c r="B986" s="47">
        <f t="shared" si="6"/>
        <v>31</v>
      </c>
      <c r="C986" s="38">
        <v>131.881</v>
      </c>
      <c r="D986" s="38">
        <v>277.16699999999997</v>
      </c>
      <c r="E986" s="44">
        <v>829.952</v>
      </c>
      <c r="F986" s="38">
        <v>1239</v>
      </c>
      <c r="G986" s="38">
        <v>75</v>
      </c>
      <c r="H986" s="46">
        <v>600</v>
      </c>
      <c r="I986" s="38">
        <v>695</v>
      </c>
      <c r="J986" s="38">
        <v>0</v>
      </c>
      <c r="K986" s="39"/>
      <c r="L986" s="39"/>
      <c r="M986" s="39"/>
      <c r="N986" s="39"/>
      <c r="O986" s="39"/>
      <c r="P986" s="39"/>
      <c r="Q986" s="39"/>
      <c r="R986" s="39"/>
      <c r="S986" s="39"/>
      <c r="T986" s="39"/>
    </row>
    <row r="987" spans="1:20" ht="15.75">
      <c r="A987" s="13">
        <v>71193</v>
      </c>
      <c r="B987" s="47">
        <f t="shared" si="6"/>
        <v>30</v>
      </c>
      <c r="C987" s="38">
        <v>122.58</v>
      </c>
      <c r="D987" s="38">
        <v>297.94099999999997</v>
      </c>
      <c r="E987" s="44">
        <v>729.47900000000004</v>
      </c>
      <c r="F987" s="38">
        <v>1150</v>
      </c>
      <c r="G987" s="38">
        <v>100</v>
      </c>
      <c r="H987" s="46">
        <v>600</v>
      </c>
      <c r="I987" s="38">
        <v>695</v>
      </c>
      <c r="J987" s="38">
        <v>50</v>
      </c>
      <c r="K987" s="39"/>
      <c r="L987" s="39"/>
      <c r="M987" s="39"/>
      <c r="N987" s="39"/>
      <c r="O987" s="39"/>
      <c r="P987" s="39"/>
      <c r="Q987" s="39"/>
      <c r="R987" s="39"/>
      <c r="S987" s="39"/>
      <c r="T987" s="39"/>
    </row>
    <row r="988" spans="1:20" ht="15.75">
      <c r="A988" s="13">
        <v>71224</v>
      </c>
      <c r="B988" s="47">
        <f t="shared" si="6"/>
        <v>31</v>
      </c>
      <c r="C988" s="38">
        <v>122.58</v>
      </c>
      <c r="D988" s="38">
        <v>297.94099999999997</v>
      </c>
      <c r="E988" s="44">
        <v>729.47900000000004</v>
      </c>
      <c r="F988" s="38">
        <v>1150</v>
      </c>
      <c r="G988" s="38">
        <v>100</v>
      </c>
      <c r="H988" s="46">
        <v>600</v>
      </c>
      <c r="I988" s="38">
        <v>695</v>
      </c>
      <c r="J988" s="38">
        <v>50</v>
      </c>
      <c r="K988" s="39"/>
      <c r="L988" s="39"/>
      <c r="M988" s="39"/>
      <c r="N988" s="39"/>
      <c r="O988" s="39"/>
      <c r="P988" s="39"/>
      <c r="Q988" s="39"/>
      <c r="R988" s="39"/>
      <c r="S988" s="39"/>
      <c r="T988" s="39"/>
    </row>
    <row r="989" spans="1:20" ht="15.75">
      <c r="A989" s="13">
        <v>71255</v>
      </c>
      <c r="B989" s="47">
        <f t="shared" si="6"/>
        <v>31</v>
      </c>
      <c r="C989" s="38">
        <v>122.58</v>
      </c>
      <c r="D989" s="38">
        <v>297.94099999999997</v>
      </c>
      <c r="E989" s="44">
        <v>729.47900000000004</v>
      </c>
      <c r="F989" s="38">
        <v>1150</v>
      </c>
      <c r="G989" s="38">
        <v>100</v>
      </c>
      <c r="H989" s="46">
        <v>600</v>
      </c>
      <c r="I989" s="38">
        <v>695</v>
      </c>
      <c r="J989" s="38">
        <v>50</v>
      </c>
      <c r="K989" s="39"/>
      <c r="L989" s="39"/>
      <c r="M989" s="39"/>
      <c r="N989" s="39"/>
      <c r="O989" s="39"/>
      <c r="P989" s="39"/>
      <c r="Q989" s="39"/>
      <c r="R989" s="39"/>
      <c r="S989" s="39"/>
      <c r="T989" s="39"/>
    </row>
    <row r="990" spans="1:20" ht="15.75">
      <c r="A990" s="13">
        <v>71283</v>
      </c>
      <c r="B990" s="47">
        <f t="shared" si="6"/>
        <v>28</v>
      </c>
      <c r="C990" s="38">
        <v>122.58</v>
      </c>
      <c r="D990" s="38">
        <v>297.94099999999997</v>
      </c>
      <c r="E990" s="44">
        <v>729.47900000000004</v>
      </c>
      <c r="F990" s="38">
        <v>1150</v>
      </c>
      <c r="G990" s="38">
        <v>100</v>
      </c>
      <c r="H990" s="46">
        <v>600</v>
      </c>
      <c r="I990" s="38">
        <v>695</v>
      </c>
      <c r="J990" s="38">
        <v>50</v>
      </c>
      <c r="K990" s="39"/>
      <c r="L990" s="39"/>
      <c r="M990" s="39"/>
      <c r="N990" s="39"/>
      <c r="O990" s="39"/>
      <c r="P990" s="39"/>
      <c r="Q990" s="39"/>
      <c r="R990" s="39"/>
      <c r="S990" s="39"/>
      <c r="T990" s="39"/>
    </row>
    <row r="991" spans="1:20" ht="15.75">
      <c r="A991" s="13">
        <v>71314</v>
      </c>
      <c r="B991" s="47">
        <f t="shared" si="6"/>
        <v>31</v>
      </c>
      <c r="C991" s="38">
        <v>122.58</v>
      </c>
      <c r="D991" s="38">
        <v>297.94099999999997</v>
      </c>
      <c r="E991" s="44">
        <v>729.47900000000004</v>
      </c>
      <c r="F991" s="38">
        <v>1150</v>
      </c>
      <c r="G991" s="38">
        <v>100</v>
      </c>
      <c r="H991" s="46">
        <v>600</v>
      </c>
      <c r="I991" s="38">
        <v>695</v>
      </c>
      <c r="J991" s="38">
        <v>50</v>
      </c>
      <c r="K991" s="39"/>
      <c r="L991" s="39"/>
      <c r="M991" s="39"/>
      <c r="N991" s="39"/>
      <c r="O991" s="39"/>
      <c r="P991" s="39"/>
      <c r="Q991" s="39"/>
      <c r="R991" s="39"/>
      <c r="S991" s="39"/>
      <c r="T991" s="39"/>
    </row>
    <row r="992" spans="1:20" ht="15.75">
      <c r="A992" s="13">
        <v>71344</v>
      </c>
      <c r="B992" s="47">
        <f t="shared" si="6"/>
        <v>30</v>
      </c>
      <c r="C992" s="38">
        <v>141.29300000000001</v>
      </c>
      <c r="D992" s="38">
        <v>267.99299999999999</v>
      </c>
      <c r="E992" s="44">
        <v>829.71400000000006</v>
      </c>
      <c r="F992" s="38">
        <v>1239</v>
      </c>
      <c r="G992" s="38">
        <v>100</v>
      </c>
      <c r="H992" s="46">
        <v>600</v>
      </c>
      <c r="I992" s="38">
        <v>695</v>
      </c>
      <c r="J992" s="38">
        <v>50</v>
      </c>
      <c r="K992" s="39"/>
      <c r="L992" s="39"/>
      <c r="M992" s="39"/>
      <c r="N992" s="39"/>
      <c r="O992" s="39"/>
      <c r="P992" s="39"/>
      <c r="Q992" s="39"/>
      <c r="R992" s="39"/>
      <c r="S992" s="39"/>
      <c r="T992" s="39"/>
    </row>
    <row r="993" spans="1:20" ht="15.75">
      <c r="A993" s="13">
        <v>71375</v>
      </c>
      <c r="B993" s="47">
        <f t="shared" si="6"/>
        <v>31</v>
      </c>
      <c r="C993" s="38">
        <v>194.20500000000001</v>
      </c>
      <c r="D993" s="38">
        <v>267.46600000000001</v>
      </c>
      <c r="E993" s="44">
        <v>812.32899999999995</v>
      </c>
      <c r="F993" s="38">
        <v>1274</v>
      </c>
      <c r="G993" s="38">
        <v>75</v>
      </c>
      <c r="H993" s="46">
        <v>600</v>
      </c>
      <c r="I993" s="38">
        <v>695</v>
      </c>
      <c r="J993" s="38">
        <v>50</v>
      </c>
      <c r="K993" s="39"/>
      <c r="L993" s="39"/>
      <c r="M993" s="39"/>
      <c r="N993" s="39"/>
      <c r="O993" s="39"/>
      <c r="P993" s="39"/>
      <c r="Q993" s="39"/>
      <c r="R993" s="39"/>
      <c r="S993" s="39"/>
      <c r="T993" s="39"/>
    </row>
    <row r="994" spans="1:20" ht="15.75">
      <c r="A994" s="13">
        <v>71405</v>
      </c>
      <c r="B994" s="47">
        <f t="shared" si="6"/>
        <v>30</v>
      </c>
      <c r="C994" s="38">
        <v>194.20500000000001</v>
      </c>
      <c r="D994" s="38">
        <v>267.46600000000001</v>
      </c>
      <c r="E994" s="44">
        <v>812.32899999999995</v>
      </c>
      <c r="F994" s="38">
        <v>1274</v>
      </c>
      <c r="G994" s="38">
        <v>50</v>
      </c>
      <c r="H994" s="46">
        <v>600</v>
      </c>
      <c r="I994" s="38">
        <v>695</v>
      </c>
      <c r="J994" s="38">
        <v>50</v>
      </c>
      <c r="K994" s="39"/>
      <c r="L994" s="39"/>
      <c r="M994" s="39"/>
      <c r="N994" s="39"/>
      <c r="O994" s="39"/>
      <c r="P994" s="39"/>
      <c r="Q994" s="39"/>
      <c r="R994" s="39"/>
      <c r="S994" s="39"/>
      <c r="T994" s="39"/>
    </row>
    <row r="995" spans="1:20" ht="15.75">
      <c r="A995" s="13">
        <v>71436</v>
      </c>
      <c r="B995" s="47">
        <f t="shared" si="6"/>
        <v>31</v>
      </c>
      <c r="C995" s="38">
        <v>194.20500000000001</v>
      </c>
      <c r="D995" s="38">
        <v>267.46600000000001</v>
      </c>
      <c r="E995" s="44">
        <v>812.32899999999995</v>
      </c>
      <c r="F995" s="38">
        <v>1274</v>
      </c>
      <c r="G995" s="38">
        <v>50</v>
      </c>
      <c r="H995" s="46">
        <v>600</v>
      </c>
      <c r="I995" s="38">
        <v>695</v>
      </c>
      <c r="J995" s="38">
        <v>0</v>
      </c>
      <c r="K995" s="39"/>
      <c r="L995" s="39"/>
      <c r="M995" s="39"/>
      <c r="N995" s="39"/>
      <c r="O995" s="39"/>
      <c r="P995" s="39"/>
      <c r="Q995" s="39"/>
      <c r="R995" s="39"/>
      <c r="S995" s="39"/>
      <c r="T995" s="39"/>
    </row>
    <row r="996" spans="1:20" ht="15.75">
      <c r="A996" s="13">
        <v>71467</v>
      </c>
      <c r="B996" s="47">
        <f t="shared" si="6"/>
        <v>31</v>
      </c>
      <c r="C996" s="38">
        <v>194.20500000000001</v>
      </c>
      <c r="D996" s="38">
        <v>267.46600000000001</v>
      </c>
      <c r="E996" s="44">
        <v>812.32899999999995</v>
      </c>
      <c r="F996" s="38">
        <v>1274</v>
      </c>
      <c r="G996" s="38">
        <v>50</v>
      </c>
      <c r="H996" s="46">
        <v>600</v>
      </c>
      <c r="I996" s="38">
        <v>695</v>
      </c>
      <c r="J996" s="38">
        <v>0</v>
      </c>
      <c r="K996" s="39"/>
      <c r="L996" s="39"/>
      <c r="M996" s="39"/>
      <c r="N996" s="39"/>
      <c r="O996" s="39"/>
      <c r="P996" s="39"/>
      <c r="Q996" s="39"/>
      <c r="R996" s="39"/>
      <c r="S996" s="39"/>
      <c r="T996" s="39"/>
    </row>
    <row r="997" spans="1:20" ht="15.75">
      <c r="A997" s="13">
        <v>71497</v>
      </c>
      <c r="B997" s="47">
        <f t="shared" si="6"/>
        <v>30</v>
      </c>
      <c r="C997" s="38">
        <v>194.20500000000001</v>
      </c>
      <c r="D997" s="38">
        <v>267.46600000000001</v>
      </c>
      <c r="E997" s="44">
        <v>812.32899999999995</v>
      </c>
      <c r="F997" s="38">
        <v>1274</v>
      </c>
      <c r="G997" s="38">
        <v>50</v>
      </c>
      <c r="H997" s="46">
        <v>600</v>
      </c>
      <c r="I997" s="38">
        <v>695</v>
      </c>
      <c r="J997" s="38">
        <v>0</v>
      </c>
      <c r="K997" s="39"/>
      <c r="L997" s="39"/>
      <c r="M997" s="39"/>
      <c r="N997" s="39"/>
      <c r="O997" s="39"/>
      <c r="P997" s="39"/>
      <c r="Q997" s="39"/>
      <c r="R997" s="39"/>
      <c r="S997" s="39"/>
      <c r="T997" s="39"/>
    </row>
    <row r="998" spans="1:20" ht="15.75">
      <c r="A998" s="13">
        <v>71528</v>
      </c>
      <c r="B998" s="47">
        <f t="shared" si="6"/>
        <v>31</v>
      </c>
      <c r="C998" s="38">
        <v>131.881</v>
      </c>
      <c r="D998" s="38">
        <v>277.16699999999997</v>
      </c>
      <c r="E998" s="44">
        <v>829.952</v>
      </c>
      <c r="F998" s="38">
        <v>1239</v>
      </c>
      <c r="G998" s="38">
        <v>75</v>
      </c>
      <c r="H998" s="46">
        <v>600</v>
      </c>
      <c r="I998" s="38">
        <v>695</v>
      </c>
      <c r="J998" s="38">
        <v>0</v>
      </c>
      <c r="K998" s="39"/>
      <c r="L998" s="39"/>
      <c r="M998" s="39"/>
      <c r="N998" s="39"/>
      <c r="O998" s="39"/>
      <c r="P998" s="39"/>
      <c r="Q998" s="39"/>
      <c r="R998" s="39"/>
      <c r="S998" s="39"/>
      <c r="T998" s="39"/>
    </row>
    <row r="999" spans="1:20" ht="15.75">
      <c r="A999" s="13">
        <v>71558</v>
      </c>
      <c r="B999" s="47">
        <f t="shared" si="6"/>
        <v>30</v>
      </c>
      <c r="C999" s="38">
        <v>122.58</v>
      </c>
      <c r="D999" s="38">
        <v>297.94099999999997</v>
      </c>
      <c r="E999" s="44">
        <v>729.47900000000004</v>
      </c>
      <c r="F999" s="38">
        <v>1150</v>
      </c>
      <c r="G999" s="38">
        <v>100</v>
      </c>
      <c r="H999" s="46">
        <v>600</v>
      </c>
      <c r="I999" s="38">
        <v>695</v>
      </c>
      <c r="J999" s="38">
        <v>50</v>
      </c>
      <c r="K999" s="39"/>
      <c r="L999" s="39"/>
      <c r="M999" s="39"/>
      <c r="N999" s="39"/>
      <c r="O999" s="39"/>
      <c r="P999" s="39"/>
      <c r="Q999" s="39"/>
      <c r="R999" s="39"/>
      <c r="S999" s="39"/>
      <c r="T999" s="39"/>
    </row>
    <row r="1000" spans="1:20" ht="15.75">
      <c r="A1000" s="13">
        <v>71589</v>
      </c>
      <c r="B1000" s="47">
        <f t="shared" si="6"/>
        <v>31</v>
      </c>
      <c r="C1000" s="38">
        <v>122.58</v>
      </c>
      <c r="D1000" s="38">
        <v>297.94099999999997</v>
      </c>
      <c r="E1000" s="44">
        <v>729.47900000000004</v>
      </c>
      <c r="F1000" s="38">
        <v>1150</v>
      </c>
      <c r="G1000" s="38">
        <v>100</v>
      </c>
      <c r="H1000" s="46">
        <v>600</v>
      </c>
      <c r="I1000" s="38">
        <v>695</v>
      </c>
      <c r="J1000" s="38">
        <v>50</v>
      </c>
      <c r="K1000" s="39"/>
      <c r="L1000" s="39"/>
      <c r="M1000" s="39"/>
      <c r="N1000" s="39"/>
      <c r="O1000" s="39"/>
      <c r="P1000" s="39"/>
      <c r="Q1000" s="39"/>
      <c r="R1000" s="39"/>
      <c r="S1000" s="39"/>
      <c r="T1000" s="39"/>
    </row>
    <row r="1001" spans="1:20" ht="15.75">
      <c r="A1001" s="13">
        <v>71620</v>
      </c>
      <c r="B1001" s="47">
        <f t="shared" si="6"/>
        <v>31</v>
      </c>
      <c r="C1001" s="38">
        <v>122.58</v>
      </c>
      <c r="D1001" s="38">
        <v>297.94099999999997</v>
      </c>
      <c r="E1001" s="44">
        <v>729.47900000000004</v>
      </c>
      <c r="F1001" s="38">
        <v>1150</v>
      </c>
      <c r="G1001" s="38">
        <v>100</v>
      </c>
      <c r="H1001" s="46">
        <v>600</v>
      </c>
      <c r="I1001" s="38">
        <v>695</v>
      </c>
      <c r="J1001" s="38">
        <v>50</v>
      </c>
      <c r="K1001" s="39"/>
      <c r="L1001" s="39"/>
      <c r="M1001" s="39"/>
      <c r="N1001" s="39"/>
      <c r="O1001" s="39"/>
      <c r="P1001" s="39"/>
      <c r="Q1001" s="39"/>
      <c r="R1001" s="39"/>
      <c r="S1001" s="39"/>
      <c r="T1001" s="39"/>
    </row>
    <row r="1002" spans="1:20" ht="15.75">
      <c r="A1002" s="13">
        <v>71649</v>
      </c>
      <c r="B1002" s="47">
        <f t="shared" si="6"/>
        <v>29</v>
      </c>
      <c r="C1002" s="38">
        <v>122.58</v>
      </c>
      <c r="D1002" s="38">
        <v>297.94099999999997</v>
      </c>
      <c r="E1002" s="44">
        <v>729.47900000000004</v>
      </c>
      <c r="F1002" s="38">
        <v>1150</v>
      </c>
      <c r="G1002" s="38">
        <v>100</v>
      </c>
      <c r="H1002" s="46">
        <v>600</v>
      </c>
      <c r="I1002" s="38">
        <v>695</v>
      </c>
      <c r="J1002" s="38">
        <v>50</v>
      </c>
      <c r="K1002" s="39"/>
      <c r="L1002" s="39"/>
      <c r="M1002" s="39"/>
      <c r="N1002" s="39"/>
      <c r="O1002" s="39"/>
      <c r="P1002" s="39"/>
      <c r="Q1002" s="39"/>
      <c r="R1002" s="39"/>
      <c r="S1002" s="39"/>
      <c r="T1002" s="39"/>
    </row>
    <row r="1003" spans="1:20" ht="15.75">
      <c r="A1003" s="13">
        <v>71680</v>
      </c>
      <c r="B1003" s="47">
        <f t="shared" si="6"/>
        <v>31</v>
      </c>
      <c r="C1003" s="38">
        <v>122.58</v>
      </c>
      <c r="D1003" s="38">
        <v>297.94099999999997</v>
      </c>
      <c r="E1003" s="44">
        <v>729.47900000000004</v>
      </c>
      <c r="F1003" s="38">
        <v>1150</v>
      </c>
      <c r="G1003" s="38">
        <v>100</v>
      </c>
      <c r="H1003" s="46">
        <v>600</v>
      </c>
      <c r="I1003" s="38">
        <v>695</v>
      </c>
      <c r="J1003" s="38">
        <v>50</v>
      </c>
      <c r="K1003" s="39"/>
      <c r="L1003" s="39"/>
      <c r="M1003" s="39"/>
      <c r="N1003" s="39"/>
      <c r="O1003" s="39"/>
      <c r="P1003" s="39"/>
      <c r="Q1003" s="39"/>
      <c r="R1003" s="39"/>
      <c r="S1003" s="39"/>
      <c r="T1003" s="39"/>
    </row>
    <row r="1004" spans="1:20" ht="15.75">
      <c r="A1004" s="13">
        <v>71710</v>
      </c>
      <c r="B1004" s="47">
        <f t="shared" si="6"/>
        <v>30</v>
      </c>
      <c r="C1004" s="38">
        <v>141.29300000000001</v>
      </c>
      <c r="D1004" s="38">
        <v>267.99299999999999</v>
      </c>
      <c r="E1004" s="44">
        <v>829.71400000000006</v>
      </c>
      <c r="F1004" s="38">
        <v>1239</v>
      </c>
      <c r="G1004" s="38">
        <v>100</v>
      </c>
      <c r="H1004" s="46">
        <v>600</v>
      </c>
      <c r="I1004" s="38">
        <v>695</v>
      </c>
      <c r="J1004" s="38">
        <v>50</v>
      </c>
      <c r="K1004" s="39"/>
      <c r="L1004" s="39"/>
      <c r="M1004" s="39"/>
      <c r="N1004" s="39"/>
      <c r="O1004" s="39"/>
      <c r="P1004" s="39"/>
      <c r="Q1004" s="39"/>
      <c r="R1004" s="39"/>
      <c r="S1004" s="39"/>
      <c r="T1004" s="39"/>
    </row>
    <row r="1005" spans="1:20" ht="15.75">
      <c r="A1005" s="13">
        <v>71741</v>
      </c>
      <c r="B1005" s="47">
        <f t="shared" si="6"/>
        <v>31</v>
      </c>
      <c r="C1005" s="38">
        <v>194.20500000000001</v>
      </c>
      <c r="D1005" s="38">
        <v>267.46600000000001</v>
      </c>
      <c r="E1005" s="44">
        <v>812.32899999999995</v>
      </c>
      <c r="F1005" s="38">
        <v>1274</v>
      </c>
      <c r="G1005" s="38">
        <v>75</v>
      </c>
      <c r="H1005" s="46">
        <v>600</v>
      </c>
      <c r="I1005" s="38">
        <v>695</v>
      </c>
      <c r="J1005" s="38">
        <v>50</v>
      </c>
      <c r="K1005" s="39"/>
      <c r="L1005" s="39"/>
      <c r="M1005" s="39"/>
      <c r="N1005" s="39"/>
      <c r="O1005" s="39"/>
      <c r="P1005" s="39"/>
      <c r="Q1005" s="39"/>
      <c r="R1005" s="39"/>
      <c r="S1005" s="39"/>
      <c r="T1005" s="39"/>
    </row>
    <row r="1006" spans="1:20" ht="15.75">
      <c r="A1006" s="13">
        <v>71771</v>
      </c>
      <c r="B1006" s="47">
        <f t="shared" si="6"/>
        <v>30</v>
      </c>
      <c r="C1006" s="38">
        <v>194.20500000000001</v>
      </c>
      <c r="D1006" s="38">
        <v>267.46600000000001</v>
      </c>
      <c r="E1006" s="44">
        <v>812.32899999999995</v>
      </c>
      <c r="F1006" s="38">
        <v>1274</v>
      </c>
      <c r="G1006" s="38">
        <v>50</v>
      </c>
      <c r="H1006" s="46">
        <v>600</v>
      </c>
      <c r="I1006" s="38">
        <v>695</v>
      </c>
      <c r="J1006" s="38">
        <v>50</v>
      </c>
      <c r="K1006" s="39"/>
      <c r="L1006" s="39"/>
      <c r="M1006" s="39"/>
      <c r="N1006" s="39"/>
      <c r="O1006" s="39"/>
      <c r="P1006" s="39"/>
      <c r="Q1006" s="39"/>
      <c r="R1006" s="39"/>
      <c r="S1006" s="39"/>
      <c r="T1006" s="39"/>
    </row>
    <row r="1007" spans="1:20" ht="15.75">
      <c r="A1007" s="13">
        <v>71802</v>
      </c>
      <c r="B1007" s="47">
        <f t="shared" si="6"/>
        <v>31</v>
      </c>
      <c r="C1007" s="38">
        <v>194.20500000000001</v>
      </c>
      <c r="D1007" s="38">
        <v>267.46600000000001</v>
      </c>
      <c r="E1007" s="44">
        <v>812.32899999999995</v>
      </c>
      <c r="F1007" s="38">
        <v>1274</v>
      </c>
      <c r="G1007" s="38">
        <v>50</v>
      </c>
      <c r="H1007" s="46">
        <v>600</v>
      </c>
      <c r="I1007" s="38">
        <v>695</v>
      </c>
      <c r="J1007" s="38">
        <v>0</v>
      </c>
      <c r="K1007" s="39"/>
      <c r="L1007" s="39"/>
      <c r="M1007" s="39"/>
      <c r="N1007" s="39"/>
      <c r="O1007" s="39"/>
      <c r="P1007" s="39"/>
      <c r="Q1007" s="39"/>
      <c r="R1007" s="39"/>
      <c r="S1007" s="39"/>
      <c r="T1007" s="39"/>
    </row>
    <row r="1008" spans="1:20" ht="15.75">
      <c r="A1008" s="13">
        <v>71833</v>
      </c>
      <c r="B1008" s="47">
        <f t="shared" si="6"/>
        <v>31</v>
      </c>
      <c r="C1008" s="38">
        <v>194.20500000000001</v>
      </c>
      <c r="D1008" s="38">
        <v>267.46600000000001</v>
      </c>
      <c r="E1008" s="44">
        <v>812.32899999999995</v>
      </c>
      <c r="F1008" s="38">
        <v>1274</v>
      </c>
      <c r="G1008" s="38">
        <v>50</v>
      </c>
      <c r="H1008" s="46">
        <v>600</v>
      </c>
      <c r="I1008" s="38">
        <v>695</v>
      </c>
      <c r="J1008" s="38">
        <v>0</v>
      </c>
      <c r="K1008" s="39"/>
      <c r="L1008" s="39"/>
      <c r="M1008" s="39"/>
      <c r="N1008" s="39"/>
      <c r="O1008" s="39"/>
      <c r="P1008" s="39"/>
      <c r="Q1008" s="39"/>
      <c r="R1008" s="39"/>
      <c r="S1008" s="39"/>
      <c r="T1008" s="39"/>
    </row>
    <row r="1009" spans="1:20" ht="15.75">
      <c r="A1009" s="13">
        <v>71863</v>
      </c>
      <c r="B1009" s="47">
        <f t="shared" si="6"/>
        <v>30</v>
      </c>
      <c r="C1009" s="38">
        <v>194.20500000000001</v>
      </c>
      <c r="D1009" s="38">
        <v>267.46600000000001</v>
      </c>
      <c r="E1009" s="44">
        <v>812.32899999999995</v>
      </c>
      <c r="F1009" s="38">
        <v>1274</v>
      </c>
      <c r="G1009" s="38">
        <v>50</v>
      </c>
      <c r="H1009" s="46">
        <v>600</v>
      </c>
      <c r="I1009" s="38">
        <v>695</v>
      </c>
      <c r="J1009" s="38">
        <v>0</v>
      </c>
      <c r="K1009" s="39"/>
      <c r="L1009" s="39"/>
      <c r="M1009" s="39"/>
      <c r="N1009" s="39"/>
      <c r="O1009" s="39"/>
      <c r="P1009" s="39"/>
      <c r="Q1009" s="39"/>
      <c r="R1009" s="39"/>
      <c r="S1009" s="39"/>
      <c r="T1009" s="39"/>
    </row>
    <row r="1010" spans="1:20" ht="15.75">
      <c r="A1010" s="13">
        <v>71894</v>
      </c>
      <c r="B1010" s="47">
        <f t="shared" si="6"/>
        <v>31</v>
      </c>
      <c r="C1010" s="38">
        <v>131.881</v>
      </c>
      <c r="D1010" s="38">
        <v>277.16699999999997</v>
      </c>
      <c r="E1010" s="44">
        <v>829.952</v>
      </c>
      <c r="F1010" s="38">
        <v>1239</v>
      </c>
      <c r="G1010" s="38">
        <v>75</v>
      </c>
      <c r="H1010" s="46">
        <v>600</v>
      </c>
      <c r="I1010" s="38">
        <v>695</v>
      </c>
      <c r="J1010" s="38">
        <v>0</v>
      </c>
      <c r="K1010" s="39"/>
      <c r="L1010" s="39"/>
      <c r="M1010" s="39"/>
      <c r="N1010" s="39"/>
      <c r="O1010" s="39"/>
      <c r="P1010" s="39"/>
      <c r="Q1010" s="39"/>
      <c r="R1010" s="39"/>
      <c r="S1010" s="39"/>
      <c r="T1010" s="39"/>
    </row>
    <row r="1011" spans="1:20" ht="15.75">
      <c r="A1011" s="13">
        <v>71924</v>
      </c>
      <c r="B1011" s="47">
        <f t="shared" si="6"/>
        <v>30</v>
      </c>
      <c r="C1011" s="38">
        <v>122.58</v>
      </c>
      <c r="D1011" s="38">
        <v>297.94099999999997</v>
      </c>
      <c r="E1011" s="44">
        <v>729.47900000000004</v>
      </c>
      <c r="F1011" s="38">
        <v>1150</v>
      </c>
      <c r="G1011" s="38">
        <v>100</v>
      </c>
      <c r="H1011" s="46">
        <v>600</v>
      </c>
      <c r="I1011" s="38">
        <v>695</v>
      </c>
      <c r="J1011" s="38">
        <v>50</v>
      </c>
      <c r="K1011" s="39"/>
      <c r="L1011" s="39"/>
      <c r="M1011" s="39"/>
      <c r="N1011" s="39"/>
      <c r="O1011" s="39"/>
      <c r="P1011" s="39"/>
      <c r="Q1011" s="39"/>
      <c r="R1011" s="39"/>
      <c r="S1011" s="39"/>
      <c r="T1011" s="39"/>
    </row>
    <row r="1012" spans="1:20" ht="15.75">
      <c r="A1012" s="13">
        <v>71955</v>
      </c>
      <c r="B1012" s="47">
        <f t="shared" si="6"/>
        <v>31</v>
      </c>
      <c r="C1012" s="38">
        <v>122.58</v>
      </c>
      <c r="D1012" s="38">
        <v>297.94099999999997</v>
      </c>
      <c r="E1012" s="44">
        <v>729.47900000000004</v>
      </c>
      <c r="F1012" s="38">
        <v>1150</v>
      </c>
      <c r="G1012" s="38">
        <v>100</v>
      </c>
      <c r="H1012" s="46">
        <v>600</v>
      </c>
      <c r="I1012" s="38">
        <v>695</v>
      </c>
      <c r="J1012" s="38">
        <v>50</v>
      </c>
      <c r="K1012" s="39"/>
      <c r="L1012" s="39"/>
      <c r="M1012" s="39"/>
      <c r="N1012" s="39"/>
      <c r="O1012" s="39"/>
      <c r="P1012" s="39"/>
      <c r="Q1012" s="39"/>
      <c r="R1012" s="39"/>
      <c r="S1012" s="39"/>
      <c r="T1012" s="39"/>
    </row>
    <row r="1013" spans="1:20" ht="15.75">
      <c r="A1013" s="13">
        <v>71986</v>
      </c>
      <c r="B1013" s="47">
        <f t="shared" si="6"/>
        <v>31</v>
      </c>
      <c r="C1013" s="38">
        <v>122.58</v>
      </c>
      <c r="D1013" s="38">
        <v>297.94099999999997</v>
      </c>
      <c r="E1013" s="44">
        <v>729.47900000000004</v>
      </c>
      <c r="F1013" s="38">
        <v>1150</v>
      </c>
      <c r="G1013" s="38">
        <v>100</v>
      </c>
      <c r="H1013" s="46">
        <v>600</v>
      </c>
      <c r="I1013" s="38">
        <v>695</v>
      </c>
      <c r="J1013" s="38">
        <v>50</v>
      </c>
      <c r="K1013" s="39"/>
      <c r="L1013" s="39"/>
      <c r="M1013" s="39"/>
      <c r="N1013" s="39"/>
      <c r="O1013" s="39"/>
      <c r="P1013" s="39"/>
      <c r="Q1013" s="39"/>
      <c r="R1013" s="39"/>
      <c r="S1013" s="39"/>
      <c r="T1013" s="39"/>
    </row>
    <row r="1014" spans="1:20" ht="15.75">
      <c r="A1014" s="13">
        <v>72014</v>
      </c>
      <c r="B1014" s="47">
        <f t="shared" si="6"/>
        <v>28</v>
      </c>
      <c r="C1014" s="38">
        <v>122.58</v>
      </c>
      <c r="D1014" s="38">
        <v>297.94099999999997</v>
      </c>
      <c r="E1014" s="44">
        <v>729.47900000000004</v>
      </c>
      <c r="F1014" s="38">
        <v>1150</v>
      </c>
      <c r="G1014" s="38">
        <v>100</v>
      </c>
      <c r="H1014" s="46">
        <v>600</v>
      </c>
      <c r="I1014" s="38">
        <v>695</v>
      </c>
      <c r="J1014" s="38">
        <v>50</v>
      </c>
      <c r="K1014" s="39"/>
      <c r="L1014" s="39"/>
      <c r="M1014" s="39"/>
      <c r="N1014" s="39"/>
      <c r="O1014" s="39"/>
      <c r="P1014" s="39"/>
      <c r="Q1014" s="39"/>
      <c r="R1014" s="39"/>
      <c r="S1014" s="39"/>
      <c r="T1014" s="39"/>
    </row>
    <row r="1015" spans="1:20" ht="15.75">
      <c r="A1015" s="13">
        <v>72045</v>
      </c>
      <c r="B1015" s="47">
        <f t="shared" si="6"/>
        <v>31</v>
      </c>
      <c r="C1015" s="38">
        <v>122.58</v>
      </c>
      <c r="D1015" s="38">
        <v>297.94099999999997</v>
      </c>
      <c r="E1015" s="44">
        <v>729.47900000000004</v>
      </c>
      <c r="F1015" s="38">
        <v>1150</v>
      </c>
      <c r="G1015" s="38">
        <v>100</v>
      </c>
      <c r="H1015" s="46">
        <v>600</v>
      </c>
      <c r="I1015" s="38">
        <v>695</v>
      </c>
      <c r="J1015" s="38">
        <v>50</v>
      </c>
      <c r="K1015" s="39"/>
      <c r="L1015" s="39"/>
      <c r="M1015" s="39"/>
      <c r="N1015" s="39"/>
      <c r="O1015" s="39"/>
      <c r="P1015" s="39"/>
      <c r="Q1015" s="39"/>
      <c r="R1015" s="39"/>
      <c r="S1015" s="39"/>
      <c r="T1015" s="39"/>
    </row>
    <row r="1016" spans="1:20" ht="15.75">
      <c r="A1016" s="13">
        <v>72075</v>
      </c>
      <c r="B1016" s="47">
        <f t="shared" si="6"/>
        <v>30</v>
      </c>
      <c r="C1016" s="38">
        <v>141.29300000000001</v>
      </c>
      <c r="D1016" s="38">
        <v>267.99299999999999</v>
      </c>
      <c r="E1016" s="44">
        <v>829.71400000000006</v>
      </c>
      <c r="F1016" s="38">
        <v>1239</v>
      </c>
      <c r="G1016" s="38">
        <v>100</v>
      </c>
      <c r="H1016" s="46">
        <v>600</v>
      </c>
      <c r="I1016" s="38">
        <v>695</v>
      </c>
      <c r="J1016" s="38">
        <v>50</v>
      </c>
      <c r="K1016" s="39"/>
      <c r="L1016" s="39"/>
      <c r="M1016" s="39"/>
      <c r="N1016" s="39"/>
      <c r="O1016" s="39"/>
      <c r="P1016" s="39"/>
      <c r="Q1016" s="39"/>
      <c r="R1016" s="39"/>
      <c r="S1016" s="39"/>
      <c r="T1016" s="39"/>
    </row>
    <row r="1017" spans="1:20" ht="15.75">
      <c r="A1017" s="13">
        <v>72106</v>
      </c>
      <c r="B1017" s="47">
        <f t="shared" si="6"/>
        <v>31</v>
      </c>
      <c r="C1017" s="38">
        <v>194.20500000000001</v>
      </c>
      <c r="D1017" s="38">
        <v>267.46600000000001</v>
      </c>
      <c r="E1017" s="44">
        <v>812.32899999999995</v>
      </c>
      <c r="F1017" s="38">
        <v>1274</v>
      </c>
      <c r="G1017" s="38">
        <v>75</v>
      </c>
      <c r="H1017" s="46">
        <v>600</v>
      </c>
      <c r="I1017" s="38">
        <v>695</v>
      </c>
      <c r="J1017" s="38">
        <v>50</v>
      </c>
      <c r="K1017" s="39"/>
      <c r="L1017" s="39"/>
      <c r="M1017" s="39"/>
      <c r="N1017" s="39"/>
      <c r="O1017" s="39"/>
      <c r="P1017" s="39"/>
      <c r="Q1017" s="39"/>
      <c r="R1017" s="39"/>
      <c r="S1017" s="39"/>
      <c r="T1017" s="39"/>
    </row>
    <row r="1018" spans="1:20" ht="15.75">
      <c r="A1018" s="13">
        <v>72136</v>
      </c>
      <c r="B1018" s="47">
        <f t="shared" si="6"/>
        <v>30</v>
      </c>
      <c r="C1018" s="38">
        <v>194.20500000000001</v>
      </c>
      <c r="D1018" s="38">
        <v>267.46600000000001</v>
      </c>
      <c r="E1018" s="44">
        <v>812.32899999999995</v>
      </c>
      <c r="F1018" s="38">
        <v>1274</v>
      </c>
      <c r="G1018" s="38">
        <v>50</v>
      </c>
      <c r="H1018" s="46">
        <v>600</v>
      </c>
      <c r="I1018" s="38">
        <v>695</v>
      </c>
      <c r="J1018" s="38">
        <v>50</v>
      </c>
      <c r="K1018" s="39"/>
      <c r="L1018" s="39"/>
      <c r="M1018" s="39"/>
      <c r="N1018" s="39"/>
      <c r="O1018" s="39"/>
      <c r="P1018" s="39"/>
      <c r="Q1018" s="39"/>
      <c r="R1018" s="39"/>
      <c r="S1018" s="39"/>
      <c r="T1018" s="39"/>
    </row>
    <row r="1019" spans="1:20" ht="15.75">
      <c r="A1019" s="13">
        <v>72167</v>
      </c>
      <c r="B1019" s="47">
        <f t="shared" si="6"/>
        <v>31</v>
      </c>
      <c r="C1019" s="38">
        <v>194.20500000000001</v>
      </c>
      <c r="D1019" s="38">
        <v>267.46600000000001</v>
      </c>
      <c r="E1019" s="44">
        <v>812.32899999999995</v>
      </c>
      <c r="F1019" s="38">
        <v>1274</v>
      </c>
      <c r="G1019" s="38">
        <v>50</v>
      </c>
      <c r="H1019" s="46">
        <v>600</v>
      </c>
      <c r="I1019" s="38">
        <v>695</v>
      </c>
      <c r="J1019" s="38">
        <v>0</v>
      </c>
      <c r="K1019" s="39"/>
      <c r="L1019" s="39"/>
      <c r="M1019" s="39"/>
      <c r="N1019" s="39"/>
      <c r="O1019" s="39"/>
      <c r="P1019" s="39"/>
      <c r="Q1019" s="39"/>
      <c r="R1019" s="39"/>
      <c r="S1019" s="39"/>
      <c r="T1019" s="39"/>
    </row>
    <row r="1020" spans="1:20" ht="15.75">
      <c r="A1020" s="13">
        <v>72198</v>
      </c>
      <c r="B1020" s="47">
        <f t="shared" si="6"/>
        <v>31</v>
      </c>
      <c r="C1020" s="38">
        <v>194.20500000000001</v>
      </c>
      <c r="D1020" s="38">
        <v>267.46600000000001</v>
      </c>
      <c r="E1020" s="44">
        <v>812.32899999999995</v>
      </c>
      <c r="F1020" s="38">
        <v>1274</v>
      </c>
      <c r="G1020" s="38">
        <v>50</v>
      </c>
      <c r="H1020" s="46">
        <v>600</v>
      </c>
      <c r="I1020" s="38">
        <v>695</v>
      </c>
      <c r="J1020" s="38">
        <v>0</v>
      </c>
      <c r="K1020" s="39"/>
      <c r="L1020" s="39"/>
      <c r="M1020" s="39"/>
      <c r="N1020" s="39"/>
      <c r="O1020" s="39"/>
      <c r="P1020" s="39"/>
      <c r="Q1020" s="39"/>
      <c r="R1020" s="39"/>
      <c r="S1020" s="39"/>
      <c r="T1020" s="39"/>
    </row>
    <row r="1021" spans="1:20" ht="15.75">
      <c r="A1021" s="13">
        <v>72228</v>
      </c>
      <c r="B1021" s="47">
        <f t="shared" si="6"/>
        <v>30</v>
      </c>
      <c r="C1021" s="38">
        <v>194.20500000000001</v>
      </c>
      <c r="D1021" s="38">
        <v>267.46600000000001</v>
      </c>
      <c r="E1021" s="44">
        <v>812.32899999999995</v>
      </c>
      <c r="F1021" s="38">
        <v>1274</v>
      </c>
      <c r="G1021" s="38">
        <v>50</v>
      </c>
      <c r="H1021" s="46">
        <v>600</v>
      </c>
      <c r="I1021" s="38">
        <v>695</v>
      </c>
      <c r="J1021" s="38">
        <v>0</v>
      </c>
      <c r="K1021" s="39"/>
      <c r="L1021" s="39"/>
      <c r="M1021" s="39"/>
      <c r="N1021" s="39"/>
      <c r="O1021" s="39"/>
      <c r="P1021" s="39"/>
      <c r="Q1021" s="39"/>
      <c r="R1021" s="39"/>
      <c r="S1021" s="39"/>
      <c r="T1021" s="39"/>
    </row>
    <row r="1022" spans="1:20" ht="15.75">
      <c r="A1022" s="13">
        <v>72259</v>
      </c>
      <c r="B1022" s="47">
        <f t="shared" si="6"/>
        <v>31</v>
      </c>
      <c r="C1022" s="38">
        <v>131.881</v>
      </c>
      <c r="D1022" s="38">
        <v>277.16699999999997</v>
      </c>
      <c r="E1022" s="44">
        <v>829.952</v>
      </c>
      <c r="F1022" s="38">
        <v>1239</v>
      </c>
      <c r="G1022" s="38">
        <v>75</v>
      </c>
      <c r="H1022" s="46">
        <v>600</v>
      </c>
      <c r="I1022" s="38">
        <v>695</v>
      </c>
      <c r="J1022" s="38">
        <v>0</v>
      </c>
      <c r="K1022" s="39"/>
      <c r="L1022" s="39"/>
      <c r="M1022" s="39"/>
      <c r="N1022" s="39"/>
      <c r="O1022" s="39"/>
      <c r="P1022" s="39"/>
      <c r="Q1022" s="39"/>
      <c r="R1022" s="39"/>
      <c r="S1022" s="39"/>
      <c r="T1022" s="39"/>
    </row>
    <row r="1023" spans="1:20" ht="15.75">
      <c r="A1023" s="13">
        <v>72289</v>
      </c>
      <c r="B1023" s="47">
        <f t="shared" si="6"/>
        <v>30</v>
      </c>
      <c r="C1023" s="38">
        <v>122.58</v>
      </c>
      <c r="D1023" s="38">
        <v>297.94099999999997</v>
      </c>
      <c r="E1023" s="44">
        <v>729.47900000000004</v>
      </c>
      <c r="F1023" s="38">
        <v>1150</v>
      </c>
      <c r="G1023" s="38">
        <v>100</v>
      </c>
      <c r="H1023" s="46">
        <v>600</v>
      </c>
      <c r="I1023" s="38">
        <v>695</v>
      </c>
      <c r="J1023" s="38">
        <v>50</v>
      </c>
      <c r="K1023" s="39"/>
      <c r="L1023" s="39"/>
      <c r="M1023" s="39"/>
      <c r="N1023" s="39"/>
      <c r="O1023" s="39"/>
      <c r="P1023" s="39"/>
      <c r="Q1023" s="39"/>
      <c r="R1023" s="39"/>
      <c r="S1023" s="39"/>
      <c r="T1023" s="39"/>
    </row>
    <row r="1024" spans="1:20" ht="15.75">
      <c r="A1024" s="13">
        <v>72320</v>
      </c>
      <c r="B1024" s="47">
        <f t="shared" si="6"/>
        <v>31</v>
      </c>
      <c r="C1024" s="38">
        <v>122.58</v>
      </c>
      <c r="D1024" s="38">
        <v>297.94099999999997</v>
      </c>
      <c r="E1024" s="44">
        <v>729.47900000000004</v>
      </c>
      <c r="F1024" s="38">
        <v>1150</v>
      </c>
      <c r="G1024" s="38">
        <v>100</v>
      </c>
      <c r="H1024" s="46">
        <v>600</v>
      </c>
      <c r="I1024" s="38">
        <v>695</v>
      </c>
      <c r="J1024" s="38">
        <v>50</v>
      </c>
      <c r="K1024" s="39"/>
      <c r="L1024" s="39"/>
      <c r="M1024" s="39"/>
      <c r="N1024" s="39"/>
      <c r="O1024" s="39"/>
      <c r="P1024" s="39"/>
      <c r="Q1024" s="39"/>
      <c r="R1024" s="39"/>
      <c r="S1024" s="39"/>
      <c r="T1024" s="39"/>
    </row>
    <row r="1025" spans="1:20" ht="15.75">
      <c r="A1025" s="13">
        <v>72351</v>
      </c>
      <c r="B1025" s="47">
        <f t="shared" si="6"/>
        <v>31</v>
      </c>
      <c r="C1025" s="38">
        <v>122.58</v>
      </c>
      <c r="D1025" s="38">
        <v>297.94099999999997</v>
      </c>
      <c r="E1025" s="44">
        <v>729.47900000000004</v>
      </c>
      <c r="F1025" s="38">
        <v>1150</v>
      </c>
      <c r="G1025" s="38">
        <v>100</v>
      </c>
      <c r="H1025" s="46">
        <v>600</v>
      </c>
      <c r="I1025" s="38">
        <v>695</v>
      </c>
      <c r="J1025" s="38">
        <v>50</v>
      </c>
      <c r="K1025" s="39"/>
      <c r="L1025" s="39"/>
      <c r="M1025" s="39"/>
      <c r="N1025" s="39"/>
      <c r="O1025" s="39"/>
      <c r="P1025" s="39"/>
      <c r="Q1025" s="39"/>
      <c r="R1025" s="39"/>
      <c r="S1025" s="39"/>
      <c r="T1025" s="39"/>
    </row>
    <row r="1026" spans="1:20" ht="15.75">
      <c r="A1026" s="13">
        <v>72379</v>
      </c>
      <c r="B1026" s="47">
        <f t="shared" si="6"/>
        <v>28</v>
      </c>
      <c r="C1026" s="38">
        <v>122.58</v>
      </c>
      <c r="D1026" s="38">
        <v>297.94099999999997</v>
      </c>
      <c r="E1026" s="44">
        <v>729.47900000000004</v>
      </c>
      <c r="F1026" s="38">
        <v>1150</v>
      </c>
      <c r="G1026" s="38">
        <v>100</v>
      </c>
      <c r="H1026" s="46">
        <v>600</v>
      </c>
      <c r="I1026" s="38">
        <v>695</v>
      </c>
      <c r="J1026" s="38">
        <v>50</v>
      </c>
      <c r="K1026" s="39"/>
      <c r="L1026" s="39"/>
      <c r="M1026" s="39"/>
      <c r="N1026" s="39"/>
      <c r="O1026" s="39"/>
      <c r="P1026" s="39"/>
      <c r="Q1026" s="39"/>
      <c r="R1026" s="39"/>
      <c r="S1026" s="39"/>
      <c r="T1026" s="39"/>
    </row>
    <row r="1027" spans="1:20" ht="15.75">
      <c r="A1027" s="13">
        <v>72410</v>
      </c>
      <c r="B1027" s="47">
        <f t="shared" si="6"/>
        <v>31</v>
      </c>
      <c r="C1027" s="38">
        <v>122.58</v>
      </c>
      <c r="D1027" s="38">
        <v>297.94099999999997</v>
      </c>
      <c r="E1027" s="44">
        <v>729.47900000000004</v>
      </c>
      <c r="F1027" s="38">
        <v>1150</v>
      </c>
      <c r="G1027" s="38">
        <v>100</v>
      </c>
      <c r="H1027" s="46">
        <v>600</v>
      </c>
      <c r="I1027" s="38">
        <v>695</v>
      </c>
      <c r="J1027" s="38">
        <v>50</v>
      </c>
      <c r="K1027" s="39"/>
      <c r="L1027" s="39"/>
      <c r="M1027" s="39"/>
      <c r="N1027" s="39"/>
      <c r="O1027" s="39"/>
      <c r="P1027" s="39"/>
      <c r="Q1027" s="39"/>
      <c r="R1027" s="39"/>
      <c r="S1027" s="39"/>
      <c r="T1027" s="39"/>
    </row>
    <row r="1028" spans="1:20" ht="15.75">
      <c r="A1028" s="13">
        <v>72440</v>
      </c>
      <c r="B1028" s="47">
        <f t="shared" si="6"/>
        <v>30</v>
      </c>
      <c r="C1028" s="38">
        <v>141.29300000000001</v>
      </c>
      <c r="D1028" s="38">
        <v>267.99299999999999</v>
      </c>
      <c r="E1028" s="44">
        <v>829.71400000000006</v>
      </c>
      <c r="F1028" s="38">
        <v>1239</v>
      </c>
      <c r="G1028" s="38">
        <v>100</v>
      </c>
      <c r="H1028" s="46">
        <v>600</v>
      </c>
      <c r="I1028" s="38">
        <v>695</v>
      </c>
      <c r="J1028" s="38">
        <v>50</v>
      </c>
      <c r="K1028" s="39"/>
      <c r="L1028" s="39"/>
      <c r="M1028" s="39"/>
      <c r="N1028" s="39"/>
      <c r="O1028" s="39"/>
      <c r="P1028" s="39"/>
      <c r="Q1028" s="39"/>
      <c r="R1028" s="39"/>
      <c r="S1028" s="39"/>
      <c r="T1028" s="39"/>
    </row>
    <row r="1029" spans="1:20" ht="15.75">
      <c r="A1029" s="13">
        <v>72471</v>
      </c>
      <c r="B1029" s="47">
        <f t="shared" si="6"/>
        <v>31</v>
      </c>
      <c r="C1029" s="38">
        <v>194.20500000000001</v>
      </c>
      <c r="D1029" s="38">
        <v>267.46600000000001</v>
      </c>
      <c r="E1029" s="44">
        <v>812.32899999999995</v>
      </c>
      <c r="F1029" s="38">
        <v>1274</v>
      </c>
      <c r="G1029" s="38">
        <v>75</v>
      </c>
      <c r="H1029" s="46">
        <v>600</v>
      </c>
      <c r="I1029" s="38">
        <v>695</v>
      </c>
      <c r="J1029" s="38">
        <v>50</v>
      </c>
      <c r="K1029" s="39"/>
      <c r="L1029" s="39"/>
      <c r="M1029" s="39"/>
      <c r="N1029" s="39"/>
      <c r="O1029" s="39"/>
      <c r="P1029" s="39"/>
      <c r="Q1029" s="39"/>
      <c r="R1029" s="39"/>
      <c r="S1029" s="39"/>
      <c r="T1029" s="39"/>
    </row>
    <row r="1030" spans="1:20" ht="15.75">
      <c r="A1030" s="13">
        <v>72501</v>
      </c>
      <c r="B1030" s="47">
        <f t="shared" si="6"/>
        <v>30</v>
      </c>
      <c r="C1030" s="38">
        <v>194.20500000000001</v>
      </c>
      <c r="D1030" s="38">
        <v>267.46600000000001</v>
      </c>
      <c r="E1030" s="44">
        <v>812.32899999999995</v>
      </c>
      <c r="F1030" s="38">
        <v>1274</v>
      </c>
      <c r="G1030" s="38">
        <v>50</v>
      </c>
      <c r="H1030" s="46">
        <v>600</v>
      </c>
      <c r="I1030" s="38">
        <v>695</v>
      </c>
      <c r="J1030" s="38">
        <v>50</v>
      </c>
      <c r="K1030" s="39"/>
      <c r="L1030" s="39"/>
      <c r="M1030" s="39"/>
      <c r="N1030" s="39"/>
      <c r="O1030" s="39"/>
      <c r="P1030" s="39"/>
      <c r="Q1030" s="39"/>
      <c r="R1030" s="39"/>
      <c r="S1030" s="39"/>
      <c r="T1030" s="39"/>
    </row>
    <row r="1031" spans="1:20" ht="15.75">
      <c r="A1031" s="13">
        <v>72532</v>
      </c>
      <c r="B1031" s="47">
        <f t="shared" si="6"/>
        <v>31</v>
      </c>
      <c r="C1031" s="38">
        <v>194.20500000000001</v>
      </c>
      <c r="D1031" s="38">
        <v>267.46600000000001</v>
      </c>
      <c r="E1031" s="44">
        <v>812.32899999999995</v>
      </c>
      <c r="F1031" s="38">
        <v>1274</v>
      </c>
      <c r="G1031" s="38">
        <v>50</v>
      </c>
      <c r="H1031" s="46">
        <v>600</v>
      </c>
      <c r="I1031" s="38">
        <v>695</v>
      </c>
      <c r="J1031" s="38">
        <v>0</v>
      </c>
      <c r="K1031" s="39"/>
      <c r="L1031" s="39"/>
      <c r="M1031" s="39"/>
      <c r="N1031" s="39"/>
      <c r="O1031" s="39"/>
      <c r="P1031" s="39"/>
      <c r="Q1031" s="39"/>
      <c r="R1031" s="39"/>
      <c r="S1031" s="39"/>
      <c r="T1031" s="39"/>
    </row>
    <row r="1032" spans="1:20" ht="15.75">
      <c r="A1032" s="13">
        <v>72563</v>
      </c>
      <c r="B1032" s="47">
        <f t="shared" si="6"/>
        <v>31</v>
      </c>
      <c r="C1032" s="38">
        <v>194.20500000000001</v>
      </c>
      <c r="D1032" s="38">
        <v>267.46600000000001</v>
      </c>
      <c r="E1032" s="44">
        <v>812.32899999999995</v>
      </c>
      <c r="F1032" s="38">
        <v>1274</v>
      </c>
      <c r="G1032" s="38">
        <v>50</v>
      </c>
      <c r="H1032" s="46">
        <v>600</v>
      </c>
      <c r="I1032" s="38">
        <v>695</v>
      </c>
      <c r="J1032" s="38">
        <v>0</v>
      </c>
      <c r="K1032" s="39"/>
      <c r="L1032" s="39"/>
      <c r="M1032" s="39"/>
      <c r="N1032" s="39"/>
      <c r="O1032" s="39"/>
      <c r="P1032" s="39"/>
      <c r="Q1032" s="39"/>
      <c r="R1032" s="39"/>
      <c r="S1032" s="39"/>
      <c r="T1032" s="39"/>
    </row>
    <row r="1033" spans="1:20" ht="15.75">
      <c r="A1033" s="13">
        <v>72593</v>
      </c>
      <c r="B1033" s="47">
        <f t="shared" si="6"/>
        <v>30</v>
      </c>
      <c r="C1033" s="38">
        <v>194.20500000000001</v>
      </c>
      <c r="D1033" s="38">
        <v>267.46600000000001</v>
      </c>
      <c r="E1033" s="44">
        <v>812.32899999999995</v>
      </c>
      <c r="F1033" s="38">
        <v>1274</v>
      </c>
      <c r="G1033" s="38">
        <v>50</v>
      </c>
      <c r="H1033" s="46">
        <v>600</v>
      </c>
      <c r="I1033" s="38">
        <v>695</v>
      </c>
      <c r="J1033" s="38">
        <v>0</v>
      </c>
      <c r="K1033" s="39"/>
      <c r="L1033" s="39"/>
      <c r="M1033" s="39"/>
      <c r="N1033" s="39"/>
      <c r="O1033" s="39"/>
      <c r="P1033" s="39"/>
      <c r="Q1033" s="39"/>
      <c r="R1033" s="39"/>
      <c r="S1033" s="39"/>
      <c r="T1033" s="39"/>
    </row>
    <row r="1034" spans="1:20" ht="15.75">
      <c r="A1034" s="13">
        <v>72624</v>
      </c>
      <c r="B1034" s="47">
        <f t="shared" si="6"/>
        <v>31</v>
      </c>
      <c r="C1034" s="38">
        <v>131.881</v>
      </c>
      <c r="D1034" s="38">
        <v>277.16699999999997</v>
      </c>
      <c r="E1034" s="44">
        <v>829.952</v>
      </c>
      <c r="F1034" s="38">
        <v>1239</v>
      </c>
      <c r="G1034" s="38">
        <v>75</v>
      </c>
      <c r="H1034" s="46">
        <v>600</v>
      </c>
      <c r="I1034" s="38">
        <v>695</v>
      </c>
      <c r="J1034" s="38">
        <v>0</v>
      </c>
      <c r="K1034" s="39"/>
      <c r="L1034" s="39"/>
      <c r="M1034" s="39"/>
      <c r="N1034" s="39"/>
      <c r="O1034" s="39"/>
      <c r="P1034" s="39"/>
      <c r="Q1034" s="39"/>
      <c r="R1034" s="39"/>
      <c r="S1034" s="39"/>
      <c r="T1034" s="39"/>
    </row>
    <row r="1035" spans="1:20" ht="15.75">
      <c r="A1035" s="13">
        <v>72654</v>
      </c>
      <c r="B1035" s="47">
        <f t="shared" si="6"/>
        <v>30</v>
      </c>
      <c r="C1035" s="38">
        <v>122.58</v>
      </c>
      <c r="D1035" s="38">
        <v>297.94099999999997</v>
      </c>
      <c r="E1035" s="44">
        <v>729.47900000000004</v>
      </c>
      <c r="F1035" s="38">
        <v>1150</v>
      </c>
      <c r="G1035" s="38">
        <v>100</v>
      </c>
      <c r="H1035" s="46">
        <v>600</v>
      </c>
      <c r="I1035" s="38">
        <v>695</v>
      </c>
      <c r="J1035" s="38">
        <v>50</v>
      </c>
      <c r="K1035" s="39"/>
      <c r="L1035" s="39"/>
      <c r="M1035" s="39"/>
      <c r="N1035" s="39"/>
      <c r="O1035" s="39"/>
      <c r="P1035" s="39"/>
      <c r="Q1035" s="39"/>
      <c r="R1035" s="39"/>
      <c r="S1035" s="39"/>
      <c r="T1035" s="39"/>
    </row>
    <row r="1036" spans="1:20" ht="15.75">
      <c r="A1036" s="13">
        <v>72685</v>
      </c>
      <c r="B1036" s="47">
        <f t="shared" si="6"/>
        <v>31</v>
      </c>
      <c r="C1036" s="38">
        <v>122.58</v>
      </c>
      <c r="D1036" s="38">
        <v>297.94099999999997</v>
      </c>
      <c r="E1036" s="44">
        <v>729.47900000000004</v>
      </c>
      <c r="F1036" s="38">
        <v>1150</v>
      </c>
      <c r="G1036" s="38">
        <v>100</v>
      </c>
      <c r="H1036" s="46">
        <v>600</v>
      </c>
      <c r="I1036" s="38">
        <v>695</v>
      </c>
      <c r="J1036" s="38">
        <v>50</v>
      </c>
      <c r="K1036" s="39"/>
      <c r="L1036" s="39"/>
      <c r="M1036" s="39"/>
      <c r="N1036" s="39"/>
      <c r="O1036" s="39"/>
      <c r="P1036" s="39"/>
      <c r="Q1036" s="39"/>
      <c r="R1036" s="39"/>
      <c r="S1036" s="39"/>
      <c r="T1036" s="39"/>
    </row>
    <row r="1037" spans="1:20" ht="15.75">
      <c r="A1037" s="13">
        <v>72716</v>
      </c>
      <c r="B1037" s="47">
        <f t="shared" si="6"/>
        <v>31</v>
      </c>
      <c r="C1037" s="38">
        <v>122.58</v>
      </c>
      <c r="D1037" s="38">
        <v>297.94099999999997</v>
      </c>
      <c r="E1037" s="44">
        <v>729.47900000000004</v>
      </c>
      <c r="F1037" s="38">
        <v>1150</v>
      </c>
      <c r="G1037" s="38">
        <v>100</v>
      </c>
      <c r="H1037" s="46">
        <v>600</v>
      </c>
      <c r="I1037" s="38">
        <v>695</v>
      </c>
      <c r="J1037" s="38">
        <v>50</v>
      </c>
      <c r="K1037" s="39"/>
      <c r="L1037" s="39"/>
      <c r="M1037" s="39"/>
      <c r="N1037" s="39"/>
      <c r="O1037" s="39"/>
      <c r="P1037" s="39"/>
      <c r="Q1037" s="39"/>
      <c r="R1037" s="39"/>
      <c r="S1037" s="39"/>
      <c r="T1037" s="39"/>
    </row>
    <row r="1038" spans="1:20" ht="15.75">
      <c r="A1038" s="13">
        <v>72744</v>
      </c>
      <c r="B1038" s="47">
        <f t="shared" si="6"/>
        <v>28</v>
      </c>
      <c r="C1038" s="38">
        <v>122.58</v>
      </c>
      <c r="D1038" s="38">
        <v>297.94099999999997</v>
      </c>
      <c r="E1038" s="44">
        <v>729.47900000000004</v>
      </c>
      <c r="F1038" s="38">
        <v>1150</v>
      </c>
      <c r="G1038" s="38">
        <v>100</v>
      </c>
      <c r="H1038" s="46">
        <v>600</v>
      </c>
      <c r="I1038" s="38">
        <v>695</v>
      </c>
      <c r="J1038" s="38">
        <v>50</v>
      </c>
      <c r="K1038" s="39"/>
      <c r="L1038" s="39"/>
      <c r="M1038" s="39"/>
      <c r="N1038" s="39"/>
      <c r="O1038" s="39"/>
      <c r="P1038" s="39"/>
      <c r="Q1038" s="39"/>
      <c r="R1038" s="39"/>
      <c r="S1038" s="39"/>
      <c r="T1038" s="39"/>
    </row>
    <row r="1039" spans="1:20" ht="15.75">
      <c r="A1039" s="13">
        <v>72775</v>
      </c>
      <c r="B1039" s="47">
        <f t="shared" si="6"/>
        <v>31</v>
      </c>
      <c r="C1039" s="38">
        <v>122.58</v>
      </c>
      <c r="D1039" s="38">
        <v>297.94099999999997</v>
      </c>
      <c r="E1039" s="44">
        <v>729.47900000000004</v>
      </c>
      <c r="F1039" s="38">
        <v>1150</v>
      </c>
      <c r="G1039" s="38">
        <v>100</v>
      </c>
      <c r="H1039" s="46">
        <v>600</v>
      </c>
      <c r="I1039" s="38">
        <v>695</v>
      </c>
      <c r="J1039" s="38">
        <v>50</v>
      </c>
      <c r="K1039" s="39"/>
      <c r="L1039" s="39"/>
      <c r="M1039" s="39"/>
      <c r="N1039" s="39"/>
      <c r="O1039" s="39"/>
      <c r="P1039" s="39"/>
      <c r="Q1039" s="39"/>
      <c r="R1039" s="39"/>
      <c r="S1039" s="39"/>
      <c r="T1039" s="39"/>
    </row>
    <row r="1040" spans="1:20" ht="15.75">
      <c r="A1040" s="13">
        <v>72805</v>
      </c>
      <c r="B1040" s="47">
        <f t="shared" si="6"/>
        <v>30</v>
      </c>
      <c r="C1040" s="38">
        <v>141.29300000000001</v>
      </c>
      <c r="D1040" s="38">
        <v>267.99299999999999</v>
      </c>
      <c r="E1040" s="44">
        <v>829.71400000000006</v>
      </c>
      <c r="F1040" s="38">
        <v>1239</v>
      </c>
      <c r="G1040" s="38">
        <v>100</v>
      </c>
      <c r="H1040" s="46">
        <v>600</v>
      </c>
      <c r="I1040" s="38">
        <v>695</v>
      </c>
      <c r="J1040" s="38">
        <v>50</v>
      </c>
      <c r="K1040" s="39"/>
      <c r="L1040" s="39"/>
      <c r="M1040" s="39"/>
      <c r="N1040" s="39"/>
      <c r="O1040" s="39"/>
      <c r="P1040" s="39"/>
      <c r="Q1040" s="39"/>
      <c r="R1040" s="39"/>
      <c r="S1040" s="39"/>
      <c r="T1040" s="39"/>
    </row>
    <row r="1041" spans="1:20" ht="15.75">
      <c r="A1041" s="13">
        <v>72836</v>
      </c>
      <c r="B1041" s="47">
        <f t="shared" ref="B1041:B1060" si="7">EOMONTH(A1041,0)-EOMONTH(A1041,-1)</f>
        <v>31</v>
      </c>
      <c r="C1041" s="38">
        <v>194.20500000000001</v>
      </c>
      <c r="D1041" s="38">
        <v>267.46600000000001</v>
      </c>
      <c r="E1041" s="44">
        <v>812.32899999999995</v>
      </c>
      <c r="F1041" s="38">
        <v>1274</v>
      </c>
      <c r="G1041" s="38">
        <v>75</v>
      </c>
      <c r="H1041" s="46">
        <v>600</v>
      </c>
      <c r="I1041" s="38">
        <v>695</v>
      </c>
      <c r="J1041" s="38">
        <v>50</v>
      </c>
      <c r="K1041" s="39"/>
      <c r="L1041" s="39"/>
      <c r="M1041" s="39"/>
      <c r="N1041" s="39"/>
      <c r="O1041" s="39"/>
      <c r="P1041" s="39"/>
      <c r="Q1041" s="39"/>
      <c r="R1041" s="39"/>
      <c r="S1041" s="39"/>
      <c r="T1041" s="39"/>
    </row>
    <row r="1042" spans="1:20" ht="15.75">
      <c r="A1042" s="13">
        <v>72866</v>
      </c>
      <c r="B1042" s="47">
        <f t="shared" si="7"/>
        <v>30</v>
      </c>
      <c r="C1042" s="38">
        <v>194.20500000000001</v>
      </c>
      <c r="D1042" s="38">
        <v>267.46600000000001</v>
      </c>
      <c r="E1042" s="44">
        <v>812.32899999999995</v>
      </c>
      <c r="F1042" s="38">
        <v>1274</v>
      </c>
      <c r="G1042" s="38">
        <v>50</v>
      </c>
      <c r="H1042" s="46">
        <v>600</v>
      </c>
      <c r="I1042" s="38">
        <v>695</v>
      </c>
      <c r="J1042" s="38">
        <v>50</v>
      </c>
      <c r="K1042" s="39"/>
      <c r="L1042" s="39"/>
      <c r="M1042" s="39"/>
      <c r="N1042" s="39"/>
      <c r="O1042" s="39"/>
      <c r="P1042" s="39"/>
      <c r="Q1042" s="39"/>
      <c r="R1042" s="39"/>
      <c r="S1042" s="39"/>
      <c r="T1042" s="39"/>
    </row>
    <row r="1043" spans="1:20" ht="15.75">
      <c r="A1043" s="13">
        <v>72897</v>
      </c>
      <c r="B1043" s="47">
        <f t="shared" si="7"/>
        <v>31</v>
      </c>
      <c r="C1043" s="38">
        <v>194.20500000000001</v>
      </c>
      <c r="D1043" s="38">
        <v>267.46600000000001</v>
      </c>
      <c r="E1043" s="44">
        <v>812.32899999999995</v>
      </c>
      <c r="F1043" s="38">
        <v>1274</v>
      </c>
      <c r="G1043" s="38">
        <v>50</v>
      </c>
      <c r="H1043" s="46">
        <v>600</v>
      </c>
      <c r="I1043" s="38">
        <v>695</v>
      </c>
      <c r="J1043" s="38">
        <v>0</v>
      </c>
      <c r="K1043" s="39"/>
      <c r="L1043" s="39"/>
      <c r="M1043" s="39"/>
      <c r="N1043" s="39"/>
      <c r="O1043" s="39"/>
      <c r="P1043" s="39"/>
      <c r="Q1043" s="39"/>
      <c r="R1043" s="39"/>
      <c r="S1043" s="39"/>
      <c r="T1043" s="39"/>
    </row>
    <row r="1044" spans="1:20" ht="15.75">
      <c r="A1044" s="13">
        <v>72928</v>
      </c>
      <c r="B1044" s="47">
        <f t="shared" si="7"/>
        <v>31</v>
      </c>
      <c r="C1044" s="38">
        <v>194.20500000000001</v>
      </c>
      <c r="D1044" s="38">
        <v>267.46600000000001</v>
      </c>
      <c r="E1044" s="44">
        <v>812.32899999999995</v>
      </c>
      <c r="F1044" s="38">
        <v>1274</v>
      </c>
      <c r="G1044" s="38">
        <v>50</v>
      </c>
      <c r="H1044" s="46">
        <v>600</v>
      </c>
      <c r="I1044" s="38">
        <v>695</v>
      </c>
      <c r="J1044" s="38">
        <v>0</v>
      </c>
      <c r="K1044" s="39"/>
      <c r="L1044" s="39"/>
      <c r="M1044" s="39"/>
      <c r="N1044" s="39"/>
      <c r="O1044" s="39"/>
      <c r="P1044" s="39"/>
      <c r="Q1044" s="39"/>
      <c r="R1044" s="39"/>
      <c r="S1044" s="39"/>
      <c r="T1044" s="39"/>
    </row>
    <row r="1045" spans="1:20" ht="15.75">
      <c r="A1045" s="13">
        <v>72958</v>
      </c>
      <c r="B1045" s="47">
        <f t="shared" si="7"/>
        <v>30</v>
      </c>
      <c r="C1045" s="38">
        <v>194.20500000000001</v>
      </c>
      <c r="D1045" s="38">
        <v>267.46600000000001</v>
      </c>
      <c r="E1045" s="44">
        <v>812.32899999999995</v>
      </c>
      <c r="F1045" s="38">
        <v>1274</v>
      </c>
      <c r="G1045" s="38">
        <v>50</v>
      </c>
      <c r="H1045" s="46">
        <v>600</v>
      </c>
      <c r="I1045" s="38">
        <v>695</v>
      </c>
      <c r="J1045" s="38">
        <v>0</v>
      </c>
      <c r="K1045" s="39"/>
      <c r="L1045" s="39"/>
      <c r="M1045" s="39"/>
      <c r="N1045" s="39"/>
      <c r="O1045" s="39"/>
      <c r="P1045" s="39"/>
      <c r="Q1045" s="39"/>
      <c r="R1045" s="39"/>
      <c r="S1045" s="39"/>
      <c r="T1045" s="39"/>
    </row>
    <row r="1046" spans="1:20" ht="15.75">
      <c r="A1046" s="13">
        <v>72989</v>
      </c>
      <c r="B1046" s="47">
        <f t="shared" si="7"/>
        <v>31</v>
      </c>
      <c r="C1046" s="38">
        <v>131.881</v>
      </c>
      <c r="D1046" s="38">
        <v>277.16699999999997</v>
      </c>
      <c r="E1046" s="44">
        <v>829.952</v>
      </c>
      <c r="F1046" s="38">
        <v>1239</v>
      </c>
      <c r="G1046" s="38">
        <v>75</v>
      </c>
      <c r="H1046" s="46">
        <v>600</v>
      </c>
      <c r="I1046" s="38">
        <v>695</v>
      </c>
      <c r="J1046" s="38">
        <v>0</v>
      </c>
      <c r="K1046" s="39"/>
      <c r="L1046" s="39"/>
      <c r="M1046" s="39"/>
      <c r="N1046" s="39"/>
      <c r="O1046" s="39"/>
      <c r="P1046" s="39"/>
      <c r="Q1046" s="39"/>
      <c r="R1046" s="39"/>
      <c r="S1046" s="39"/>
      <c r="T1046" s="39"/>
    </row>
    <row r="1047" spans="1:20" ht="15.75">
      <c r="A1047" s="13">
        <v>73019</v>
      </c>
      <c r="B1047" s="47">
        <f t="shared" si="7"/>
        <v>30</v>
      </c>
      <c r="C1047" s="38">
        <v>122.58</v>
      </c>
      <c r="D1047" s="38">
        <v>297.94099999999997</v>
      </c>
      <c r="E1047" s="44">
        <v>729.47900000000004</v>
      </c>
      <c r="F1047" s="38">
        <v>1150</v>
      </c>
      <c r="G1047" s="38">
        <v>100</v>
      </c>
      <c r="H1047" s="46">
        <v>600</v>
      </c>
      <c r="I1047" s="38">
        <v>695</v>
      </c>
      <c r="J1047" s="38">
        <v>50</v>
      </c>
      <c r="K1047" s="39"/>
      <c r="L1047" s="39"/>
      <c r="M1047" s="39"/>
      <c r="N1047" s="39"/>
      <c r="O1047" s="39"/>
      <c r="P1047" s="39"/>
      <c r="Q1047" s="39"/>
      <c r="R1047" s="39"/>
      <c r="S1047" s="39"/>
      <c r="T1047" s="39"/>
    </row>
    <row r="1048" spans="1:20" ht="15.75">
      <c r="A1048" s="13">
        <v>73050</v>
      </c>
      <c r="B1048" s="47">
        <f t="shared" si="7"/>
        <v>31</v>
      </c>
      <c r="C1048" s="38">
        <v>122.58</v>
      </c>
      <c r="D1048" s="38">
        <v>297.94099999999997</v>
      </c>
      <c r="E1048" s="44">
        <v>729.47900000000004</v>
      </c>
      <c r="F1048" s="38">
        <v>1150</v>
      </c>
      <c r="G1048" s="38">
        <v>100</v>
      </c>
      <c r="H1048" s="46">
        <v>600</v>
      </c>
      <c r="I1048" s="38">
        <v>695</v>
      </c>
      <c r="J1048" s="38">
        <v>50</v>
      </c>
      <c r="K1048" s="39"/>
      <c r="L1048" s="39"/>
      <c r="M1048" s="39"/>
      <c r="N1048" s="39"/>
      <c r="O1048" s="39"/>
      <c r="P1048" s="39"/>
      <c r="Q1048" s="39"/>
      <c r="R1048" s="39"/>
      <c r="S1048" s="39"/>
      <c r="T1048" s="39"/>
    </row>
    <row r="1049" spans="1:20" ht="15.75">
      <c r="A1049" s="13">
        <v>73081</v>
      </c>
      <c r="B1049" s="47">
        <f t="shared" si="7"/>
        <v>31</v>
      </c>
      <c r="C1049" s="38">
        <v>122.58</v>
      </c>
      <c r="D1049" s="38">
        <v>297.94099999999997</v>
      </c>
      <c r="E1049" s="44">
        <v>729.47900000000004</v>
      </c>
      <c r="F1049" s="38">
        <v>1150</v>
      </c>
      <c r="G1049" s="38">
        <v>100</v>
      </c>
      <c r="H1049" s="46">
        <v>600</v>
      </c>
      <c r="I1049" s="38">
        <v>695</v>
      </c>
      <c r="J1049" s="38">
        <v>50</v>
      </c>
      <c r="K1049" s="39"/>
      <c r="L1049" s="39"/>
      <c r="M1049" s="39"/>
      <c r="N1049" s="39"/>
      <c r="O1049" s="39"/>
      <c r="P1049" s="39"/>
      <c r="Q1049" s="39"/>
      <c r="R1049" s="39"/>
      <c r="S1049" s="39"/>
      <c r="T1049" s="39"/>
    </row>
    <row r="1050" spans="1:20" ht="15.75">
      <c r="A1050" s="13">
        <v>73109</v>
      </c>
      <c r="B1050" s="47">
        <f t="shared" si="7"/>
        <v>28</v>
      </c>
      <c r="C1050" s="38">
        <v>122.58</v>
      </c>
      <c r="D1050" s="38">
        <v>297.94099999999997</v>
      </c>
      <c r="E1050" s="44">
        <v>729.47900000000004</v>
      </c>
      <c r="F1050" s="38">
        <v>1150</v>
      </c>
      <c r="G1050" s="38">
        <v>100</v>
      </c>
      <c r="H1050" s="46">
        <v>600</v>
      </c>
      <c r="I1050" s="38">
        <v>695</v>
      </c>
      <c r="J1050" s="38">
        <v>50</v>
      </c>
      <c r="K1050" s="39"/>
      <c r="L1050" s="39"/>
      <c r="M1050" s="39"/>
      <c r="N1050" s="39"/>
      <c r="O1050" s="39"/>
      <c r="P1050" s="39"/>
      <c r="Q1050" s="39"/>
      <c r="R1050" s="39"/>
      <c r="S1050" s="39"/>
      <c r="T1050" s="39"/>
    </row>
    <row r="1051" spans="1:20" ht="15.75">
      <c r="A1051" s="13">
        <v>73140</v>
      </c>
      <c r="B1051" s="47">
        <f t="shared" si="7"/>
        <v>31</v>
      </c>
      <c r="C1051" s="38">
        <v>122.58</v>
      </c>
      <c r="D1051" s="38">
        <v>297.94099999999997</v>
      </c>
      <c r="E1051" s="44">
        <v>729.47900000000004</v>
      </c>
      <c r="F1051" s="38">
        <v>1150</v>
      </c>
      <c r="G1051" s="38">
        <v>100</v>
      </c>
      <c r="H1051" s="46">
        <v>600</v>
      </c>
      <c r="I1051" s="38">
        <v>695</v>
      </c>
      <c r="J1051" s="38">
        <v>50</v>
      </c>
      <c r="K1051" s="39"/>
      <c r="L1051" s="39"/>
      <c r="M1051" s="39"/>
      <c r="N1051" s="39"/>
      <c r="O1051" s="39"/>
      <c r="P1051" s="39"/>
      <c r="Q1051" s="39"/>
      <c r="R1051" s="39"/>
      <c r="S1051" s="39"/>
      <c r="T1051" s="39"/>
    </row>
    <row r="1052" spans="1:20" ht="15.75">
      <c r="A1052" s="13">
        <v>73170</v>
      </c>
      <c r="B1052" s="47">
        <f t="shared" si="7"/>
        <v>30</v>
      </c>
      <c r="C1052" s="38">
        <v>141.29300000000001</v>
      </c>
      <c r="D1052" s="38">
        <v>267.99299999999999</v>
      </c>
      <c r="E1052" s="44">
        <v>829.71400000000006</v>
      </c>
      <c r="F1052" s="38">
        <v>1239</v>
      </c>
      <c r="G1052" s="38">
        <v>100</v>
      </c>
      <c r="H1052" s="46">
        <v>600</v>
      </c>
      <c r="I1052" s="38">
        <v>695</v>
      </c>
      <c r="J1052" s="38">
        <v>50</v>
      </c>
      <c r="K1052" s="39"/>
      <c r="L1052" s="39"/>
      <c r="M1052" s="39"/>
      <c r="N1052" s="39"/>
      <c r="O1052" s="39"/>
      <c r="P1052" s="39"/>
      <c r="Q1052" s="39"/>
      <c r="R1052" s="39"/>
      <c r="S1052" s="39"/>
      <c r="T1052" s="39"/>
    </row>
    <row r="1053" spans="1:20" ht="15.75">
      <c r="A1053" s="13">
        <v>73201</v>
      </c>
      <c r="B1053" s="47">
        <f t="shared" si="7"/>
        <v>31</v>
      </c>
      <c r="C1053" s="38">
        <v>194.20500000000001</v>
      </c>
      <c r="D1053" s="38">
        <v>267.46600000000001</v>
      </c>
      <c r="E1053" s="44">
        <v>812.32899999999995</v>
      </c>
      <c r="F1053" s="38">
        <v>1274</v>
      </c>
      <c r="G1053" s="38">
        <v>75</v>
      </c>
      <c r="H1053" s="46">
        <v>600</v>
      </c>
      <c r="I1053" s="38">
        <v>695</v>
      </c>
      <c r="J1053" s="38">
        <v>50</v>
      </c>
      <c r="K1053" s="39"/>
      <c r="L1053" s="39"/>
      <c r="M1053" s="39"/>
      <c r="N1053" s="39"/>
      <c r="O1053" s="39"/>
      <c r="P1053" s="39"/>
      <c r="Q1053" s="39"/>
      <c r="R1053" s="39"/>
      <c r="S1053" s="39"/>
      <c r="T1053" s="39"/>
    </row>
    <row r="1054" spans="1:20" ht="15.75">
      <c r="A1054" s="13">
        <v>73231</v>
      </c>
      <c r="B1054" s="47">
        <f t="shared" si="7"/>
        <v>30</v>
      </c>
      <c r="C1054" s="38">
        <v>194.20500000000001</v>
      </c>
      <c r="D1054" s="38">
        <v>267.46600000000001</v>
      </c>
      <c r="E1054" s="44">
        <v>812.32899999999995</v>
      </c>
      <c r="F1054" s="38">
        <v>1274</v>
      </c>
      <c r="G1054" s="38">
        <v>50</v>
      </c>
      <c r="H1054" s="46">
        <v>600</v>
      </c>
      <c r="I1054" s="38">
        <v>695</v>
      </c>
      <c r="J1054" s="38">
        <v>50</v>
      </c>
      <c r="K1054" s="39"/>
      <c r="L1054" s="39"/>
      <c r="M1054" s="39"/>
      <c r="N1054" s="39"/>
      <c r="O1054" s="39"/>
      <c r="P1054" s="39"/>
      <c r="Q1054" s="39"/>
      <c r="R1054" s="39"/>
      <c r="S1054" s="39"/>
      <c r="T1054" s="39"/>
    </row>
    <row r="1055" spans="1:20" ht="15.75">
      <c r="A1055" s="13">
        <v>73262</v>
      </c>
      <c r="B1055" s="47">
        <f t="shared" si="7"/>
        <v>31</v>
      </c>
      <c r="C1055" s="38">
        <v>194.20500000000001</v>
      </c>
      <c r="D1055" s="38">
        <v>267.46600000000001</v>
      </c>
      <c r="E1055" s="44">
        <v>812.32899999999995</v>
      </c>
      <c r="F1055" s="38">
        <v>1274</v>
      </c>
      <c r="G1055" s="38">
        <v>50</v>
      </c>
      <c r="H1055" s="46">
        <v>600</v>
      </c>
      <c r="I1055" s="38">
        <v>695</v>
      </c>
      <c r="J1055" s="38">
        <v>0</v>
      </c>
      <c r="K1055" s="39"/>
      <c r="L1055" s="39"/>
      <c r="M1055" s="39"/>
      <c r="N1055" s="39"/>
      <c r="O1055" s="39"/>
      <c r="P1055" s="39"/>
      <c r="Q1055" s="39"/>
      <c r="R1055" s="39"/>
      <c r="S1055" s="39"/>
      <c r="T1055" s="39"/>
    </row>
    <row r="1056" spans="1:20" ht="15.75">
      <c r="A1056" s="13">
        <v>73293</v>
      </c>
      <c r="B1056" s="47">
        <f t="shared" si="7"/>
        <v>31</v>
      </c>
      <c r="C1056" s="38">
        <v>194.20500000000001</v>
      </c>
      <c r="D1056" s="38">
        <v>267.46600000000001</v>
      </c>
      <c r="E1056" s="44">
        <v>812.32899999999995</v>
      </c>
      <c r="F1056" s="38">
        <v>1274</v>
      </c>
      <c r="G1056" s="38">
        <v>50</v>
      </c>
      <c r="H1056" s="46">
        <v>600</v>
      </c>
      <c r="I1056" s="38">
        <v>695</v>
      </c>
      <c r="J1056" s="38">
        <v>0</v>
      </c>
      <c r="K1056" s="39"/>
      <c r="L1056" s="39"/>
      <c r="M1056" s="39"/>
      <c r="N1056" s="39"/>
      <c r="O1056" s="39"/>
      <c r="P1056" s="39"/>
      <c r="Q1056" s="39"/>
      <c r="R1056" s="39"/>
      <c r="S1056" s="39"/>
      <c r="T1056" s="39"/>
    </row>
    <row r="1057" spans="1:20" ht="15.75">
      <c r="A1057" s="13">
        <v>73323</v>
      </c>
      <c r="B1057" s="47">
        <f t="shared" si="7"/>
        <v>30</v>
      </c>
      <c r="C1057" s="38">
        <v>194.20500000000001</v>
      </c>
      <c r="D1057" s="38">
        <v>267.46600000000001</v>
      </c>
      <c r="E1057" s="44">
        <v>812.32899999999995</v>
      </c>
      <c r="F1057" s="38">
        <v>1274</v>
      </c>
      <c r="G1057" s="38">
        <v>50</v>
      </c>
      <c r="H1057" s="46">
        <v>600</v>
      </c>
      <c r="I1057" s="38">
        <v>695</v>
      </c>
      <c r="J1057" s="38">
        <v>0</v>
      </c>
      <c r="K1057" s="39"/>
      <c r="L1057" s="39"/>
      <c r="M1057" s="39"/>
      <c r="N1057" s="39"/>
      <c r="O1057" s="39"/>
      <c r="P1057" s="39"/>
      <c r="Q1057" s="39"/>
      <c r="R1057" s="39"/>
      <c r="S1057" s="39"/>
      <c r="T1057" s="39"/>
    </row>
    <row r="1058" spans="1:20" ht="15.75">
      <c r="A1058" s="13">
        <v>73354</v>
      </c>
      <c r="B1058" s="47">
        <f t="shared" si="7"/>
        <v>31</v>
      </c>
      <c r="C1058" s="38">
        <v>131.881</v>
      </c>
      <c r="D1058" s="38">
        <v>277.16699999999997</v>
      </c>
      <c r="E1058" s="44">
        <v>829.952</v>
      </c>
      <c r="F1058" s="38">
        <v>1239</v>
      </c>
      <c r="G1058" s="38">
        <v>75</v>
      </c>
      <c r="H1058" s="46">
        <v>600</v>
      </c>
      <c r="I1058" s="38">
        <v>695</v>
      </c>
      <c r="J1058" s="38">
        <v>0</v>
      </c>
      <c r="K1058" s="39"/>
      <c r="L1058" s="39"/>
      <c r="M1058" s="39"/>
      <c r="N1058" s="39"/>
      <c r="O1058" s="39"/>
      <c r="P1058" s="39"/>
      <c r="Q1058" s="39"/>
      <c r="R1058" s="39"/>
      <c r="S1058" s="39"/>
      <c r="T1058" s="39"/>
    </row>
    <row r="1059" spans="1:20" ht="15.75">
      <c r="A1059" s="13">
        <v>73384</v>
      </c>
      <c r="B1059" s="47">
        <f t="shared" si="7"/>
        <v>30</v>
      </c>
      <c r="C1059" s="38">
        <v>122.58</v>
      </c>
      <c r="D1059" s="38">
        <v>297.94099999999997</v>
      </c>
      <c r="E1059" s="44">
        <v>729.47900000000004</v>
      </c>
      <c r="F1059" s="38">
        <v>1150</v>
      </c>
      <c r="G1059" s="38">
        <v>100</v>
      </c>
      <c r="H1059" s="46">
        <v>600</v>
      </c>
      <c r="I1059" s="38">
        <v>695</v>
      </c>
      <c r="J1059" s="38">
        <v>50</v>
      </c>
      <c r="K1059" s="39"/>
      <c r="L1059" s="39"/>
      <c r="M1059" s="39"/>
      <c r="N1059" s="39"/>
      <c r="O1059" s="39"/>
      <c r="P1059" s="39"/>
      <c r="Q1059" s="39"/>
      <c r="R1059" s="39"/>
      <c r="S1059" s="39"/>
      <c r="T1059" s="39"/>
    </row>
    <row r="1060" spans="1:20" ht="15.75">
      <c r="A1060" s="13">
        <v>73415</v>
      </c>
      <c r="B1060" s="47">
        <f t="shared" si="7"/>
        <v>31</v>
      </c>
      <c r="C1060" s="38">
        <v>122.58</v>
      </c>
      <c r="D1060" s="38">
        <v>297.94099999999997</v>
      </c>
      <c r="E1060" s="44">
        <v>729.47900000000004</v>
      </c>
      <c r="F1060" s="38">
        <v>1150</v>
      </c>
      <c r="G1060" s="38">
        <v>100</v>
      </c>
      <c r="H1060" s="46">
        <v>600</v>
      </c>
      <c r="I1060" s="38">
        <v>695</v>
      </c>
      <c r="J1060" s="38">
        <v>50</v>
      </c>
      <c r="K1060" s="39"/>
      <c r="L1060" s="39"/>
      <c r="M1060" s="39"/>
      <c r="N1060" s="39"/>
      <c r="O1060" s="39"/>
      <c r="P1060" s="39"/>
      <c r="Q1060" s="39"/>
      <c r="R1060" s="39"/>
      <c r="S1060" s="39"/>
      <c r="T1060" s="39"/>
    </row>
    <row r="1061" spans="1:20" ht="15">
      <c r="A1061" s="10"/>
      <c r="B1061" s="45"/>
      <c r="C1061" s="38"/>
      <c r="D1061" s="38"/>
      <c r="E1061" s="44"/>
      <c r="F1061" s="38"/>
      <c r="G1061" s="38"/>
      <c r="H1061" s="38"/>
      <c r="I1061" s="38"/>
      <c r="J1061" s="38"/>
      <c r="K1061" s="39"/>
      <c r="L1061" s="39"/>
      <c r="M1061" s="39"/>
      <c r="N1061" s="39"/>
      <c r="O1061" s="39"/>
      <c r="P1061" s="39"/>
      <c r="Q1061" s="39"/>
      <c r="R1061" s="39"/>
      <c r="S1061" s="39"/>
      <c r="T1061" s="39"/>
    </row>
    <row r="1062" spans="1:20" ht="15.75">
      <c r="A1062" s="3">
        <v>2014</v>
      </c>
      <c r="B1062" s="3">
        <f t="shared" ref="B1062:B1093" si="8">DATE(A1062+1,1,1)-DATE(A1062,1,1)</f>
        <v>365</v>
      </c>
      <c r="C1062" s="41">
        <f>AVERAGE(C17:C28)</f>
        <v>154.75825</v>
      </c>
      <c r="D1062" s="41">
        <f>AVERAGE(D17:D28)</f>
        <v>281.0162499999999</v>
      </c>
      <c r="E1062" s="41">
        <f>AVERAGE(E17:E28)</f>
        <v>801.55883333333315</v>
      </c>
      <c r="F1062" s="41">
        <f>AVERAGE(F17:F28)</f>
        <v>1237.3333333333333</v>
      </c>
      <c r="G1062" s="41">
        <f>AVERAGE(G17:G28)</f>
        <v>79.166666666666671</v>
      </c>
      <c r="H1062" s="43"/>
      <c r="I1062" s="41">
        <f>AVERAGE(I17:I28)</f>
        <v>695</v>
      </c>
      <c r="J1062" s="41">
        <f>AVERAGE(J17:J28)</f>
        <v>33.333333333333336</v>
      </c>
      <c r="K1062" s="39"/>
      <c r="L1062" s="39"/>
      <c r="M1062" s="39"/>
      <c r="N1062" s="39"/>
      <c r="O1062" s="39"/>
      <c r="P1062" s="39"/>
      <c r="Q1062" s="39"/>
      <c r="R1062" s="39"/>
      <c r="S1062" s="39"/>
      <c r="T1062" s="39"/>
    </row>
    <row r="1063" spans="1:20" ht="15.75">
      <c r="A1063" s="3">
        <v>2015</v>
      </c>
      <c r="B1063" s="3">
        <f t="shared" si="8"/>
        <v>365</v>
      </c>
      <c r="C1063" s="41">
        <f>AVERAGE(C29:C40)</f>
        <v>154.75825</v>
      </c>
      <c r="D1063" s="41">
        <f>AVERAGE(D29:D40)</f>
        <v>281.0162499999999</v>
      </c>
      <c r="E1063" s="41">
        <f>AVERAGE(E29:E40)</f>
        <v>801.55883333333315</v>
      </c>
      <c r="F1063" s="41">
        <f>AVERAGE(F29:F40)</f>
        <v>1237.3333333333333</v>
      </c>
      <c r="G1063" s="41">
        <f>AVERAGE(G29:G40)</f>
        <v>79.166666666666671</v>
      </c>
      <c r="H1063" s="43"/>
      <c r="I1063" s="41">
        <f>AVERAGE(I29:I40)</f>
        <v>695</v>
      </c>
      <c r="J1063" s="41">
        <f>AVERAGE(J29:J40)</f>
        <v>33.333333333333336</v>
      </c>
      <c r="K1063" s="39"/>
      <c r="L1063" s="39"/>
      <c r="M1063" s="39"/>
      <c r="N1063" s="39"/>
      <c r="O1063" s="39"/>
      <c r="P1063" s="39"/>
      <c r="Q1063" s="39"/>
      <c r="R1063" s="39"/>
      <c r="S1063" s="39"/>
      <c r="T1063" s="39"/>
    </row>
    <row r="1064" spans="1:20" ht="15.75">
      <c r="A1064" s="3">
        <v>2016</v>
      </c>
      <c r="B1064" s="3">
        <f t="shared" si="8"/>
        <v>366</v>
      </c>
      <c r="C1064" s="41">
        <f>AVERAGE(C41:C52)</f>
        <v>154.75825</v>
      </c>
      <c r="D1064" s="41">
        <f>AVERAGE(D41:D52)</f>
        <v>281.0162499999999</v>
      </c>
      <c r="E1064" s="41">
        <f>AVERAGE(E41:E52)</f>
        <v>780.7254999999999</v>
      </c>
      <c r="F1064" s="41">
        <f>AVERAGE(F41:F52)</f>
        <v>1216.5</v>
      </c>
      <c r="G1064" s="41">
        <f>AVERAGE(G41:G52)</f>
        <v>79.166666666666671</v>
      </c>
      <c r="H1064" s="43"/>
      <c r="I1064" s="41">
        <f>AVERAGE(I41:I52)</f>
        <v>695</v>
      </c>
      <c r="J1064" s="41">
        <f>AVERAGE(J41:J52)</f>
        <v>33.333333333333336</v>
      </c>
      <c r="K1064" s="39"/>
      <c r="L1064" s="39"/>
      <c r="M1064" s="39"/>
      <c r="N1064" s="39"/>
      <c r="O1064" s="39"/>
      <c r="P1064" s="39"/>
      <c r="Q1064" s="39"/>
      <c r="R1064" s="39"/>
      <c r="S1064" s="39"/>
      <c r="T1064" s="39"/>
    </row>
    <row r="1065" spans="1:20" ht="15">
      <c r="A1065" s="3">
        <v>2017</v>
      </c>
      <c r="B1065" s="3">
        <f t="shared" si="8"/>
        <v>365</v>
      </c>
      <c r="C1065" s="41">
        <f t="shared" ref="C1065:J1065" si="9">AVERAGE(C53:C64)</f>
        <v>154.75825</v>
      </c>
      <c r="D1065" s="41">
        <f t="shared" si="9"/>
        <v>281.0162499999999</v>
      </c>
      <c r="E1065" s="41">
        <f t="shared" si="9"/>
        <v>780.7254999999999</v>
      </c>
      <c r="F1065" s="41">
        <f t="shared" si="9"/>
        <v>1216.5</v>
      </c>
      <c r="G1065" s="41">
        <f t="shared" si="9"/>
        <v>79.166666666666671</v>
      </c>
      <c r="H1065" s="42">
        <f t="shared" si="9"/>
        <v>400</v>
      </c>
      <c r="I1065" s="41">
        <f t="shared" si="9"/>
        <v>695</v>
      </c>
      <c r="J1065" s="41">
        <f t="shared" si="9"/>
        <v>33.333333333333336</v>
      </c>
      <c r="K1065" s="39"/>
      <c r="L1065" s="39"/>
      <c r="M1065" s="39"/>
      <c r="N1065" s="39"/>
      <c r="O1065" s="39"/>
      <c r="P1065" s="39"/>
      <c r="Q1065" s="39"/>
      <c r="R1065" s="39"/>
      <c r="S1065" s="39"/>
      <c r="T1065" s="39"/>
    </row>
    <row r="1066" spans="1:20" ht="15">
      <c r="A1066" s="3">
        <v>2018</v>
      </c>
      <c r="B1066" s="3">
        <f t="shared" si="8"/>
        <v>365</v>
      </c>
      <c r="C1066" s="41">
        <f t="shared" ref="C1066:J1066" si="10">AVERAGE(C65:C76)</f>
        <v>154.75825</v>
      </c>
      <c r="D1066" s="41">
        <f t="shared" si="10"/>
        <v>281.0162499999999</v>
      </c>
      <c r="E1066" s="41">
        <f t="shared" si="10"/>
        <v>780.7254999999999</v>
      </c>
      <c r="F1066" s="41">
        <f t="shared" si="10"/>
        <v>1216.5</v>
      </c>
      <c r="G1066" s="41">
        <f t="shared" si="10"/>
        <v>79.166666666666671</v>
      </c>
      <c r="H1066" s="42">
        <f t="shared" si="10"/>
        <v>400</v>
      </c>
      <c r="I1066" s="41">
        <f t="shared" si="10"/>
        <v>695</v>
      </c>
      <c r="J1066" s="41">
        <f t="shared" si="10"/>
        <v>33.333333333333336</v>
      </c>
      <c r="K1066" s="39"/>
      <c r="L1066" s="39"/>
      <c r="M1066" s="39"/>
      <c r="N1066" s="39"/>
      <c r="O1066" s="39"/>
      <c r="P1066" s="39"/>
      <c r="Q1066" s="39"/>
      <c r="R1066" s="39"/>
      <c r="S1066" s="39"/>
      <c r="T1066" s="39"/>
    </row>
    <row r="1067" spans="1:20" ht="15">
      <c r="A1067" s="3">
        <v>2019</v>
      </c>
      <c r="B1067" s="3">
        <f t="shared" si="8"/>
        <v>365</v>
      </c>
      <c r="C1067" s="41">
        <f t="shared" ref="C1067:J1067" si="11">AVERAGE(C77:C88)</f>
        <v>154.75825</v>
      </c>
      <c r="D1067" s="41">
        <f t="shared" si="11"/>
        <v>281.0162499999999</v>
      </c>
      <c r="E1067" s="41">
        <f t="shared" si="11"/>
        <v>780.7254999999999</v>
      </c>
      <c r="F1067" s="41">
        <f t="shared" si="11"/>
        <v>1216.5</v>
      </c>
      <c r="G1067" s="41">
        <f t="shared" si="11"/>
        <v>79.166666666666671</v>
      </c>
      <c r="H1067" s="42">
        <f t="shared" si="11"/>
        <v>400</v>
      </c>
      <c r="I1067" s="41">
        <f t="shared" si="11"/>
        <v>695</v>
      </c>
      <c r="J1067" s="41">
        <f t="shared" si="11"/>
        <v>33.333333333333336</v>
      </c>
      <c r="K1067" s="39"/>
      <c r="L1067" s="39"/>
      <c r="M1067" s="39"/>
      <c r="N1067" s="39"/>
      <c r="O1067" s="39"/>
      <c r="P1067" s="39"/>
      <c r="Q1067" s="39"/>
      <c r="R1067" s="39"/>
      <c r="S1067" s="39"/>
      <c r="T1067" s="39"/>
    </row>
    <row r="1068" spans="1:20" ht="15">
      <c r="A1068" s="3">
        <v>2020</v>
      </c>
      <c r="B1068" s="3">
        <f t="shared" si="8"/>
        <v>366</v>
      </c>
      <c r="C1068" s="41">
        <f t="shared" ref="C1068:J1068" si="12">AVERAGE(C89:C100)</f>
        <v>154.75825</v>
      </c>
      <c r="D1068" s="41">
        <f t="shared" si="12"/>
        <v>281.0162499999999</v>
      </c>
      <c r="E1068" s="41">
        <f t="shared" si="12"/>
        <v>780.7254999999999</v>
      </c>
      <c r="F1068" s="41">
        <f t="shared" si="12"/>
        <v>1216.5</v>
      </c>
      <c r="G1068" s="41">
        <f t="shared" si="12"/>
        <v>79.166666666666671</v>
      </c>
      <c r="H1068" s="42">
        <f t="shared" si="12"/>
        <v>533.33333333333337</v>
      </c>
      <c r="I1068" s="41">
        <f t="shared" si="12"/>
        <v>695</v>
      </c>
      <c r="J1068" s="41">
        <f t="shared" si="12"/>
        <v>33.333333333333336</v>
      </c>
      <c r="K1068" s="39"/>
      <c r="L1068" s="39"/>
      <c r="M1068" s="39"/>
      <c r="N1068" s="39"/>
      <c r="O1068" s="39"/>
      <c r="P1068" s="39"/>
      <c r="Q1068" s="39"/>
      <c r="R1068" s="39"/>
      <c r="S1068" s="39"/>
      <c r="T1068" s="39"/>
    </row>
    <row r="1069" spans="1:20" ht="15">
      <c r="A1069" s="3">
        <v>2021</v>
      </c>
      <c r="B1069" s="3">
        <f t="shared" si="8"/>
        <v>365</v>
      </c>
      <c r="C1069" s="41">
        <f t="shared" ref="C1069:J1069" si="13">AVERAGE(C101:C112)</f>
        <v>154.75825</v>
      </c>
      <c r="D1069" s="41">
        <f t="shared" si="13"/>
        <v>281.0162499999999</v>
      </c>
      <c r="E1069" s="41">
        <f t="shared" si="13"/>
        <v>780.7254999999999</v>
      </c>
      <c r="F1069" s="41">
        <f t="shared" si="13"/>
        <v>1216.5</v>
      </c>
      <c r="G1069" s="41">
        <f t="shared" si="13"/>
        <v>79.166666666666671</v>
      </c>
      <c r="H1069" s="42">
        <f t="shared" si="13"/>
        <v>600</v>
      </c>
      <c r="I1069" s="41">
        <f t="shared" si="13"/>
        <v>695</v>
      </c>
      <c r="J1069" s="41">
        <f t="shared" si="13"/>
        <v>33.333333333333336</v>
      </c>
      <c r="K1069" s="39"/>
      <c r="L1069" s="39"/>
      <c r="M1069" s="39"/>
      <c r="N1069" s="39"/>
      <c r="O1069" s="39"/>
      <c r="P1069" s="39"/>
      <c r="Q1069" s="39"/>
      <c r="R1069" s="39"/>
      <c r="S1069" s="39"/>
      <c r="T1069" s="39"/>
    </row>
    <row r="1070" spans="1:20" ht="15">
      <c r="A1070" s="3">
        <v>2022</v>
      </c>
      <c r="B1070" s="3">
        <f t="shared" si="8"/>
        <v>365</v>
      </c>
      <c r="C1070" s="41">
        <f t="shared" ref="C1070:J1070" si="14">AVERAGE(C113:C124)</f>
        <v>154.75825</v>
      </c>
      <c r="D1070" s="41">
        <f t="shared" si="14"/>
        <v>281.0162499999999</v>
      </c>
      <c r="E1070" s="41">
        <f t="shared" si="14"/>
        <v>780.7254999999999</v>
      </c>
      <c r="F1070" s="41">
        <f t="shared" si="14"/>
        <v>1216.5</v>
      </c>
      <c r="G1070" s="41">
        <f t="shared" si="14"/>
        <v>79.166666666666671</v>
      </c>
      <c r="H1070" s="42">
        <f t="shared" si="14"/>
        <v>600</v>
      </c>
      <c r="I1070" s="41">
        <f t="shared" si="14"/>
        <v>695</v>
      </c>
      <c r="J1070" s="41">
        <f t="shared" si="14"/>
        <v>33.333333333333336</v>
      </c>
      <c r="K1070" s="39"/>
      <c r="L1070" s="39"/>
      <c r="M1070" s="39"/>
      <c r="N1070" s="39"/>
      <c r="O1070" s="39"/>
      <c r="P1070" s="39"/>
      <c r="Q1070" s="39"/>
      <c r="R1070" s="39"/>
      <c r="S1070" s="39"/>
      <c r="T1070" s="39"/>
    </row>
    <row r="1071" spans="1:20" ht="15">
      <c r="A1071" s="3">
        <v>2023</v>
      </c>
      <c r="B1071" s="3">
        <f t="shared" si="8"/>
        <v>365</v>
      </c>
      <c r="C1071" s="41">
        <f t="shared" ref="C1071:J1071" si="15">AVERAGE(C125:C136)</f>
        <v>154.75825</v>
      </c>
      <c r="D1071" s="41">
        <f t="shared" si="15"/>
        <v>281.0162499999999</v>
      </c>
      <c r="E1071" s="41">
        <f t="shared" si="15"/>
        <v>780.7254999999999</v>
      </c>
      <c r="F1071" s="41">
        <f t="shared" si="15"/>
        <v>1216.5</v>
      </c>
      <c r="G1071" s="41">
        <f t="shared" si="15"/>
        <v>79.166666666666671</v>
      </c>
      <c r="H1071" s="42">
        <f t="shared" si="15"/>
        <v>600</v>
      </c>
      <c r="I1071" s="41">
        <f t="shared" si="15"/>
        <v>695</v>
      </c>
      <c r="J1071" s="41">
        <f t="shared" si="15"/>
        <v>33.333333333333336</v>
      </c>
      <c r="K1071" s="39"/>
      <c r="L1071" s="39"/>
      <c r="M1071" s="39"/>
      <c r="N1071" s="39"/>
      <c r="O1071" s="39"/>
      <c r="P1071" s="39"/>
      <c r="Q1071" s="39"/>
      <c r="R1071" s="39"/>
      <c r="S1071" s="39"/>
      <c r="T1071" s="39"/>
    </row>
    <row r="1072" spans="1:20" ht="15">
      <c r="A1072" s="3">
        <v>2024</v>
      </c>
      <c r="B1072" s="3">
        <f t="shared" si="8"/>
        <v>366</v>
      </c>
      <c r="C1072" s="41">
        <f t="shared" ref="C1072:J1072" si="16">AVERAGE(C137:C148)</f>
        <v>154.75825</v>
      </c>
      <c r="D1072" s="41">
        <f t="shared" si="16"/>
        <v>281.0162499999999</v>
      </c>
      <c r="E1072" s="41">
        <f t="shared" si="16"/>
        <v>780.7254999999999</v>
      </c>
      <c r="F1072" s="41">
        <f t="shared" si="16"/>
        <v>1216.5</v>
      </c>
      <c r="G1072" s="41">
        <f t="shared" si="16"/>
        <v>79.166666666666671</v>
      </c>
      <c r="H1072" s="42">
        <f t="shared" si="16"/>
        <v>600</v>
      </c>
      <c r="I1072" s="41">
        <f t="shared" si="16"/>
        <v>695</v>
      </c>
      <c r="J1072" s="41">
        <f t="shared" si="16"/>
        <v>33.333333333333336</v>
      </c>
      <c r="K1072" s="39"/>
      <c r="L1072" s="39"/>
      <c r="M1072" s="39"/>
      <c r="N1072" s="39"/>
      <c r="O1072" s="39"/>
      <c r="P1072" s="39"/>
      <c r="Q1072" s="39"/>
      <c r="R1072" s="39"/>
      <c r="S1072" s="39"/>
      <c r="T1072" s="39"/>
    </row>
    <row r="1073" spans="1:20" ht="15">
      <c r="A1073" s="3">
        <v>2025</v>
      </c>
      <c r="B1073" s="3">
        <f t="shared" si="8"/>
        <v>365</v>
      </c>
      <c r="C1073" s="41">
        <f t="shared" ref="C1073:J1073" si="17">AVERAGE(C149:C160)</f>
        <v>154.75825</v>
      </c>
      <c r="D1073" s="41">
        <f t="shared" si="17"/>
        <v>281.0162499999999</v>
      </c>
      <c r="E1073" s="41">
        <f t="shared" si="17"/>
        <v>780.7254999999999</v>
      </c>
      <c r="F1073" s="41">
        <f t="shared" si="17"/>
        <v>1216.5</v>
      </c>
      <c r="G1073" s="41">
        <f t="shared" si="17"/>
        <v>79.166666666666671</v>
      </c>
      <c r="H1073" s="42">
        <f t="shared" si="17"/>
        <v>600</v>
      </c>
      <c r="I1073" s="41">
        <f t="shared" si="17"/>
        <v>695</v>
      </c>
      <c r="J1073" s="41">
        <f t="shared" si="17"/>
        <v>33.333333333333336</v>
      </c>
      <c r="K1073" s="39"/>
      <c r="L1073" s="39"/>
      <c r="M1073" s="39"/>
      <c r="N1073" s="39"/>
      <c r="O1073" s="39"/>
      <c r="P1073" s="39"/>
      <c r="Q1073" s="39"/>
      <c r="R1073" s="39"/>
      <c r="S1073" s="39"/>
      <c r="T1073" s="39"/>
    </row>
    <row r="1074" spans="1:20" ht="15">
      <c r="A1074" s="3">
        <v>2026</v>
      </c>
      <c r="B1074" s="3">
        <f t="shared" si="8"/>
        <v>365</v>
      </c>
      <c r="C1074" s="41">
        <f t="shared" ref="C1074:J1074" si="18">AVERAGE(C161:C172)</f>
        <v>154.75825</v>
      </c>
      <c r="D1074" s="41">
        <f t="shared" si="18"/>
        <v>281.0162499999999</v>
      </c>
      <c r="E1074" s="41">
        <f t="shared" si="18"/>
        <v>780.7254999999999</v>
      </c>
      <c r="F1074" s="41">
        <f t="shared" si="18"/>
        <v>1216.5</v>
      </c>
      <c r="G1074" s="41">
        <f t="shared" si="18"/>
        <v>79.166666666666671</v>
      </c>
      <c r="H1074" s="42">
        <f t="shared" si="18"/>
        <v>600</v>
      </c>
      <c r="I1074" s="41">
        <f t="shared" si="18"/>
        <v>695</v>
      </c>
      <c r="J1074" s="41">
        <f t="shared" si="18"/>
        <v>33.333333333333336</v>
      </c>
      <c r="K1074" s="39"/>
      <c r="L1074" s="39"/>
      <c r="M1074" s="39"/>
      <c r="N1074" s="39"/>
      <c r="O1074" s="39"/>
      <c r="P1074" s="39"/>
      <c r="Q1074" s="39"/>
      <c r="R1074" s="39"/>
      <c r="S1074" s="39"/>
      <c r="T1074" s="39"/>
    </row>
    <row r="1075" spans="1:20" ht="15">
      <c r="A1075" s="3">
        <v>2027</v>
      </c>
      <c r="B1075" s="3">
        <f t="shared" si="8"/>
        <v>365</v>
      </c>
      <c r="C1075" s="41">
        <f t="shared" ref="C1075:J1075" si="19">AVERAGE(C173:C184)</f>
        <v>154.75825</v>
      </c>
      <c r="D1075" s="41">
        <f t="shared" si="19"/>
        <v>281.0162499999999</v>
      </c>
      <c r="E1075" s="41">
        <f t="shared" si="19"/>
        <v>780.7254999999999</v>
      </c>
      <c r="F1075" s="41">
        <f t="shared" si="19"/>
        <v>1216.5</v>
      </c>
      <c r="G1075" s="41">
        <f t="shared" si="19"/>
        <v>79.166666666666671</v>
      </c>
      <c r="H1075" s="42">
        <f t="shared" si="19"/>
        <v>600</v>
      </c>
      <c r="I1075" s="41">
        <f t="shared" si="19"/>
        <v>695</v>
      </c>
      <c r="J1075" s="41">
        <f t="shared" si="19"/>
        <v>33.333333333333336</v>
      </c>
      <c r="K1075" s="39"/>
      <c r="L1075" s="39"/>
      <c r="M1075" s="39"/>
      <c r="N1075" s="39"/>
      <c r="O1075" s="39"/>
      <c r="P1075" s="39"/>
      <c r="Q1075" s="39"/>
      <c r="R1075" s="39"/>
      <c r="S1075" s="39"/>
      <c r="T1075" s="39"/>
    </row>
    <row r="1076" spans="1:20" ht="15">
      <c r="A1076" s="3">
        <v>2028</v>
      </c>
      <c r="B1076" s="3">
        <f t="shared" si="8"/>
        <v>366</v>
      </c>
      <c r="C1076" s="41">
        <f t="shared" ref="C1076:J1076" si="20">AVERAGE(C185:C196)</f>
        <v>154.75825</v>
      </c>
      <c r="D1076" s="41">
        <f t="shared" si="20"/>
        <v>281.0162499999999</v>
      </c>
      <c r="E1076" s="41">
        <f t="shared" si="20"/>
        <v>780.7254999999999</v>
      </c>
      <c r="F1076" s="41">
        <f t="shared" si="20"/>
        <v>1216.5</v>
      </c>
      <c r="G1076" s="41">
        <f t="shared" si="20"/>
        <v>79.166666666666671</v>
      </c>
      <c r="H1076" s="42">
        <f t="shared" si="20"/>
        <v>600</v>
      </c>
      <c r="I1076" s="41">
        <f t="shared" si="20"/>
        <v>695</v>
      </c>
      <c r="J1076" s="41">
        <f t="shared" si="20"/>
        <v>33.333333333333336</v>
      </c>
      <c r="K1076" s="39"/>
      <c r="L1076" s="39"/>
      <c r="M1076" s="39"/>
      <c r="N1076" s="39"/>
      <c r="O1076" s="39"/>
      <c r="P1076" s="39"/>
      <c r="Q1076" s="39"/>
      <c r="R1076" s="39"/>
      <c r="S1076" s="39"/>
      <c r="T1076" s="39"/>
    </row>
    <row r="1077" spans="1:20" ht="15">
      <c r="A1077" s="3">
        <v>2029</v>
      </c>
      <c r="B1077" s="3">
        <f t="shared" si="8"/>
        <v>365</v>
      </c>
      <c r="C1077" s="41">
        <f t="shared" ref="C1077:J1077" si="21">AVERAGE(C197:C208)</f>
        <v>154.75825</v>
      </c>
      <c r="D1077" s="41">
        <f t="shared" si="21"/>
        <v>281.0162499999999</v>
      </c>
      <c r="E1077" s="41">
        <f t="shared" si="21"/>
        <v>780.7254999999999</v>
      </c>
      <c r="F1077" s="41">
        <f t="shared" si="21"/>
        <v>1216.5</v>
      </c>
      <c r="G1077" s="41">
        <f t="shared" si="21"/>
        <v>79.166666666666671</v>
      </c>
      <c r="H1077" s="42">
        <f t="shared" si="21"/>
        <v>600</v>
      </c>
      <c r="I1077" s="41">
        <f t="shared" si="21"/>
        <v>695</v>
      </c>
      <c r="J1077" s="41">
        <f t="shared" si="21"/>
        <v>33.333333333333336</v>
      </c>
      <c r="K1077" s="39"/>
      <c r="L1077" s="39"/>
      <c r="M1077" s="39"/>
      <c r="N1077" s="39"/>
      <c r="O1077" s="39"/>
      <c r="P1077" s="39"/>
      <c r="Q1077" s="39"/>
      <c r="R1077" s="39"/>
      <c r="S1077" s="39"/>
      <c r="T1077" s="39"/>
    </row>
    <row r="1078" spans="1:20" ht="15">
      <c r="A1078" s="3">
        <v>2030</v>
      </c>
      <c r="B1078" s="3">
        <f t="shared" si="8"/>
        <v>365</v>
      </c>
      <c r="C1078" s="41">
        <f t="shared" ref="C1078:J1078" si="22">AVERAGE(C209:C220)</f>
        <v>154.75825</v>
      </c>
      <c r="D1078" s="41">
        <f t="shared" si="22"/>
        <v>281.0162499999999</v>
      </c>
      <c r="E1078" s="41">
        <f t="shared" si="22"/>
        <v>780.7254999999999</v>
      </c>
      <c r="F1078" s="41">
        <f t="shared" si="22"/>
        <v>1216.5</v>
      </c>
      <c r="G1078" s="41">
        <f t="shared" si="22"/>
        <v>79.166666666666671</v>
      </c>
      <c r="H1078" s="42">
        <f t="shared" si="22"/>
        <v>600</v>
      </c>
      <c r="I1078" s="41">
        <f t="shared" si="22"/>
        <v>695</v>
      </c>
      <c r="J1078" s="41">
        <f t="shared" si="22"/>
        <v>33.333333333333336</v>
      </c>
      <c r="K1078" s="39"/>
      <c r="L1078" s="39"/>
      <c r="M1078" s="39"/>
      <c r="N1078" s="39"/>
      <c r="O1078" s="39"/>
      <c r="P1078" s="39"/>
      <c r="Q1078" s="39"/>
      <c r="R1078" s="39"/>
      <c r="S1078" s="39"/>
      <c r="T1078" s="39"/>
    </row>
    <row r="1079" spans="1:20" ht="15">
      <c r="A1079" s="3">
        <v>2031</v>
      </c>
      <c r="B1079" s="3">
        <f t="shared" si="8"/>
        <v>365</v>
      </c>
      <c r="C1079" s="41">
        <f t="shared" ref="C1079:J1079" si="23">AVERAGE(C221:C232)</f>
        <v>154.75825</v>
      </c>
      <c r="D1079" s="41">
        <f t="shared" si="23"/>
        <v>281.0162499999999</v>
      </c>
      <c r="E1079" s="41">
        <f t="shared" si="23"/>
        <v>780.7254999999999</v>
      </c>
      <c r="F1079" s="41">
        <f t="shared" si="23"/>
        <v>1216.5</v>
      </c>
      <c r="G1079" s="41">
        <f t="shared" si="23"/>
        <v>79.166666666666671</v>
      </c>
      <c r="H1079" s="42">
        <f t="shared" si="23"/>
        <v>600</v>
      </c>
      <c r="I1079" s="41">
        <f t="shared" si="23"/>
        <v>695</v>
      </c>
      <c r="J1079" s="41">
        <f t="shared" si="23"/>
        <v>33.333333333333336</v>
      </c>
      <c r="K1079" s="39"/>
      <c r="L1079" s="39"/>
      <c r="M1079" s="39"/>
      <c r="N1079" s="39"/>
      <c r="O1079" s="39"/>
      <c r="P1079" s="39"/>
      <c r="Q1079" s="39"/>
      <c r="R1079" s="39"/>
      <c r="S1079" s="39"/>
      <c r="T1079" s="39"/>
    </row>
    <row r="1080" spans="1:20" ht="15">
      <c r="A1080" s="3">
        <v>2032</v>
      </c>
      <c r="B1080" s="3">
        <f t="shared" si="8"/>
        <v>366</v>
      </c>
      <c r="C1080" s="41">
        <f t="shared" ref="C1080:J1080" si="24">AVERAGE(C233:C244)</f>
        <v>154.75825</v>
      </c>
      <c r="D1080" s="41">
        <f t="shared" si="24"/>
        <v>281.0162499999999</v>
      </c>
      <c r="E1080" s="41">
        <f t="shared" si="24"/>
        <v>780.7254999999999</v>
      </c>
      <c r="F1080" s="41">
        <f t="shared" si="24"/>
        <v>1216.5</v>
      </c>
      <c r="G1080" s="41">
        <f t="shared" si="24"/>
        <v>79.166666666666671</v>
      </c>
      <c r="H1080" s="42">
        <f t="shared" si="24"/>
        <v>600</v>
      </c>
      <c r="I1080" s="41">
        <f t="shared" si="24"/>
        <v>695</v>
      </c>
      <c r="J1080" s="41">
        <f t="shared" si="24"/>
        <v>33.333333333333336</v>
      </c>
      <c r="K1080" s="39"/>
      <c r="L1080" s="39"/>
      <c r="M1080" s="39"/>
      <c r="N1080" s="39"/>
      <c r="O1080" s="39"/>
      <c r="P1080" s="39"/>
      <c r="Q1080" s="39"/>
      <c r="R1080" s="39"/>
      <c r="S1080" s="39"/>
      <c r="T1080" s="39"/>
    </row>
    <row r="1081" spans="1:20" ht="15">
      <c r="A1081" s="3">
        <v>2033</v>
      </c>
      <c r="B1081" s="3">
        <f t="shared" si="8"/>
        <v>365</v>
      </c>
      <c r="C1081" s="41">
        <f t="shared" ref="C1081:J1081" si="25">AVERAGE(C245:C256)</f>
        <v>154.75825</v>
      </c>
      <c r="D1081" s="41">
        <f t="shared" si="25"/>
        <v>281.0162499999999</v>
      </c>
      <c r="E1081" s="41">
        <f t="shared" si="25"/>
        <v>780.7254999999999</v>
      </c>
      <c r="F1081" s="41">
        <f t="shared" si="25"/>
        <v>1216.5</v>
      </c>
      <c r="G1081" s="41">
        <f t="shared" si="25"/>
        <v>79.166666666666671</v>
      </c>
      <c r="H1081" s="42">
        <f t="shared" si="25"/>
        <v>600</v>
      </c>
      <c r="I1081" s="41">
        <f t="shared" si="25"/>
        <v>695</v>
      </c>
      <c r="J1081" s="41">
        <f t="shared" si="25"/>
        <v>33.333333333333336</v>
      </c>
      <c r="K1081" s="39"/>
      <c r="L1081" s="39"/>
      <c r="M1081" s="39"/>
      <c r="N1081" s="39"/>
      <c r="O1081" s="39"/>
      <c r="P1081" s="39"/>
      <c r="Q1081" s="39"/>
      <c r="R1081" s="39"/>
      <c r="S1081" s="39"/>
      <c r="T1081" s="39"/>
    </row>
    <row r="1082" spans="1:20" ht="15">
      <c r="A1082" s="3">
        <v>2034</v>
      </c>
      <c r="B1082" s="3">
        <f t="shared" si="8"/>
        <v>365</v>
      </c>
      <c r="C1082" s="41">
        <f t="shared" ref="C1082:J1082" si="26">AVERAGE(C257:C268)</f>
        <v>154.75825</v>
      </c>
      <c r="D1082" s="41">
        <f t="shared" si="26"/>
        <v>281.0162499999999</v>
      </c>
      <c r="E1082" s="41">
        <f t="shared" si="26"/>
        <v>780.7254999999999</v>
      </c>
      <c r="F1082" s="41">
        <f t="shared" si="26"/>
        <v>1216.5</v>
      </c>
      <c r="G1082" s="41">
        <f t="shared" si="26"/>
        <v>79.166666666666671</v>
      </c>
      <c r="H1082" s="42">
        <f t="shared" si="26"/>
        <v>600</v>
      </c>
      <c r="I1082" s="41">
        <f t="shared" si="26"/>
        <v>695</v>
      </c>
      <c r="J1082" s="41">
        <f t="shared" si="26"/>
        <v>33.333333333333336</v>
      </c>
      <c r="K1082" s="39"/>
      <c r="L1082" s="39"/>
      <c r="M1082" s="39"/>
      <c r="N1082" s="39"/>
      <c r="O1082" s="39"/>
      <c r="P1082" s="39"/>
      <c r="Q1082" s="39"/>
      <c r="R1082" s="39"/>
      <c r="S1082" s="39"/>
      <c r="T1082" s="39"/>
    </row>
    <row r="1083" spans="1:20" ht="15">
      <c r="A1083" s="3">
        <v>2035</v>
      </c>
      <c r="B1083" s="3">
        <f t="shared" si="8"/>
        <v>365</v>
      </c>
      <c r="C1083" s="41">
        <f t="shared" ref="C1083:J1083" si="27">AVERAGE(C269:C280)</f>
        <v>154.75825</v>
      </c>
      <c r="D1083" s="41">
        <f t="shared" si="27"/>
        <v>281.0162499999999</v>
      </c>
      <c r="E1083" s="41">
        <f t="shared" si="27"/>
        <v>780.7254999999999</v>
      </c>
      <c r="F1083" s="41">
        <f t="shared" si="27"/>
        <v>1216.5</v>
      </c>
      <c r="G1083" s="41">
        <f t="shared" si="27"/>
        <v>79.166666666666671</v>
      </c>
      <c r="H1083" s="42">
        <f t="shared" si="27"/>
        <v>600</v>
      </c>
      <c r="I1083" s="41">
        <f t="shared" si="27"/>
        <v>695</v>
      </c>
      <c r="J1083" s="41">
        <f t="shared" si="27"/>
        <v>33.333333333333336</v>
      </c>
      <c r="K1083" s="39"/>
      <c r="L1083" s="39"/>
      <c r="M1083" s="39"/>
      <c r="N1083" s="39"/>
      <c r="O1083" s="39"/>
      <c r="P1083" s="39"/>
      <c r="Q1083" s="39"/>
      <c r="R1083" s="39"/>
      <c r="S1083" s="39"/>
      <c r="T1083" s="39"/>
    </row>
    <row r="1084" spans="1:20" ht="15">
      <c r="A1084" s="3">
        <v>2036</v>
      </c>
      <c r="B1084" s="3">
        <f t="shared" si="8"/>
        <v>366</v>
      </c>
      <c r="C1084" s="41">
        <f t="shared" ref="C1084:J1084" si="28">AVERAGE(C281:C292)</f>
        <v>154.75825</v>
      </c>
      <c r="D1084" s="41">
        <f t="shared" si="28"/>
        <v>281.0162499999999</v>
      </c>
      <c r="E1084" s="41">
        <f t="shared" si="28"/>
        <v>780.7254999999999</v>
      </c>
      <c r="F1084" s="41">
        <f t="shared" si="28"/>
        <v>1216.5</v>
      </c>
      <c r="G1084" s="41">
        <f t="shared" si="28"/>
        <v>79.166666666666671</v>
      </c>
      <c r="H1084" s="42">
        <f t="shared" si="28"/>
        <v>600</v>
      </c>
      <c r="I1084" s="41">
        <f t="shared" si="28"/>
        <v>695</v>
      </c>
      <c r="J1084" s="41">
        <f t="shared" si="28"/>
        <v>33.333333333333336</v>
      </c>
      <c r="K1084" s="39"/>
      <c r="L1084" s="39"/>
      <c r="M1084" s="39"/>
      <c r="N1084" s="39"/>
      <c r="O1084" s="39"/>
      <c r="P1084" s="39"/>
      <c r="Q1084" s="39"/>
      <c r="R1084" s="39"/>
      <c r="S1084" s="39"/>
      <c r="T1084" s="39"/>
    </row>
    <row r="1085" spans="1:20" ht="15">
      <c r="A1085" s="3">
        <v>2037</v>
      </c>
      <c r="B1085" s="3">
        <f t="shared" si="8"/>
        <v>365</v>
      </c>
      <c r="C1085" s="41">
        <f t="shared" ref="C1085:J1085" si="29">AVERAGE(C293:C304)</f>
        <v>154.75825</v>
      </c>
      <c r="D1085" s="41">
        <f t="shared" si="29"/>
        <v>281.0162499999999</v>
      </c>
      <c r="E1085" s="41">
        <f t="shared" si="29"/>
        <v>780.7254999999999</v>
      </c>
      <c r="F1085" s="41">
        <f t="shared" si="29"/>
        <v>1216.5</v>
      </c>
      <c r="G1085" s="41">
        <f t="shared" si="29"/>
        <v>79.166666666666671</v>
      </c>
      <c r="H1085" s="42">
        <f t="shared" si="29"/>
        <v>600</v>
      </c>
      <c r="I1085" s="41">
        <f t="shared" si="29"/>
        <v>695</v>
      </c>
      <c r="J1085" s="41">
        <f t="shared" si="29"/>
        <v>33.333333333333336</v>
      </c>
      <c r="K1085" s="39"/>
      <c r="L1085" s="39"/>
      <c r="M1085" s="39"/>
      <c r="N1085" s="39"/>
      <c r="O1085" s="39"/>
      <c r="P1085" s="39"/>
      <c r="Q1085" s="39"/>
      <c r="R1085" s="39"/>
      <c r="S1085" s="39"/>
      <c r="T1085" s="39"/>
    </row>
    <row r="1086" spans="1:20" ht="15">
      <c r="A1086" s="3">
        <f t="shared" ref="A1086:A1117" si="30">A1085+1</f>
        <v>2038</v>
      </c>
      <c r="B1086" s="3">
        <f t="shared" si="8"/>
        <v>365</v>
      </c>
      <c r="C1086" s="38">
        <f t="shared" ref="C1086:J1086" si="31">AVERAGE(C305:C316)</f>
        <v>154.75825</v>
      </c>
      <c r="D1086" s="38">
        <f t="shared" si="31"/>
        <v>281.0162499999999</v>
      </c>
      <c r="E1086" s="38">
        <f t="shared" si="31"/>
        <v>780.7254999999999</v>
      </c>
      <c r="F1086" s="38">
        <f t="shared" si="31"/>
        <v>1216.5</v>
      </c>
      <c r="G1086" s="38">
        <f t="shared" si="31"/>
        <v>79.166666666666671</v>
      </c>
      <c r="H1086" s="40">
        <f t="shared" si="31"/>
        <v>600</v>
      </c>
      <c r="I1086" s="38">
        <f t="shared" si="31"/>
        <v>695</v>
      </c>
      <c r="J1086" s="38">
        <f t="shared" si="31"/>
        <v>33.333333333333336</v>
      </c>
      <c r="K1086" s="39"/>
      <c r="L1086" s="39"/>
      <c r="M1086" s="39"/>
      <c r="N1086" s="39"/>
      <c r="O1086" s="39"/>
      <c r="P1086" s="39"/>
      <c r="Q1086" s="39"/>
      <c r="R1086" s="39"/>
      <c r="S1086" s="39"/>
      <c r="T1086" s="39"/>
    </row>
    <row r="1087" spans="1:20" ht="15">
      <c r="A1087" s="3">
        <f t="shared" si="30"/>
        <v>2039</v>
      </c>
      <c r="B1087" s="3">
        <f t="shared" si="8"/>
        <v>365</v>
      </c>
      <c r="C1087" s="38">
        <f t="shared" ref="C1087:J1087" si="32">AVERAGE(C317:C328)</f>
        <v>154.75825</v>
      </c>
      <c r="D1087" s="38">
        <f t="shared" si="32"/>
        <v>281.0162499999999</v>
      </c>
      <c r="E1087" s="38">
        <f t="shared" si="32"/>
        <v>780.7254999999999</v>
      </c>
      <c r="F1087" s="38">
        <f t="shared" si="32"/>
        <v>1216.5</v>
      </c>
      <c r="G1087" s="38">
        <f t="shared" si="32"/>
        <v>79.166666666666671</v>
      </c>
      <c r="H1087" s="40">
        <f t="shared" si="32"/>
        <v>600</v>
      </c>
      <c r="I1087" s="38">
        <f t="shared" si="32"/>
        <v>695</v>
      </c>
      <c r="J1087" s="38">
        <f t="shared" si="32"/>
        <v>33.333333333333336</v>
      </c>
      <c r="K1087" s="39"/>
      <c r="L1087" s="39"/>
      <c r="M1087" s="39"/>
      <c r="N1087" s="39"/>
      <c r="O1087" s="39"/>
      <c r="P1087" s="39"/>
      <c r="Q1087" s="39"/>
      <c r="R1087" s="39"/>
      <c r="S1087" s="39"/>
      <c r="T1087" s="39"/>
    </row>
    <row r="1088" spans="1:20" ht="15">
      <c r="A1088" s="3">
        <f t="shared" si="30"/>
        <v>2040</v>
      </c>
      <c r="B1088" s="3">
        <f t="shared" si="8"/>
        <v>366</v>
      </c>
      <c r="C1088" s="38">
        <f t="shared" ref="C1088:J1088" si="33">AVERAGE(C329:C340)</f>
        <v>154.75825</v>
      </c>
      <c r="D1088" s="38">
        <f t="shared" si="33"/>
        <v>281.0162499999999</v>
      </c>
      <c r="E1088" s="38">
        <f t="shared" si="33"/>
        <v>780.7254999999999</v>
      </c>
      <c r="F1088" s="38">
        <f t="shared" si="33"/>
        <v>1216.5</v>
      </c>
      <c r="G1088" s="38">
        <f t="shared" si="33"/>
        <v>79.166666666666671</v>
      </c>
      <c r="H1088" s="40">
        <f t="shared" si="33"/>
        <v>600</v>
      </c>
      <c r="I1088" s="38">
        <f t="shared" si="33"/>
        <v>695</v>
      </c>
      <c r="J1088" s="38">
        <f t="shared" si="33"/>
        <v>33.333333333333336</v>
      </c>
      <c r="K1088" s="39"/>
      <c r="L1088" s="39"/>
      <c r="M1088" s="39"/>
      <c r="N1088" s="39"/>
      <c r="O1088" s="39"/>
      <c r="P1088" s="39"/>
      <c r="Q1088" s="39"/>
      <c r="R1088" s="39"/>
      <c r="S1088" s="39"/>
      <c r="T1088" s="39"/>
    </row>
    <row r="1089" spans="1:20" ht="15">
      <c r="A1089" s="3">
        <f t="shared" si="30"/>
        <v>2041</v>
      </c>
      <c r="B1089" s="3">
        <f t="shared" si="8"/>
        <v>365</v>
      </c>
      <c r="C1089" s="38">
        <f t="shared" ref="C1089:J1089" si="34">AVERAGE(C341:C352)</f>
        <v>154.75825</v>
      </c>
      <c r="D1089" s="38">
        <f t="shared" si="34"/>
        <v>281.0162499999999</v>
      </c>
      <c r="E1089" s="38">
        <f t="shared" si="34"/>
        <v>780.7254999999999</v>
      </c>
      <c r="F1089" s="38">
        <f t="shared" si="34"/>
        <v>1216.5</v>
      </c>
      <c r="G1089" s="38">
        <f t="shared" si="34"/>
        <v>79.166666666666671</v>
      </c>
      <c r="H1089" s="40">
        <f t="shared" si="34"/>
        <v>600</v>
      </c>
      <c r="I1089" s="38">
        <f t="shared" si="34"/>
        <v>695</v>
      </c>
      <c r="J1089" s="38">
        <f t="shared" si="34"/>
        <v>33.333333333333336</v>
      </c>
      <c r="K1089" s="39"/>
      <c r="L1089" s="39"/>
      <c r="M1089" s="39"/>
      <c r="N1089" s="39"/>
      <c r="O1089" s="39"/>
      <c r="P1089" s="39"/>
      <c r="Q1089" s="39"/>
      <c r="R1089" s="39"/>
      <c r="S1089" s="39"/>
      <c r="T1089" s="39"/>
    </row>
    <row r="1090" spans="1:20" ht="15">
      <c r="A1090" s="3">
        <f t="shared" si="30"/>
        <v>2042</v>
      </c>
      <c r="B1090" s="3">
        <f t="shared" si="8"/>
        <v>365</v>
      </c>
      <c r="C1090" s="38">
        <f t="shared" ref="C1090:J1090" si="35">AVERAGE(C353:C364)</f>
        <v>154.75825</v>
      </c>
      <c r="D1090" s="38">
        <f t="shared" si="35"/>
        <v>281.0162499999999</v>
      </c>
      <c r="E1090" s="38">
        <f t="shared" si="35"/>
        <v>780.7254999999999</v>
      </c>
      <c r="F1090" s="38">
        <f t="shared" si="35"/>
        <v>1216.5</v>
      </c>
      <c r="G1090" s="38">
        <f t="shared" si="35"/>
        <v>79.166666666666671</v>
      </c>
      <c r="H1090" s="40">
        <f t="shared" si="35"/>
        <v>600</v>
      </c>
      <c r="I1090" s="38">
        <f t="shared" si="35"/>
        <v>695</v>
      </c>
      <c r="J1090" s="38">
        <f t="shared" si="35"/>
        <v>33.333333333333336</v>
      </c>
      <c r="K1090" s="39"/>
      <c r="L1090" s="39"/>
      <c r="M1090" s="39"/>
      <c r="N1090" s="39"/>
      <c r="O1090" s="39"/>
      <c r="P1090" s="39"/>
      <c r="Q1090" s="39"/>
      <c r="R1090" s="39"/>
      <c r="S1090" s="39"/>
      <c r="T1090" s="39"/>
    </row>
    <row r="1091" spans="1:20" ht="15">
      <c r="A1091" s="3">
        <f t="shared" si="30"/>
        <v>2043</v>
      </c>
      <c r="B1091" s="3">
        <f t="shared" si="8"/>
        <v>365</v>
      </c>
      <c r="C1091" s="38">
        <f t="shared" ref="C1091:J1091" si="36">AVERAGE(C365:C376)</f>
        <v>154.75825</v>
      </c>
      <c r="D1091" s="38">
        <f t="shared" si="36"/>
        <v>281.0162499999999</v>
      </c>
      <c r="E1091" s="38">
        <f t="shared" si="36"/>
        <v>780.7254999999999</v>
      </c>
      <c r="F1091" s="38">
        <f t="shared" si="36"/>
        <v>1216.5</v>
      </c>
      <c r="G1091" s="38">
        <f t="shared" si="36"/>
        <v>79.166666666666671</v>
      </c>
      <c r="H1091" s="40">
        <f t="shared" si="36"/>
        <v>600</v>
      </c>
      <c r="I1091" s="38">
        <f t="shared" si="36"/>
        <v>695</v>
      </c>
      <c r="J1091" s="38">
        <f t="shared" si="36"/>
        <v>33.333333333333336</v>
      </c>
      <c r="K1091" s="39"/>
      <c r="L1091" s="39"/>
      <c r="M1091" s="39"/>
      <c r="N1091" s="39"/>
      <c r="O1091" s="39"/>
      <c r="P1091" s="39"/>
      <c r="Q1091" s="39"/>
      <c r="R1091" s="39"/>
      <c r="S1091" s="39"/>
      <c r="T1091" s="39"/>
    </row>
    <row r="1092" spans="1:20" ht="15">
      <c r="A1092" s="3">
        <f t="shared" si="30"/>
        <v>2044</v>
      </c>
      <c r="B1092" s="3">
        <f t="shared" si="8"/>
        <v>366</v>
      </c>
      <c r="C1092" s="38">
        <f t="shared" ref="C1092:J1092" si="37">AVERAGE(C377:C388)</f>
        <v>154.75825</v>
      </c>
      <c r="D1092" s="38">
        <f t="shared" si="37"/>
        <v>281.0162499999999</v>
      </c>
      <c r="E1092" s="38">
        <f t="shared" si="37"/>
        <v>780.7254999999999</v>
      </c>
      <c r="F1092" s="38">
        <f t="shared" si="37"/>
        <v>1216.5</v>
      </c>
      <c r="G1092" s="38">
        <f t="shared" si="37"/>
        <v>79.166666666666671</v>
      </c>
      <c r="H1092" s="40">
        <f t="shared" si="37"/>
        <v>600</v>
      </c>
      <c r="I1092" s="38">
        <f t="shared" si="37"/>
        <v>695</v>
      </c>
      <c r="J1092" s="38">
        <f t="shared" si="37"/>
        <v>33.333333333333336</v>
      </c>
      <c r="K1092" s="39"/>
      <c r="L1092" s="39"/>
      <c r="M1092" s="39"/>
      <c r="N1092" s="39"/>
      <c r="O1092" s="39"/>
      <c r="P1092" s="39"/>
      <c r="Q1092" s="39"/>
      <c r="R1092" s="39"/>
      <c r="S1092" s="39"/>
      <c r="T1092" s="39"/>
    </row>
    <row r="1093" spans="1:20" ht="15">
      <c r="A1093" s="3">
        <f t="shared" si="30"/>
        <v>2045</v>
      </c>
      <c r="B1093" s="3">
        <f t="shared" si="8"/>
        <v>365</v>
      </c>
      <c r="C1093" s="38">
        <f t="shared" ref="C1093:J1093" si="38">AVERAGE(C389:C400)</f>
        <v>154.75825</v>
      </c>
      <c r="D1093" s="38">
        <f t="shared" si="38"/>
        <v>281.0162499999999</v>
      </c>
      <c r="E1093" s="38">
        <f t="shared" si="38"/>
        <v>780.7254999999999</v>
      </c>
      <c r="F1093" s="38">
        <f t="shared" si="38"/>
        <v>1216.5</v>
      </c>
      <c r="G1093" s="38">
        <f t="shared" si="38"/>
        <v>79.166666666666671</v>
      </c>
      <c r="H1093" s="40">
        <f t="shared" si="38"/>
        <v>600</v>
      </c>
      <c r="I1093" s="38">
        <f t="shared" si="38"/>
        <v>695</v>
      </c>
      <c r="J1093" s="38">
        <f t="shared" si="38"/>
        <v>33.333333333333336</v>
      </c>
      <c r="K1093" s="39"/>
      <c r="L1093" s="39"/>
      <c r="M1093" s="39"/>
      <c r="N1093" s="39"/>
      <c r="O1093" s="39"/>
      <c r="P1093" s="39"/>
      <c r="Q1093" s="39"/>
      <c r="R1093" s="39"/>
      <c r="S1093" s="39"/>
      <c r="T1093" s="39"/>
    </row>
    <row r="1094" spans="1:20" ht="15">
      <c r="A1094" s="3">
        <f t="shared" si="30"/>
        <v>2046</v>
      </c>
      <c r="B1094" s="3">
        <f t="shared" ref="B1094:B1125" si="39">DATE(A1094+1,1,1)-DATE(A1094,1,1)</f>
        <v>365</v>
      </c>
      <c r="C1094" s="38">
        <f t="shared" ref="C1094:J1094" si="40">AVERAGE(C401:C412)</f>
        <v>154.75825</v>
      </c>
      <c r="D1094" s="38">
        <f t="shared" si="40"/>
        <v>281.0162499999999</v>
      </c>
      <c r="E1094" s="38">
        <f t="shared" si="40"/>
        <v>780.7254999999999</v>
      </c>
      <c r="F1094" s="38">
        <f t="shared" si="40"/>
        <v>1216.5</v>
      </c>
      <c r="G1094" s="38">
        <f t="shared" si="40"/>
        <v>79.166666666666671</v>
      </c>
      <c r="H1094" s="40">
        <f t="shared" si="40"/>
        <v>600</v>
      </c>
      <c r="I1094" s="38">
        <f t="shared" si="40"/>
        <v>695</v>
      </c>
      <c r="J1094" s="38">
        <f t="shared" si="40"/>
        <v>33.333333333333336</v>
      </c>
      <c r="K1094" s="39"/>
      <c r="L1094" s="39"/>
      <c r="M1094" s="39"/>
      <c r="N1094" s="39"/>
      <c r="O1094" s="39"/>
      <c r="P1094" s="39"/>
      <c r="Q1094" s="39"/>
      <c r="R1094" s="39"/>
      <c r="S1094" s="39"/>
      <c r="T1094" s="39"/>
    </row>
    <row r="1095" spans="1:20" ht="15">
      <c r="A1095" s="3">
        <f t="shared" si="30"/>
        <v>2047</v>
      </c>
      <c r="B1095" s="3">
        <f t="shared" si="39"/>
        <v>365</v>
      </c>
      <c r="C1095" s="38">
        <f t="shared" ref="C1095:J1095" si="41">AVERAGE(C413:C424)</f>
        <v>154.75825</v>
      </c>
      <c r="D1095" s="38">
        <f t="shared" si="41"/>
        <v>281.0162499999999</v>
      </c>
      <c r="E1095" s="38">
        <f t="shared" si="41"/>
        <v>780.7254999999999</v>
      </c>
      <c r="F1095" s="38">
        <f t="shared" si="41"/>
        <v>1216.5</v>
      </c>
      <c r="G1095" s="38">
        <f t="shared" si="41"/>
        <v>79.166666666666671</v>
      </c>
      <c r="H1095" s="40">
        <f t="shared" si="41"/>
        <v>600</v>
      </c>
      <c r="I1095" s="38">
        <f t="shared" si="41"/>
        <v>695</v>
      </c>
      <c r="J1095" s="38">
        <f t="shared" si="41"/>
        <v>33.333333333333336</v>
      </c>
      <c r="K1095" s="39"/>
      <c r="L1095" s="39"/>
      <c r="M1095" s="39"/>
      <c r="N1095" s="39"/>
      <c r="O1095" s="39"/>
      <c r="P1095" s="39"/>
      <c r="Q1095" s="39"/>
      <c r="R1095" s="39"/>
      <c r="S1095" s="39"/>
      <c r="T1095" s="39"/>
    </row>
    <row r="1096" spans="1:20" ht="15">
      <c r="A1096" s="3">
        <f t="shared" si="30"/>
        <v>2048</v>
      </c>
      <c r="B1096" s="3">
        <f t="shared" si="39"/>
        <v>366</v>
      </c>
      <c r="C1096" s="38">
        <f t="shared" ref="C1096:J1096" si="42">AVERAGE(C425:C436)</f>
        <v>154.75825</v>
      </c>
      <c r="D1096" s="38">
        <f t="shared" si="42"/>
        <v>281.0162499999999</v>
      </c>
      <c r="E1096" s="38">
        <f t="shared" si="42"/>
        <v>780.7254999999999</v>
      </c>
      <c r="F1096" s="38">
        <f t="shared" si="42"/>
        <v>1216.5</v>
      </c>
      <c r="G1096" s="38">
        <f t="shared" si="42"/>
        <v>79.166666666666671</v>
      </c>
      <c r="H1096" s="40">
        <f t="shared" si="42"/>
        <v>600</v>
      </c>
      <c r="I1096" s="38">
        <f t="shared" si="42"/>
        <v>695</v>
      </c>
      <c r="J1096" s="38">
        <f t="shared" si="42"/>
        <v>33.333333333333336</v>
      </c>
      <c r="K1096" s="39"/>
      <c r="L1096" s="39"/>
      <c r="M1096" s="39"/>
      <c r="N1096" s="39"/>
      <c r="O1096" s="39"/>
      <c r="P1096" s="39"/>
      <c r="Q1096" s="39"/>
      <c r="R1096" s="39"/>
      <c r="S1096" s="39"/>
      <c r="T1096" s="39"/>
    </row>
    <row r="1097" spans="1:20" ht="15">
      <c r="A1097" s="3">
        <f t="shared" si="30"/>
        <v>2049</v>
      </c>
      <c r="B1097" s="3">
        <f t="shared" si="39"/>
        <v>365</v>
      </c>
      <c r="C1097" s="38">
        <f t="shared" ref="C1097:J1097" si="43">AVERAGE(C437:C448)</f>
        <v>154.75825</v>
      </c>
      <c r="D1097" s="38">
        <f t="shared" si="43"/>
        <v>281.0162499999999</v>
      </c>
      <c r="E1097" s="38">
        <f t="shared" si="43"/>
        <v>780.7254999999999</v>
      </c>
      <c r="F1097" s="38">
        <f t="shared" si="43"/>
        <v>1216.5</v>
      </c>
      <c r="G1097" s="38">
        <f t="shared" si="43"/>
        <v>79.166666666666671</v>
      </c>
      <c r="H1097" s="40">
        <f t="shared" si="43"/>
        <v>600</v>
      </c>
      <c r="I1097" s="38">
        <f t="shared" si="43"/>
        <v>695</v>
      </c>
      <c r="J1097" s="38">
        <f t="shared" si="43"/>
        <v>33.333333333333336</v>
      </c>
      <c r="K1097" s="39"/>
      <c r="L1097" s="39"/>
      <c r="M1097" s="39"/>
      <c r="N1097" s="39"/>
      <c r="O1097" s="39"/>
      <c r="P1097" s="39"/>
      <c r="Q1097" s="39"/>
      <c r="R1097" s="39"/>
      <c r="S1097" s="39"/>
      <c r="T1097" s="39"/>
    </row>
    <row r="1098" spans="1:20" ht="15">
      <c r="A1098" s="3">
        <f t="shared" si="30"/>
        <v>2050</v>
      </c>
      <c r="B1098" s="3">
        <f t="shared" si="39"/>
        <v>365</v>
      </c>
      <c r="C1098" s="38">
        <f t="shared" ref="C1098:J1098" si="44">AVERAGE(C449:C460)</f>
        <v>154.75825</v>
      </c>
      <c r="D1098" s="38">
        <f t="shared" si="44"/>
        <v>281.0162499999999</v>
      </c>
      <c r="E1098" s="38">
        <f t="shared" si="44"/>
        <v>780.7254999999999</v>
      </c>
      <c r="F1098" s="38">
        <f t="shared" si="44"/>
        <v>1216.5</v>
      </c>
      <c r="G1098" s="38">
        <f t="shared" si="44"/>
        <v>79.166666666666671</v>
      </c>
      <c r="H1098" s="40">
        <f t="shared" si="44"/>
        <v>600</v>
      </c>
      <c r="I1098" s="38">
        <f t="shared" si="44"/>
        <v>695</v>
      </c>
      <c r="J1098" s="38">
        <f t="shared" si="44"/>
        <v>33.333333333333336</v>
      </c>
      <c r="K1098" s="39"/>
      <c r="L1098" s="39"/>
      <c r="M1098" s="39"/>
      <c r="N1098" s="39"/>
      <c r="O1098" s="39"/>
      <c r="P1098" s="39"/>
      <c r="Q1098" s="39"/>
      <c r="R1098" s="39"/>
      <c r="S1098" s="39"/>
      <c r="T1098" s="39"/>
    </row>
    <row r="1099" spans="1:20" ht="15">
      <c r="A1099" s="3">
        <f t="shared" si="30"/>
        <v>2051</v>
      </c>
      <c r="B1099" s="3">
        <f t="shared" si="39"/>
        <v>365</v>
      </c>
      <c r="C1099" s="38">
        <f t="shared" ref="C1099:J1099" si="45">AVERAGE(C461:C472)</f>
        <v>154.75825</v>
      </c>
      <c r="D1099" s="38">
        <f t="shared" si="45"/>
        <v>281.0162499999999</v>
      </c>
      <c r="E1099" s="38">
        <f t="shared" si="45"/>
        <v>780.7254999999999</v>
      </c>
      <c r="F1099" s="38">
        <f t="shared" si="45"/>
        <v>1216.5</v>
      </c>
      <c r="G1099" s="38">
        <f t="shared" si="45"/>
        <v>79.166666666666671</v>
      </c>
      <c r="H1099" s="40">
        <f t="shared" si="45"/>
        <v>600</v>
      </c>
      <c r="I1099" s="38">
        <f t="shared" si="45"/>
        <v>695</v>
      </c>
      <c r="J1099" s="38">
        <f t="shared" si="45"/>
        <v>33.333333333333336</v>
      </c>
      <c r="K1099" s="39"/>
      <c r="L1099" s="39"/>
      <c r="M1099" s="39"/>
      <c r="N1099" s="39"/>
      <c r="O1099" s="39"/>
      <c r="P1099" s="39"/>
      <c r="Q1099" s="39"/>
      <c r="R1099" s="39"/>
      <c r="S1099" s="39"/>
      <c r="T1099" s="39"/>
    </row>
    <row r="1100" spans="1:20" ht="15">
      <c r="A1100" s="3">
        <f t="shared" si="30"/>
        <v>2052</v>
      </c>
      <c r="B1100" s="3">
        <f t="shared" si="39"/>
        <v>366</v>
      </c>
      <c r="C1100" s="38">
        <f t="shared" ref="C1100:J1100" si="46">AVERAGE(C473:C484)</f>
        <v>154.75825</v>
      </c>
      <c r="D1100" s="38">
        <f t="shared" si="46"/>
        <v>281.0162499999999</v>
      </c>
      <c r="E1100" s="38">
        <f t="shared" si="46"/>
        <v>780.7254999999999</v>
      </c>
      <c r="F1100" s="38">
        <f t="shared" si="46"/>
        <v>1216.5</v>
      </c>
      <c r="G1100" s="38">
        <f t="shared" si="46"/>
        <v>79.166666666666671</v>
      </c>
      <c r="H1100" s="40">
        <f t="shared" si="46"/>
        <v>600</v>
      </c>
      <c r="I1100" s="38">
        <f t="shared" si="46"/>
        <v>695</v>
      </c>
      <c r="J1100" s="38">
        <f t="shared" si="46"/>
        <v>33.333333333333336</v>
      </c>
      <c r="K1100" s="39"/>
      <c r="L1100" s="39"/>
      <c r="M1100" s="39"/>
      <c r="N1100" s="39"/>
      <c r="O1100" s="39"/>
      <c r="P1100" s="39"/>
      <c r="Q1100" s="39"/>
      <c r="R1100" s="39"/>
      <c r="S1100" s="39"/>
      <c r="T1100" s="39"/>
    </row>
    <row r="1101" spans="1:20" ht="15">
      <c r="A1101" s="3">
        <f t="shared" si="30"/>
        <v>2053</v>
      </c>
      <c r="B1101" s="3">
        <f t="shared" si="39"/>
        <v>365</v>
      </c>
      <c r="C1101" s="38">
        <f t="shared" ref="C1101:J1101" si="47">AVERAGE(C485:C496)</f>
        <v>154.75825</v>
      </c>
      <c r="D1101" s="38">
        <f t="shared" si="47"/>
        <v>281.0162499999999</v>
      </c>
      <c r="E1101" s="38">
        <f t="shared" si="47"/>
        <v>780.7254999999999</v>
      </c>
      <c r="F1101" s="38">
        <f t="shared" si="47"/>
        <v>1216.5</v>
      </c>
      <c r="G1101" s="38">
        <f t="shared" si="47"/>
        <v>79.166666666666671</v>
      </c>
      <c r="H1101" s="40">
        <f t="shared" si="47"/>
        <v>600</v>
      </c>
      <c r="I1101" s="38">
        <f t="shared" si="47"/>
        <v>695</v>
      </c>
      <c r="J1101" s="38">
        <f t="shared" si="47"/>
        <v>33.333333333333336</v>
      </c>
      <c r="K1101" s="39"/>
      <c r="L1101" s="39"/>
      <c r="M1101" s="39"/>
      <c r="N1101" s="39"/>
      <c r="O1101" s="39"/>
      <c r="P1101" s="39"/>
      <c r="Q1101" s="39"/>
      <c r="R1101" s="39"/>
      <c r="S1101" s="39"/>
      <c r="T1101" s="39"/>
    </row>
    <row r="1102" spans="1:20" ht="15">
      <c r="A1102" s="3">
        <f t="shared" si="30"/>
        <v>2054</v>
      </c>
      <c r="B1102" s="3">
        <f t="shared" si="39"/>
        <v>365</v>
      </c>
      <c r="C1102" s="38">
        <f t="shared" ref="C1102:J1109" si="48">AVERAGE(C497:C508)</f>
        <v>154.75825</v>
      </c>
      <c r="D1102" s="38">
        <f t="shared" si="48"/>
        <v>281.0162499999999</v>
      </c>
      <c r="E1102" s="38">
        <f t="shared" si="48"/>
        <v>780.7254999999999</v>
      </c>
      <c r="F1102" s="38">
        <f t="shared" si="48"/>
        <v>1216.5</v>
      </c>
      <c r="G1102" s="38">
        <f t="shared" si="48"/>
        <v>79.166666666666671</v>
      </c>
      <c r="H1102" s="40">
        <f t="shared" si="48"/>
        <v>600</v>
      </c>
      <c r="I1102" s="38">
        <f t="shared" si="48"/>
        <v>695</v>
      </c>
      <c r="J1102" s="38">
        <f t="shared" si="48"/>
        <v>33.333333333333336</v>
      </c>
      <c r="K1102" s="39"/>
      <c r="L1102" s="39"/>
      <c r="M1102" s="39"/>
      <c r="N1102" s="39"/>
      <c r="O1102" s="39"/>
      <c r="P1102" s="39"/>
      <c r="Q1102" s="39"/>
      <c r="R1102" s="39"/>
      <c r="S1102" s="39"/>
      <c r="T1102" s="39"/>
    </row>
    <row r="1103" spans="1:20" ht="15">
      <c r="A1103" s="3">
        <f t="shared" si="30"/>
        <v>2055</v>
      </c>
      <c r="B1103" s="3">
        <f t="shared" si="39"/>
        <v>365</v>
      </c>
      <c r="C1103" s="38">
        <f t="shared" si="48"/>
        <v>154.75825</v>
      </c>
      <c r="D1103" s="38">
        <f t="shared" si="48"/>
        <v>281.0162499999999</v>
      </c>
      <c r="E1103" s="38">
        <f t="shared" si="48"/>
        <v>780.7254999999999</v>
      </c>
      <c r="F1103" s="38">
        <f t="shared" si="48"/>
        <v>1216.5</v>
      </c>
      <c r="G1103" s="38">
        <f t="shared" si="48"/>
        <v>79.166666666666671</v>
      </c>
      <c r="H1103" s="40">
        <f t="shared" si="48"/>
        <v>600</v>
      </c>
      <c r="I1103" s="38">
        <f t="shared" si="48"/>
        <v>695</v>
      </c>
      <c r="J1103" s="38">
        <f t="shared" si="48"/>
        <v>33.333333333333336</v>
      </c>
      <c r="K1103" s="39"/>
      <c r="L1103" s="39"/>
      <c r="M1103" s="39"/>
      <c r="N1103" s="39"/>
      <c r="O1103" s="39"/>
      <c r="P1103" s="39"/>
      <c r="Q1103" s="39"/>
      <c r="R1103" s="39"/>
      <c r="S1103" s="39"/>
      <c r="T1103" s="39"/>
    </row>
    <row r="1104" spans="1:20" ht="15">
      <c r="A1104" s="3">
        <f t="shared" si="30"/>
        <v>2056</v>
      </c>
      <c r="B1104" s="3">
        <f t="shared" si="39"/>
        <v>366</v>
      </c>
      <c r="C1104" s="38">
        <f t="shared" si="48"/>
        <v>154.75824999999998</v>
      </c>
      <c r="D1104" s="38">
        <f t="shared" si="48"/>
        <v>281.0162499999999</v>
      </c>
      <c r="E1104" s="38">
        <f t="shared" si="48"/>
        <v>780.7254999999999</v>
      </c>
      <c r="F1104" s="38">
        <f t="shared" si="48"/>
        <v>1216.5</v>
      </c>
      <c r="G1104" s="38">
        <f t="shared" si="48"/>
        <v>79.166666666666671</v>
      </c>
      <c r="H1104" s="40">
        <f t="shared" si="48"/>
        <v>600</v>
      </c>
      <c r="I1104" s="38">
        <f t="shared" si="48"/>
        <v>695</v>
      </c>
      <c r="J1104" s="38">
        <f t="shared" si="48"/>
        <v>33.333333333333336</v>
      </c>
      <c r="K1104" s="39"/>
      <c r="L1104" s="39"/>
      <c r="M1104" s="39"/>
      <c r="N1104" s="39"/>
      <c r="O1104" s="39"/>
      <c r="P1104" s="39"/>
      <c r="Q1104" s="39"/>
      <c r="R1104" s="39"/>
      <c r="S1104" s="39"/>
      <c r="T1104" s="39"/>
    </row>
    <row r="1105" spans="1:20" ht="15">
      <c r="A1105" s="3">
        <f t="shared" si="30"/>
        <v>2057</v>
      </c>
      <c r="B1105" s="3">
        <f t="shared" si="39"/>
        <v>365</v>
      </c>
      <c r="C1105" s="38">
        <f t="shared" si="48"/>
        <v>154.75825</v>
      </c>
      <c r="D1105" s="38">
        <f t="shared" si="48"/>
        <v>281.0162499999999</v>
      </c>
      <c r="E1105" s="38">
        <f t="shared" si="48"/>
        <v>780.72550000000001</v>
      </c>
      <c r="F1105" s="38">
        <f t="shared" si="48"/>
        <v>1216.5</v>
      </c>
      <c r="G1105" s="38">
        <f t="shared" si="48"/>
        <v>79.166666666666671</v>
      </c>
      <c r="H1105" s="40">
        <f t="shared" si="48"/>
        <v>600</v>
      </c>
      <c r="I1105" s="38">
        <f t="shared" si="48"/>
        <v>695</v>
      </c>
      <c r="J1105" s="38">
        <f t="shared" si="48"/>
        <v>33.333333333333336</v>
      </c>
      <c r="K1105" s="39"/>
      <c r="L1105" s="39"/>
      <c r="M1105" s="39"/>
      <c r="N1105" s="39"/>
      <c r="O1105" s="39"/>
      <c r="P1105" s="39"/>
      <c r="Q1105" s="39"/>
      <c r="R1105" s="39"/>
      <c r="S1105" s="39"/>
      <c r="T1105" s="39"/>
    </row>
    <row r="1106" spans="1:20" ht="15">
      <c r="A1106" s="3">
        <f t="shared" si="30"/>
        <v>2058</v>
      </c>
      <c r="B1106" s="3">
        <f t="shared" si="39"/>
        <v>365</v>
      </c>
      <c r="C1106" s="38">
        <f t="shared" si="48"/>
        <v>154.75824999999998</v>
      </c>
      <c r="D1106" s="38">
        <f t="shared" si="48"/>
        <v>281.01624999999996</v>
      </c>
      <c r="E1106" s="38">
        <f t="shared" si="48"/>
        <v>780.72550000000001</v>
      </c>
      <c r="F1106" s="38">
        <f t="shared" si="48"/>
        <v>1216.5</v>
      </c>
      <c r="G1106" s="38">
        <f t="shared" si="48"/>
        <v>79.166666666666671</v>
      </c>
      <c r="H1106" s="40">
        <f t="shared" si="48"/>
        <v>600</v>
      </c>
      <c r="I1106" s="38">
        <f t="shared" si="48"/>
        <v>695</v>
      </c>
      <c r="J1106" s="38">
        <f t="shared" si="48"/>
        <v>33.333333333333336</v>
      </c>
      <c r="K1106" s="39"/>
      <c r="L1106" s="39"/>
      <c r="M1106" s="39"/>
      <c r="N1106" s="39"/>
      <c r="O1106" s="39"/>
      <c r="P1106" s="39"/>
      <c r="Q1106" s="39"/>
      <c r="R1106" s="39"/>
      <c r="S1106" s="39"/>
      <c r="T1106" s="39"/>
    </row>
    <row r="1107" spans="1:20" ht="15">
      <c r="A1107" s="3">
        <f t="shared" si="30"/>
        <v>2059</v>
      </c>
      <c r="B1107" s="3">
        <f t="shared" si="39"/>
        <v>365</v>
      </c>
      <c r="C1107" s="38">
        <f t="shared" si="48"/>
        <v>154.75824999999998</v>
      </c>
      <c r="D1107" s="38">
        <f t="shared" si="48"/>
        <v>281.01624999999996</v>
      </c>
      <c r="E1107" s="38">
        <f t="shared" si="48"/>
        <v>780.72550000000012</v>
      </c>
      <c r="F1107" s="38">
        <f t="shared" si="48"/>
        <v>1216.5</v>
      </c>
      <c r="G1107" s="38">
        <f t="shared" si="48"/>
        <v>79.166666666666671</v>
      </c>
      <c r="H1107" s="40">
        <f t="shared" si="48"/>
        <v>600</v>
      </c>
      <c r="I1107" s="38">
        <f t="shared" si="48"/>
        <v>695</v>
      </c>
      <c r="J1107" s="38">
        <f t="shared" si="48"/>
        <v>33.333333333333336</v>
      </c>
      <c r="K1107" s="39"/>
      <c r="L1107" s="39"/>
      <c r="M1107" s="39"/>
      <c r="N1107" s="39"/>
      <c r="O1107" s="39"/>
      <c r="P1107" s="39"/>
      <c r="Q1107" s="39"/>
      <c r="R1107" s="39"/>
      <c r="S1107" s="39"/>
      <c r="T1107" s="39"/>
    </row>
    <row r="1108" spans="1:20" ht="15">
      <c r="A1108" s="3">
        <f t="shared" si="30"/>
        <v>2060</v>
      </c>
      <c r="B1108" s="3">
        <f t="shared" si="39"/>
        <v>366</v>
      </c>
      <c r="C1108" s="38">
        <f t="shared" si="48"/>
        <v>154.75824999999998</v>
      </c>
      <c r="D1108" s="38">
        <f t="shared" si="48"/>
        <v>281.01624999999996</v>
      </c>
      <c r="E1108" s="38">
        <f t="shared" si="48"/>
        <v>780.72550000000012</v>
      </c>
      <c r="F1108" s="38">
        <f t="shared" si="48"/>
        <v>1216.5</v>
      </c>
      <c r="G1108" s="38">
        <f t="shared" si="48"/>
        <v>79.166666666666671</v>
      </c>
      <c r="H1108" s="40">
        <f t="shared" si="48"/>
        <v>600</v>
      </c>
      <c r="I1108" s="38">
        <f t="shared" si="48"/>
        <v>695</v>
      </c>
      <c r="J1108" s="38">
        <f t="shared" si="48"/>
        <v>33.333333333333336</v>
      </c>
      <c r="K1108" s="39"/>
      <c r="L1108" s="39"/>
      <c r="M1108" s="39"/>
      <c r="N1108" s="39"/>
      <c r="O1108" s="39"/>
      <c r="P1108" s="39"/>
      <c r="Q1108" s="39"/>
      <c r="R1108" s="39"/>
      <c r="S1108" s="39"/>
      <c r="T1108" s="39"/>
    </row>
    <row r="1109" spans="1:20" ht="15">
      <c r="A1109" s="3">
        <f t="shared" si="30"/>
        <v>2061</v>
      </c>
      <c r="B1109" s="3">
        <f t="shared" si="39"/>
        <v>365</v>
      </c>
      <c r="C1109" s="38">
        <f t="shared" si="48"/>
        <v>154.75825</v>
      </c>
      <c r="D1109" s="38">
        <f t="shared" si="48"/>
        <v>281.01624999999996</v>
      </c>
      <c r="E1109" s="38">
        <f t="shared" si="48"/>
        <v>780.72550000000001</v>
      </c>
      <c r="F1109" s="38">
        <f t="shared" si="48"/>
        <v>1216.5</v>
      </c>
      <c r="G1109" s="38">
        <f t="shared" si="48"/>
        <v>79.166666666666671</v>
      </c>
      <c r="H1109" s="40">
        <f t="shared" si="48"/>
        <v>600</v>
      </c>
      <c r="I1109" s="38">
        <f t="shared" si="48"/>
        <v>695</v>
      </c>
      <c r="J1109" s="38">
        <f t="shared" si="48"/>
        <v>33.333333333333336</v>
      </c>
      <c r="K1109" s="39"/>
      <c r="L1109" s="39"/>
      <c r="M1109" s="39"/>
      <c r="N1109" s="39"/>
      <c r="O1109" s="39"/>
      <c r="P1109" s="39"/>
      <c r="Q1109" s="39"/>
      <c r="R1109" s="39"/>
      <c r="S1109" s="39"/>
      <c r="T1109" s="39"/>
    </row>
    <row r="1110" spans="1:20" ht="15">
      <c r="A1110" s="3">
        <f t="shared" si="30"/>
        <v>2062</v>
      </c>
      <c r="B1110" s="3">
        <f t="shared" si="39"/>
        <v>365</v>
      </c>
      <c r="C1110" s="38">
        <f t="shared" ref="C1110:J1119" ca="1" si="49">AVERAGE(OFFSET(C$593,($A1110-$A$1110)*12,0,12,1))</f>
        <v>154.75825</v>
      </c>
      <c r="D1110" s="38">
        <f t="shared" ca="1" si="49"/>
        <v>281.0162499999999</v>
      </c>
      <c r="E1110" s="38">
        <f t="shared" ca="1" si="49"/>
        <v>780.7254999999999</v>
      </c>
      <c r="F1110" s="38">
        <f t="shared" ca="1" si="49"/>
        <v>1216.5</v>
      </c>
      <c r="G1110" s="38">
        <f t="shared" ca="1" si="49"/>
        <v>79.166666666666671</v>
      </c>
      <c r="H1110" s="38">
        <f t="shared" ca="1" si="49"/>
        <v>600</v>
      </c>
      <c r="I1110" s="38">
        <f t="shared" ca="1" si="49"/>
        <v>695</v>
      </c>
      <c r="J1110" s="38">
        <f t="shared" ca="1" si="49"/>
        <v>33.333333333333336</v>
      </c>
      <c r="K1110" s="39"/>
      <c r="L1110" s="39"/>
      <c r="M1110" s="39"/>
      <c r="N1110" s="39"/>
      <c r="O1110" s="39"/>
      <c r="P1110" s="39"/>
      <c r="Q1110" s="39"/>
      <c r="R1110" s="39"/>
      <c r="S1110" s="39"/>
      <c r="T1110" s="39"/>
    </row>
    <row r="1111" spans="1:20" ht="15">
      <c r="A1111" s="3">
        <f t="shared" si="30"/>
        <v>2063</v>
      </c>
      <c r="B1111" s="3">
        <f t="shared" si="39"/>
        <v>365</v>
      </c>
      <c r="C1111" s="38">
        <f t="shared" ca="1" si="49"/>
        <v>154.75825</v>
      </c>
      <c r="D1111" s="38">
        <f t="shared" ca="1" si="49"/>
        <v>281.0162499999999</v>
      </c>
      <c r="E1111" s="38">
        <f t="shared" ca="1" si="49"/>
        <v>780.7254999999999</v>
      </c>
      <c r="F1111" s="38">
        <f t="shared" ca="1" si="49"/>
        <v>1216.5</v>
      </c>
      <c r="G1111" s="38">
        <f t="shared" ca="1" si="49"/>
        <v>79.166666666666671</v>
      </c>
      <c r="H1111" s="38">
        <f t="shared" ca="1" si="49"/>
        <v>600</v>
      </c>
      <c r="I1111" s="38">
        <f t="shared" ca="1" si="49"/>
        <v>695</v>
      </c>
      <c r="J1111" s="38">
        <f t="shared" ca="1" si="49"/>
        <v>33.333333333333336</v>
      </c>
      <c r="K1111" s="39"/>
      <c r="L1111" s="39"/>
      <c r="M1111" s="39"/>
      <c r="N1111" s="39"/>
      <c r="O1111" s="39"/>
      <c r="P1111" s="39"/>
      <c r="Q1111" s="39"/>
      <c r="R1111" s="39"/>
      <c r="S1111" s="39"/>
      <c r="T1111" s="39"/>
    </row>
    <row r="1112" spans="1:20" ht="15">
      <c r="A1112" s="3">
        <f t="shared" si="30"/>
        <v>2064</v>
      </c>
      <c r="B1112" s="3">
        <f t="shared" si="39"/>
        <v>366</v>
      </c>
      <c r="C1112" s="38">
        <f t="shared" ca="1" si="49"/>
        <v>154.75825</v>
      </c>
      <c r="D1112" s="38">
        <f t="shared" ca="1" si="49"/>
        <v>281.0162499999999</v>
      </c>
      <c r="E1112" s="38">
        <f t="shared" ca="1" si="49"/>
        <v>780.7254999999999</v>
      </c>
      <c r="F1112" s="38">
        <f t="shared" ca="1" si="49"/>
        <v>1216.5</v>
      </c>
      <c r="G1112" s="38">
        <f t="shared" ca="1" si="49"/>
        <v>79.166666666666671</v>
      </c>
      <c r="H1112" s="38">
        <f t="shared" ca="1" si="49"/>
        <v>600</v>
      </c>
      <c r="I1112" s="38">
        <f t="shared" ca="1" si="49"/>
        <v>695</v>
      </c>
      <c r="J1112" s="38">
        <f t="shared" ca="1" si="49"/>
        <v>33.333333333333336</v>
      </c>
      <c r="K1112" s="39"/>
      <c r="L1112" s="39"/>
      <c r="M1112" s="39"/>
      <c r="N1112" s="39"/>
      <c r="O1112" s="39"/>
      <c r="P1112" s="39"/>
      <c r="Q1112" s="39"/>
      <c r="R1112" s="39"/>
      <c r="S1112" s="39"/>
      <c r="T1112" s="39"/>
    </row>
    <row r="1113" spans="1:20" ht="15">
      <c r="A1113" s="3">
        <f t="shared" si="30"/>
        <v>2065</v>
      </c>
      <c r="B1113" s="3">
        <f t="shared" si="39"/>
        <v>365</v>
      </c>
      <c r="C1113" s="38">
        <f t="shared" ca="1" si="49"/>
        <v>154.75825</v>
      </c>
      <c r="D1113" s="38">
        <f t="shared" ca="1" si="49"/>
        <v>281.0162499999999</v>
      </c>
      <c r="E1113" s="38">
        <f t="shared" ca="1" si="49"/>
        <v>780.7254999999999</v>
      </c>
      <c r="F1113" s="38">
        <f t="shared" ca="1" si="49"/>
        <v>1216.5</v>
      </c>
      <c r="G1113" s="38">
        <f t="shared" ca="1" si="49"/>
        <v>79.166666666666671</v>
      </c>
      <c r="H1113" s="38">
        <f t="shared" ca="1" si="49"/>
        <v>600</v>
      </c>
      <c r="I1113" s="38">
        <f t="shared" ca="1" si="49"/>
        <v>695</v>
      </c>
      <c r="J1113" s="38">
        <f t="shared" ca="1" si="49"/>
        <v>33.333333333333336</v>
      </c>
      <c r="K1113" s="39"/>
      <c r="L1113" s="39"/>
      <c r="M1113" s="39"/>
      <c r="N1113" s="39"/>
      <c r="O1113" s="39"/>
      <c r="P1113" s="39"/>
      <c r="Q1113" s="39"/>
      <c r="R1113" s="39"/>
      <c r="S1113" s="39"/>
      <c r="T1113" s="39"/>
    </row>
    <row r="1114" spans="1:20" ht="15">
      <c r="A1114" s="3">
        <f t="shared" si="30"/>
        <v>2066</v>
      </c>
      <c r="B1114" s="3">
        <f t="shared" si="39"/>
        <v>365</v>
      </c>
      <c r="C1114" s="38">
        <f t="shared" ca="1" si="49"/>
        <v>154.75825</v>
      </c>
      <c r="D1114" s="38">
        <f t="shared" ca="1" si="49"/>
        <v>281.0162499999999</v>
      </c>
      <c r="E1114" s="38">
        <f t="shared" ca="1" si="49"/>
        <v>780.7254999999999</v>
      </c>
      <c r="F1114" s="38">
        <f t="shared" ca="1" si="49"/>
        <v>1216.5</v>
      </c>
      <c r="G1114" s="38">
        <f t="shared" ca="1" si="49"/>
        <v>79.166666666666671</v>
      </c>
      <c r="H1114" s="38">
        <f t="shared" ca="1" si="49"/>
        <v>600</v>
      </c>
      <c r="I1114" s="38">
        <f t="shared" ca="1" si="49"/>
        <v>695</v>
      </c>
      <c r="J1114" s="38">
        <f t="shared" ca="1" si="49"/>
        <v>33.333333333333336</v>
      </c>
      <c r="K1114" s="39"/>
      <c r="L1114" s="39"/>
      <c r="M1114" s="39"/>
      <c r="N1114" s="39"/>
      <c r="O1114" s="39"/>
      <c r="P1114" s="39"/>
      <c r="Q1114" s="39"/>
      <c r="R1114" s="39"/>
      <c r="S1114" s="39"/>
      <c r="T1114" s="39"/>
    </row>
    <row r="1115" spans="1:20" ht="15">
      <c r="A1115" s="3">
        <f t="shared" si="30"/>
        <v>2067</v>
      </c>
      <c r="B1115" s="3">
        <f t="shared" si="39"/>
        <v>365</v>
      </c>
      <c r="C1115" s="38">
        <f t="shared" ca="1" si="49"/>
        <v>154.75825</v>
      </c>
      <c r="D1115" s="38">
        <f t="shared" ca="1" si="49"/>
        <v>281.0162499999999</v>
      </c>
      <c r="E1115" s="38">
        <f t="shared" ca="1" si="49"/>
        <v>780.7254999999999</v>
      </c>
      <c r="F1115" s="38">
        <f t="shared" ca="1" si="49"/>
        <v>1216.5</v>
      </c>
      <c r="G1115" s="38">
        <f t="shared" ca="1" si="49"/>
        <v>79.166666666666671</v>
      </c>
      <c r="H1115" s="38">
        <f t="shared" ca="1" si="49"/>
        <v>600</v>
      </c>
      <c r="I1115" s="38">
        <f t="shared" ca="1" si="49"/>
        <v>695</v>
      </c>
      <c r="J1115" s="38">
        <f t="shared" ca="1" si="49"/>
        <v>33.333333333333336</v>
      </c>
      <c r="K1115" s="39"/>
      <c r="L1115" s="39"/>
      <c r="M1115" s="39"/>
      <c r="N1115" s="39"/>
      <c r="O1115" s="39"/>
      <c r="P1115" s="39"/>
      <c r="Q1115" s="39"/>
      <c r="R1115" s="39"/>
      <c r="S1115" s="39"/>
      <c r="T1115" s="39"/>
    </row>
    <row r="1116" spans="1:20" ht="15">
      <c r="A1116" s="3">
        <f t="shared" si="30"/>
        <v>2068</v>
      </c>
      <c r="B1116" s="3">
        <f t="shared" si="39"/>
        <v>366</v>
      </c>
      <c r="C1116" s="38">
        <f t="shared" ca="1" si="49"/>
        <v>154.75825</v>
      </c>
      <c r="D1116" s="38">
        <f t="shared" ca="1" si="49"/>
        <v>281.0162499999999</v>
      </c>
      <c r="E1116" s="38">
        <f t="shared" ca="1" si="49"/>
        <v>780.7254999999999</v>
      </c>
      <c r="F1116" s="38">
        <f t="shared" ca="1" si="49"/>
        <v>1216.5</v>
      </c>
      <c r="G1116" s="38">
        <f t="shared" ca="1" si="49"/>
        <v>79.166666666666671</v>
      </c>
      <c r="H1116" s="38">
        <f t="shared" ca="1" si="49"/>
        <v>600</v>
      </c>
      <c r="I1116" s="38">
        <f t="shared" ca="1" si="49"/>
        <v>695</v>
      </c>
      <c r="J1116" s="38">
        <f t="shared" ca="1" si="49"/>
        <v>33.333333333333336</v>
      </c>
      <c r="K1116" s="39"/>
      <c r="L1116" s="39"/>
      <c r="M1116" s="39"/>
      <c r="N1116" s="39"/>
      <c r="O1116" s="39"/>
      <c r="P1116" s="39"/>
      <c r="Q1116" s="39"/>
      <c r="R1116" s="39"/>
      <c r="S1116" s="39"/>
      <c r="T1116" s="39"/>
    </row>
    <row r="1117" spans="1:20" ht="15">
      <c r="A1117" s="3">
        <f t="shared" si="30"/>
        <v>2069</v>
      </c>
      <c r="B1117" s="3">
        <f t="shared" si="39"/>
        <v>365</v>
      </c>
      <c r="C1117" s="38">
        <f t="shared" ca="1" si="49"/>
        <v>154.75825</v>
      </c>
      <c r="D1117" s="38">
        <f t="shared" ca="1" si="49"/>
        <v>281.0162499999999</v>
      </c>
      <c r="E1117" s="38">
        <f t="shared" ca="1" si="49"/>
        <v>780.7254999999999</v>
      </c>
      <c r="F1117" s="38">
        <f t="shared" ca="1" si="49"/>
        <v>1216.5</v>
      </c>
      <c r="G1117" s="38">
        <f t="shared" ca="1" si="49"/>
        <v>79.166666666666671</v>
      </c>
      <c r="H1117" s="38">
        <f t="shared" ca="1" si="49"/>
        <v>600</v>
      </c>
      <c r="I1117" s="38">
        <f t="shared" ca="1" si="49"/>
        <v>695</v>
      </c>
      <c r="J1117" s="38">
        <f t="shared" ca="1" si="49"/>
        <v>33.333333333333336</v>
      </c>
      <c r="K1117" s="39"/>
      <c r="L1117" s="39"/>
      <c r="M1117" s="39"/>
      <c r="N1117" s="39"/>
      <c r="O1117" s="39"/>
      <c r="P1117" s="39"/>
      <c r="Q1117" s="39"/>
      <c r="R1117" s="39"/>
      <c r="S1117" s="39"/>
      <c r="T1117" s="39"/>
    </row>
    <row r="1118" spans="1:20" ht="15">
      <c r="A1118" s="3">
        <f t="shared" ref="A1118:A1148" si="50">A1117+1</f>
        <v>2070</v>
      </c>
      <c r="B1118" s="3">
        <f t="shared" si="39"/>
        <v>365</v>
      </c>
      <c r="C1118" s="38">
        <f t="shared" ca="1" si="49"/>
        <v>154.75825</v>
      </c>
      <c r="D1118" s="38">
        <f t="shared" ca="1" si="49"/>
        <v>281.0162499999999</v>
      </c>
      <c r="E1118" s="38">
        <f t="shared" ca="1" si="49"/>
        <v>780.7254999999999</v>
      </c>
      <c r="F1118" s="38">
        <f t="shared" ca="1" si="49"/>
        <v>1216.5</v>
      </c>
      <c r="G1118" s="38">
        <f t="shared" ca="1" si="49"/>
        <v>79.166666666666671</v>
      </c>
      <c r="H1118" s="38">
        <f t="shared" ca="1" si="49"/>
        <v>600</v>
      </c>
      <c r="I1118" s="38">
        <f t="shared" ca="1" si="49"/>
        <v>695</v>
      </c>
      <c r="J1118" s="38">
        <f t="shared" ca="1" si="49"/>
        <v>33.333333333333336</v>
      </c>
      <c r="K1118" s="39"/>
      <c r="L1118" s="39"/>
      <c r="M1118" s="39"/>
      <c r="N1118" s="39"/>
      <c r="O1118" s="39"/>
      <c r="P1118" s="39"/>
      <c r="Q1118" s="39"/>
      <c r="R1118" s="39"/>
      <c r="S1118" s="39"/>
      <c r="T1118" s="39"/>
    </row>
    <row r="1119" spans="1:20" ht="15">
      <c r="A1119" s="3">
        <f t="shared" si="50"/>
        <v>2071</v>
      </c>
      <c r="B1119" s="3">
        <f t="shared" si="39"/>
        <v>365</v>
      </c>
      <c r="C1119" s="38">
        <f t="shared" ca="1" si="49"/>
        <v>154.75825</v>
      </c>
      <c r="D1119" s="38">
        <f t="shared" ca="1" si="49"/>
        <v>281.0162499999999</v>
      </c>
      <c r="E1119" s="38">
        <f t="shared" ca="1" si="49"/>
        <v>780.7254999999999</v>
      </c>
      <c r="F1119" s="38">
        <f t="shared" ca="1" si="49"/>
        <v>1216.5</v>
      </c>
      <c r="G1119" s="38">
        <f t="shared" ca="1" si="49"/>
        <v>79.166666666666671</v>
      </c>
      <c r="H1119" s="38">
        <f t="shared" ca="1" si="49"/>
        <v>600</v>
      </c>
      <c r="I1119" s="38">
        <f t="shared" ca="1" si="49"/>
        <v>695</v>
      </c>
      <c r="J1119" s="38">
        <f t="shared" ca="1" si="49"/>
        <v>33.333333333333336</v>
      </c>
      <c r="K1119" s="39"/>
      <c r="L1119" s="39"/>
      <c r="M1119" s="39"/>
      <c r="N1119" s="39"/>
      <c r="O1119" s="39"/>
      <c r="P1119" s="39"/>
      <c r="Q1119" s="39"/>
      <c r="R1119" s="39"/>
      <c r="S1119" s="39"/>
      <c r="T1119" s="39"/>
    </row>
    <row r="1120" spans="1:20" ht="15">
      <c r="A1120" s="3">
        <f t="shared" si="50"/>
        <v>2072</v>
      </c>
      <c r="B1120" s="3">
        <f t="shared" si="39"/>
        <v>366</v>
      </c>
      <c r="C1120" s="38">
        <f t="shared" ref="C1120:J1129" ca="1" si="51">AVERAGE(OFFSET(C$593,($A1120-$A$1110)*12,0,12,1))</f>
        <v>154.75825</v>
      </c>
      <c r="D1120" s="38">
        <f t="shared" ca="1" si="51"/>
        <v>281.0162499999999</v>
      </c>
      <c r="E1120" s="38">
        <f t="shared" ca="1" si="51"/>
        <v>780.7254999999999</v>
      </c>
      <c r="F1120" s="38">
        <f t="shared" ca="1" si="51"/>
        <v>1216.5</v>
      </c>
      <c r="G1120" s="38">
        <f t="shared" ca="1" si="51"/>
        <v>79.166666666666671</v>
      </c>
      <c r="H1120" s="38">
        <f t="shared" ca="1" si="51"/>
        <v>600</v>
      </c>
      <c r="I1120" s="38">
        <f t="shared" ca="1" si="51"/>
        <v>695</v>
      </c>
      <c r="J1120" s="38">
        <f t="shared" ca="1" si="51"/>
        <v>33.333333333333336</v>
      </c>
      <c r="K1120" s="39"/>
      <c r="L1120" s="39"/>
      <c r="M1120" s="39"/>
      <c r="N1120" s="39"/>
      <c r="O1120" s="39"/>
      <c r="P1120" s="39"/>
      <c r="Q1120" s="39"/>
      <c r="R1120" s="39"/>
      <c r="S1120" s="39"/>
      <c r="T1120" s="39"/>
    </row>
    <row r="1121" spans="1:20" ht="15">
      <c r="A1121" s="3">
        <f t="shared" si="50"/>
        <v>2073</v>
      </c>
      <c r="B1121" s="3">
        <f t="shared" si="39"/>
        <v>365</v>
      </c>
      <c r="C1121" s="38">
        <f t="shared" ca="1" si="51"/>
        <v>154.75825</v>
      </c>
      <c r="D1121" s="38">
        <f t="shared" ca="1" si="51"/>
        <v>281.0162499999999</v>
      </c>
      <c r="E1121" s="38">
        <f t="shared" ca="1" si="51"/>
        <v>780.7254999999999</v>
      </c>
      <c r="F1121" s="38">
        <f t="shared" ca="1" si="51"/>
        <v>1216.5</v>
      </c>
      <c r="G1121" s="38">
        <f t="shared" ca="1" si="51"/>
        <v>79.166666666666671</v>
      </c>
      <c r="H1121" s="38">
        <f t="shared" ca="1" si="51"/>
        <v>600</v>
      </c>
      <c r="I1121" s="38">
        <f t="shared" ca="1" si="51"/>
        <v>695</v>
      </c>
      <c r="J1121" s="38">
        <f t="shared" ca="1" si="51"/>
        <v>33.333333333333336</v>
      </c>
      <c r="K1121" s="39"/>
      <c r="L1121" s="39"/>
      <c r="M1121" s="39"/>
      <c r="N1121" s="39"/>
      <c r="O1121" s="39"/>
      <c r="P1121" s="39"/>
      <c r="Q1121" s="39"/>
      <c r="R1121" s="39"/>
      <c r="S1121" s="39"/>
      <c r="T1121" s="39"/>
    </row>
    <row r="1122" spans="1:20" ht="15">
      <c r="A1122" s="3">
        <f t="shared" si="50"/>
        <v>2074</v>
      </c>
      <c r="B1122" s="3">
        <f t="shared" si="39"/>
        <v>365</v>
      </c>
      <c r="C1122" s="38">
        <f t="shared" ca="1" si="51"/>
        <v>154.75825</v>
      </c>
      <c r="D1122" s="38">
        <f t="shared" ca="1" si="51"/>
        <v>281.0162499999999</v>
      </c>
      <c r="E1122" s="38">
        <f t="shared" ca="1" si="51"/>
        <v>780.7254999999999</v>
      </c>
      <c r="F1122" s="38">
        <f t="shared" ca="1" si="51"/>
        <v>1216.5</v>
      </c>
      <c r="G1122" s="38">
        <f t="shared" ca="1" si="51"/>
        <v>79.166666666666671</v>
      </c>
      <c r="H1122" s="38">
        <f t="shared" ca="1" si="51"/>
        <v>600</v>
      </c>
      <c r="I1122" s="38">
        <f t="shared" ca="1" si="51"/>
        <v>695</v>
      </c>
      <c r="J1122" s="38">
        <f t="shared" ca="1" si="51"/>
        <v>33.333333333333336</v>
      </c>
      <c r="K1122" s="39"/>
      <c r="L1122" s="39"/>
      <c r="M1122" s="39"/>
      <c r="N1122" s="39"/>
      <c r="O1122" s="39"/>
      <c r="P1122" s="39"/>
      <c r="Q1122" s="39"/>
      <c r="R1122" s="39"/>
      <c r="S1122" s="39"/>
      <c r="T1122" s="39"/>
    </row>
    <row r="1123" spans="1:20" ht="15">
      <c r="A1123" s="3">
        <f t="shared" si="50"/>
        <v>2075</v>
      </c>
      <c r="B1123" s="3">
        <f t="shared" si="39"/>
        <v>365</v>
      </c>
      <c r="C1123" s="38">
        <f t="shared" ca="1" si="51"/>
        <v>154.75825</v>
      </c>
      <c r="D1123" s="38">
        <f t="shared" ca="1" si="51"/>
        <v>281.0162499999999</v>
      </c>
      <c r="E1123" s="38">
        <f t="shared" ca="1" si="51"/>
        <v>780.7254999999999</v>
      </c>
      <c r="F1123" s="38">
        <f t="shared" ca="1" si="51"/>
        <v>1216.5</v>
      </c>
      <c r="G1123" s="38">
        <f t="shared" ca="1" si="51"/>
        <v>79.166666666666671</v>
      </c>
      <c r="H1123" s="38">
        <f t="shared" ca="1" si="51"/>
        <v>600</v>
      </c>
      <c r="I1123" s="38">
        <f t="shared" ca="1" si="51"/>
        <v>695</v>
      </c>
      <c r="J1123" s="38">
        <f t="shared" ca="1" si="51"/>
        <v>33.333333333333336</v>
      </c>
      <c r="K1123" s="39"/>
      <c r="L1123" s="39"/>
      <c r="M1123" s="39"/>
      <c r="N1123" s="39"/>
      <c r="O1123" s="39"/>
      <c r="P1123" s="39"/>
      <c r="Q1123" s="39"/>
      <c r="R1123" s="39"/>
      <c r="S1123" s="39"/>
      <c r="T1123" s="39"/>
    </row>
    <row r="1124" spans="1:20" ht="15">
      <c r="A1124" s="3">
        <f t="shared" si="50"/>
        <v>2076</v>
      </c>
      <c r="B1124" s="3">
        <f t="shared" si="39"/>
        <v>366</v>
      </c>
      <c r="C1124" s="38">
        <f t="shared" ca="1" si="51"/>
        <v>154.75825</v>
      </c>
      <c r="D1124" s="38">
        <f t="shared" ca="1" si="51"/>
        <v>281.0162499999999</v>
      </c>
      <c r="E1124" s="38">
        <f t="shared" ca="1" si="51"/>
        <v>780.7254999999999</v>
      </c>
      <c r="F1124" s="38">
        <f t="shared" ca="1" si="51"/>
        <v>1216.5</v>
      </c>
      <c r="G1124" s="38">
        <f t="shared" ca="1" si="51"/>
        <v>79.166666666666671</v>
      </c>
      <c r="H1124" s="38">
        <f t="shared" ca="1" si="51"/>
        <v>600</v>
      </c>
      <c r="I1124" s="38">
        <f t="shared" ca="1" si="51"/>
        <v>695</v>
      </c>
      <c r="J1124" s="38">
        <f t="shared" ca="1" si="51"/>
        <v>33.333333333333336</v>
      </c>
      <c r="K1124" s="39"/>
      <c r="L1124" s="39"/>
      <c r="M1124" s="39"/>
      <c r="N1124" s="39"/>
      <c r="O1124" s="39"/>
      <c r="P1124" s="39"/>
      <c r="Q1124" s="39"/>
      <c r="R1124" s="39"/>
      <c r="S1124" s="39"/>
      <c r="T1124" s="39"/>
    </row>
    <row r="1125" spans="1:20" ht="15">
      <c r="A1125" s="3">
        <f t="shared" si="50"/>
        <v>2077</v>
      </c>
      <c r="B1125" s="3">
        <f t="shared" si="39"/>
        <v>365</v>
      </c>
      <c r="C1125" s="38">
        <f t="shared" ca="1" si="51"/>
        <v>154.75825</v>
      </c>
      <c r="D1125" s="38">
        <f t="shared" ca="1" si="51"/>
        <v>281.0162499999999</v>
      </c>
      <c r="E1125" s="38">
        <f t="shared" ca="1" si="51"/>
        <v>780.7254999999999</v>
      </c>
      <c r="F1125" s="38">
        <f t="shared" ca="1" si="51"/>
        <v>1216.5</v>
      </c>
      <c r="G1125" s="38">
        <f t="shared" ca="1" si="51"/>
        <v>79.166666666666671</v>
      </c>
      <c r="H1125" s="38">
        <f t="shared" ca="1" si="51"/>
        <v>600</v>
      </c>
      <c r="I1125" s="38">
        <f t="shared" ca="1" si="51"/>
        <v>695</v>
      </c>
      <c r="J1125" s="38">
        <f t="shared" ca="1" si="51"/>
        <v>33.333333333333336</v>
      </c>
      <c r="K1125" s="39"/>
      <c r="L1125" s="39"/>
      <c r="M1125" s="39"/>
      <c r="N1125" s="39"/>
      <c r="O1125" s="39"/>
      <c r="P1125" s="39"/>
      <c r="Q1125" s="39"/>
      <c r="R1125" s="39"/>
      <c r="S1125" s="39"/>
      <c r="T1125" s="39"/>
    </row>
    <row r="1126" spans="1:20" ht="15">
      <c r="A1126" s="3">
        <f t="shared" si="50"/>
        <v>2078</v>
      </c>
      <c r="B1126" s="3">
        <f t="shared" ref="B1126:B1148" si="52">DATE(A1126+1,1,1)-DATE(A1126,1,1)</f>
        <v>365</v>
      </c>
      <c r="C1126" s="38">
        <f t="shared" ca="1" si="51"/>
        <v>154.75825</v>
      </c>
      <c r="D1126" s="38">
        <f t="shared" ca="1" si="51"/>
        <v>281.0162499999999</v>
      </c>
      <c r="E1126" s="38">
        <f t="shared" ca="1" si="51"/>
        <v>780.7254999999999</v>
      </c>
      <c r="F1126" s="38">
        <f t="shared" ca="1" si="51"/>
        <v>1216.5</v>
      </c>
      <c r="G1126" s="38">
        <f t="shared" ca="1" si="51"/>
        <v>79.166666666666671</v>
      </c>
      <c r="H1126" s="38">
        <f t="shared" ca="1" si="51"/>
        <v>600</v>
      </c>
      <c r="I1126" s="38">
        <f t="shared" ca="1" si="51"/>
        <v>695</v>
      </c>
      <c r="J1126" s="38">
        <f t="shared" ca="1" si="51"/>
        <v>33.333333333333336</v>
      </c>
      <c r="K1126" s="39"/>
      <c r="L1126" s="39"/>
      <c r="M1126" s="39"/>
      <c r="N1126" s="39"/>
      <c r="O1126" s="39"/>
      <c r="P1126" s="39"/>
      <c r="Q1126" s="39"/>
      <c r="R1126" s="39"/>
      <c r="S1126" s="39"/>
      <c r="T1126" s="39"/>
    </row>
    <row r="1127" spans="1:20" ht="15">
      <c r="A1127" s="3">
        <f t="shared" si="50"/>
        <v>2079</v>
      </c>
      <c r="B1127" s="3">
        <f t="shared" si="52"/>
        <v>365</v>
      </c>
      <c r="C1127" s="38">
        <f t="shared" ca="1" si="51"/>
        <v>154.75825</v>
      </c>
      <c r="D1127" s="38">
        <f t="shared" ca="1" si="51"/>
        <v>281.0162499999999</v>
      </c>
      <c r="E1127" s="38">
        <f t="shared" ca="1" si="51"/>
        <v>780.7254999999999</v>
      </c>
      <c r="F1127" s="38">
        <f t="shared" ca="1" si="51"/>
        <v>1216.5</v>
      </c>
      <c r="G1127" s="38">
        <f t="shared" ca="1" si="51"/>
        <v>79.166666666666671</v>
      </c>
      <c r="H1127" s="38">
        <f t="shared" ca="1" si="51"/>
        <v>600</v>
      </c>
      <c r="I1127" s="38">
        <f t="shared" ca="1" si="51"/>
        <v>695</v>
      </c>
      <c r="J1127" s="38">
        <f t="shared" ca="1" si="51"/>
        <v>33.333333333333336</v>
      </c>
      <c r="K1127" s="39"/>
      <c r="L1127" s="39"/>
      <c r="M1127" s="39"/>
      <c r="N1127" s="39"/>
      <c r="O1127" s="39"/>
      <c r="P1127" s="39"/>
      <c r="Q1127" s="39"/>
      <c r="R1127" s="39"/>
      <c r="S1127" s="39"/>
      <c r="T1127" s="39"/>
    </row>
    <row r="1128" spans="1:20" ht="15">
      <c r="A1128" s="3">
        <f t="shared" si="50"/>
        <v>2080</v>
      </c>
      <c r="B1128" s="3">
        <f t="shared" si="52"/>
        <v>366</v>
      </c>
      <c r="C1128" s="38">
        <f t="shared" ca="1" si="51"/>
        <v>154.75825</v>
      </c>
      <c r="D1128" s="38">
        <f t="shared" ca="1" si="51"/>
        <v>281.0162499999999</v>
      </c>
      <c r="E1128" s="38">
        <f t="shared" ca="1" si="51"/>
        <v>780.7254999999999</v>
      </c>
      <c r="F1128" s="38">
        <f t="shared" ca="1" si="51"/>
        <v>1216.5</v>
      </c>
      <c r="G1128" s="38">
        <f t="shared" ca="1" si="51"/>
        <v>79.166666666666671</v>
      </c>
      <c r="H1128" s="38">
        <f t="shared" ca="1" si="51"/>
        <v>600</v>
      </c>
      <c r="I1128" s="38">
        <f t="shared" ca="1" si="51"/>
        <v>695</v>
      </c>
      <c r="J1128" s="38">
        <f t="shared" ca="1" si="51"/>
        <v>33.333333333333336</v>
      </c>
      <c r="K1128" s="39"/>
      <c r="L1128" s="39"/>
      <c r="M1128" s="39"/>
      <c r="N1128" s="39"/>
      <c r="O1128" s="39"/>
      <c r="P1128" s="39"/>
      <c r="Q1128" s="39"/>
      <c r="R1128" s="39"/>
      <c r="S1128" s="39"/>
      <c r="T1128" s="39"/>
    </row>
    <row r="1129" spans="1:20" ht="15">
      <c r="A1129" s="3">
        <f t="shared" si="50"/>
        <v>2081</v>
      </c>
      <c r="B1129" s="3">
        <f t="shared" si="52"/>
        <v>365</v>
      </c>
      <c r="C1129" s="38">
        <f t="shared" ca="1" si="51"/>
        <v>154.75825</v>
      </c>
      <c r="D1129" s="38">
        <f t="shared" ca="1" si="51"/>
        <v>281.0162499999999</v>
      </c>
      <c r="E1129" s="38">
        <f t="shared" ca="1" si="51"/>
        <v>780.7254999999999</v>
      </c>
      <c r="F1129" s="38">
        <f t="shared" ca="1" si="51"/>
        <v>1216.5</v>
      </c>
      <c r="G1129" s="38">
        <f t="shared" ca="1" si="51"/>
        <v>79.166666666666671</v>
      </c>
      <c r="H1129" s="38">
        <f t="shared" ca="1" si="51"/>
        <v>600</v>
      </c>
      <c r="I1129" s="38">
        <f t="shared" ca="1" si="51"/>
        <v>695</v>
      </c>
      <c r="J1129" s="38">
        <f t="shared" ca="1" si="51"/>
        <v>33.333333333333336</v>
      </c>
      <c r="K1129" s="39"/>
      <c r="L1129" s="39"/>
      <c r="M1129" s="39"/>
      <c r="N1129" s="39"/>
      <c r="O1129" s="39"/>
      <c r="P1129" s="39"/>
      <c r="Q1129" s="39"/>
      <c r="R1129" s="39"/>
      <c r="S1129" s="39"/>
      <c r="T1129" s="39"/>
    </row>
    <row r="1130" spans="1:20" ht="15">
      <c r="A1130" s="3">
        <f t="shared" si="50"/>
        <v>2082</v>
      </c>
      <c r="B1130" s="3">
        <f t="shared" si="52"/>
        <v>365</v>
      </c>
      <c r="C1130" s="38">
        <f t="shared" ref="C1130:J1139" ca="1" si="53">AVERAGE(OFFSET(C$593,($A1130-$A$1110)*12,0,12,1))</f>
        <v>154.75825</v>
      </c>
      <c r="D1130" s="38">
        <f t="shared" ca="1" si="53"/>
        <v>281.0162499999999</v>
      </c>
      <c r="E1130" s="38">
        <f t="shared" ca="1" si="53"/>
        <v>780.7254999999999</v>
      </c>
      <c r="F1130" s="38">
        <f t="shared" ca="1" si="53"/>
        <v>1216.5</v>
      </c>
      <c r="G1130" s="38">
        <f t="shared" ca="1" si="53"/>
        <v>79.166666666666671</v>
      </c>
      <c r="H1130" s="38">
        <f t="shared" ca="1" si="53"/>
        <v>600</v>
      </c>
      <c r="I1130" s="38">
        <f t="shared" ca="1" si="53"/>
        <v>695</v>
      </c>
      <c r="J1130" s="38">
        <f t="shared" ca="1" si="53"/>
        <v>33.333333333333336</v>
      </c>
      <c r="K1130" s="39"/>
      <c r="L1130" s="39"/>
      <c r="M1130" s="39"/>
      <c r="N1130" s="39"/>
      <c r="O1130" s="39"/>
      <c r="P1130" s="39"/>
      <c r="Q1130" s="39"/>
      <c r="R1130" s="39"/>
      <c r="S1130" s="39"/>
      <c r="T1130" s="39"/>
    </row>
    <row r="1131" spans="1:20" ht="15">
      <c r="A1131" s="3">
        <f t="shared" si="50"/>
        <v>2083</v>
      </c>
      <c r="B1131" s="3">
        <f t="shared" si="52"/>
        <v>365</v>
      </c>
      <c r="C1131" s="38">
        <f t="shared" ca="1" si="53"/>
        <v>154.75825</v>
      </c>
      <c r="D1131" s="38">
        <f t="shared" ca="1" si="53"/>
        <v>281.0162499999999</v>
      </c>
      <c r="E1131" s="38">
        <f t="shared" ca="1" si="53"/>
        <v>780.7254999999999</v>
      </c>
      <c r="F1131" s="38">
        <f t="shared" ca="1" si="53"/>
        <v>1216.5</v>
      </c>
      <c r="G1131" s="38">
        <f t="shared" ca="1" si="53"/>
        <v>79.166666666666671</v>
      </c>
      <c r="H1131" s="38">
        <f t="shared" ca="1" si="53"/>
        <v>600</v>
      </c>
      <c r="I1131" s="38">
        <f t="shared" ca="1" si="53"/>
        <v>695</v>
      </c>
      <c r="J1131" s="38">
        <f t="shared" ca="1" si="53"/>
        <v>33.333333333333336</v>
      </c>
      <c r="K1131" s="39"/>
      <c r="L1131" s="39"/>
      <c r="M1131" s="39"/>
      <c r="N1131" s="39"/>
      <c r="O1131" s="39"/>
      <c r="P1131" s="39"/>
      <c r="Q1131" s="39"/>
      <c r="R1131" s="39"/>
      <c r="S1131" s="39"/>
      <c r="T1131" s="39"/>
    </row>
    <row r="1132" spans="1:20" ht="15">
      <c r="A1132" s="3">
        <f t="shared" si="50"/>
        <v>2084</v>
      </c>
      <c r="B1132" s="3">
        <f t="shared" si="52"/>
        <v>366</v>
      </c>
      <c r="C1132" s="38">
        <f t="shared" ca="1" si="53"/>
        <v>154.75825</v>
      </c>
      <c r="D1132" s="38">
        <f t="shared" ca="1" si="53"/>
        <v>281.0162499999999</v>
      </c>
      <c r="E1132" s="38">
        <f t="shared" ca="1" si="53"/>
        <v>780.7254999999999</v>
      </c>
      <c r="F1132" s="38">
        <f t="shared" ca="1" si="53"/>
        <v>1216.5</v>
      </c>
      <c r="G1132" s="38">
        <f t="shared" ca="1" si="53"/>
        <v>79.166666666666671</v>
      </c>
      <c r="H1132" s="38">
        <f t="shared" ca="1" si="53"/>
        <v>600</v>
      </c>
      <c r="I1132" s="38">
        <f t="shared" ca="1" si="53"/>
        <v>695</v>
      </c>
      <c r="J1132" s="38">
        <f t="shared" ca="1" si="53"/>
        <v>33.333333333333336</v>
      </c>
      <c r="K1132" s="39"/>
      <c r="L1132" s="39"/>
      <c r="M1132" s="39"/>
      <c r="N1132" s="39"/>
      <c r="O1132" s="39"/>
      <c r="P1132" s="39"/>
      <c r="Q1132" s="39"/>
      <c r="R1132" s="39"/>
      <c r="S1132" s="39"/>
      <c r="T1132" s="39"/>
    </row>
    <row r="1133" spans="1:20" ht="15">
      <c r="A1133" s="3">
        <f t="shared" si="50"/>
        <v>2085</v>
      </c>
      <c r="B1133" s="3">
        <f t="shared" si="52"/>
        <v>365</v>
      </c>
      <c r="C1133" s="38">
        <f t="shared" ca="1" si="53"/>
        <v>154.75825</v>
      </c>
      <c r="D1133" s="38">
        <f t="shared" ca="1" si="53"/>
        <v>281.0162499999999</v>
      </c>
      <c r="E1133" s="38">
        <f t="shared" ca="1" si="53"/>
        <v>780.7254999999999</v>
      </c>
      <c r="F1133" s="38">
        <f t="shared" ca="1" si="53"/>
        <v>1216.5</v>
      </c>
      <c r="G1133" s="38">
        <f t="shared" ca="1" si="53"/>
        <v>79.166666666666671</v>
      </c>
      <c r="H1133" s="38">
        <f t="shared" ca="1" si="53"/>
        <v>600</v>
      </c>
      <c r="I1133" s="38">
        <f t="shared" ca="1" si="53"/>
        <v>695</v>
      </c>
      <c r="J1133" s="38">
        <f t="shared" ca="1" si="53"/>
        <v>33.333333333333336</v>
      </c>
      <c r="K1133" s="39"/>
      <c r="L1133" s="39"/>
      <c r="M1133" s="39"/>
      <c r="N1133" s="39"/>
      <c r="O1133" s="39"/>
      <c r="P1133" s="39"/>
      <c r="Q1133" s="39"/>
      <c r="R1133" s="39"/>
      <c r="S1133" s="39"/>
      <c r="T1133" s="39"/>
    </row>
    <row r="1134" spans="1:20" ht="15">
      <c r="A1134" s="3">
        <f t="shared" si="50"/>
        <v>2086</v>
      </c>
      <c r="B1134" s="3">
        <f t="shared" si="52"/>
        <v>365</v>
      </c>
      <c r="C1134" s="38">
        <f t="shared" ca="1" si="53"/>
        <v>154.75825</v>
      </c>
      <c r="D1134" s="38">
        <f t="shared" ca="1" si="53"/>
        <v>281.0162499999999</v>
      </c>
      <c r="E1134" s="38">
        <f t="shared" ca="1" si="53"/>
        <v>780.7254999999999</v>
      </c>
      <c r="F1134" s="38">
        <f t="shared" ca="1" si="53"/>
        <v>1216.5</v>
      </c>
      <c r="G1134" s="38">
        <f t="shared" ca="1" si="53"/>
        <v>79.166666666666671</v>
      </c>
      <c r="H1134" s="38">
        <f t="shared" ca="1" si="53"/>
        <v>600</v>
      </c>
      <c r="I1134" s="38">
        <f t="shared" ca="1" si="53"/>
        <v>695</v>
      </c>
      <c r="J1134" s="38">
        <f t="shared" ca="1" si="53"/>
        <v>33.333333333333336</v>
      </c>
      <c r="K1134" s="39"/>
      <c r="L1134" s="39"/>
      <c r="M1134" s="39"/>
      <c r="N1134" s="39"/>
      <c r="O1134" s="39"/>
      <c r="P1134" s="39"/>
      <c r="Q1134" s="39"/>
      <c r="R1134" s="39"/>
      <c r="S1134" s="39"/>
      <c r="T1134" s="39"/>
    </row>
    <row r="1135" spans="1:20" ht="15">
      <c r="A1135" s="3">
        <f t="shared" si="50"/>
        <v>2087</v>
      </c>
      <c r="B1135" s="3">
        <f t="shared" si="52"/>
        <v>365</v>
      </c>
      <c r="C1135" s="38">
        <f t="shared" ca="1" si="53"/>
        <v>154.75825</v>
      </c>
      <c r="D1135" s="38">
        <f t="shared" ca="1" si="53"/>
        <v>281.0162499999999</v>
      </c>
      <c r="E1135" s="38">
        <f t="shared" ca="1" si="53"/>
        <v>780.7254999999999</v>
      </c>
      <c r="F1135" s="38">
        <f t="shared" ca="1" si="53"/>
        <v>1216.5</v>
      </c>
      <c r="G1135" s="38">
        <f t="shared" ca="1" si="53"/>
        <v>79.166666666666671</v>
      </c>
      <c r="H1135" s="38">
        <f t="shared" ca="1" si="53"/>
        <v>600</v>
      </c>
      <c r="I1135" s="38">
        <f t="shared" ca="1" si="53"/>
        <v>695</v>
      </c>
      <c r="J1135" s="38">
        <f t="shared" ca="1" si="53"/>
        <v>33.333333333333336</v>
      </c>
      <c r="K1135" s="39"/>
      <c r="L1135" s="39"/>
      <c r="M1135" s="39"/>
      <c r="N1135" s="39"/>
      <c r="O1135" s="39"/>
      <c r="P1135" s="39"/>
      <c r="Q1135" s="39"/>
      <c r="R1135" s="39"/>
      <c r="S1135" s="39"/>
      <c r="T1135" s="39"/>
    </row>
    <row r="1136" spans="1:20" ht="15">
      <c r="A1136" s="3">
        <f t="shared" si="50"/>
        <v>2088</v>
      </c>
      <c r="B1136" s="3">
        <f t="shared" si="52"/>
        <v>366</v>
      </c>
      <c r="C1136" s="38">
        <f t="shared" ca="1" si="53"/>
        <v>154.75825</v>
      </c>
      <c r="D1136" s="38">
        <f t="shared" ca="1" si="53"/>
        <v>281.0162499999999</v>
      </c>
      <c r="E1136" s="38">
        <f t="shared" ca="1" si="53"/>
        <v>780.7254999999999</v>
      </c>
      <c r="F1136" s="38">
        <f t="shared" ca="1" si="53"/>
        <v>1216.5</v>
      </c>
      <c r="G1136" s="38">
        <f t="shared" ca="1" si="53"/>
        <v>79.166666666666671</v>
      </c>
      <c r="H1136" s="38">
        <f t="shared" ca="1" si="53"/>
        <v>600</v>
      </c>
      <c r="I1136" s="38">
        <f t="shared" ca="1" si="53"/>
        <v>695</v>
      </c>
      <c r="J1136" s="38">
        <f t="shared" ca="1" si="53"/>
        <v>33.333333333333336</v>
      </c>
      <c r="K1136" s="39"/>
      <c r="L1136" s="39"/>
      <c r="M1136" s="39"/>
      <c r="N1136" s="39"/>
      <c r="O1136" s="39"/>
      <c r="P1136" s="39"/>
      <c r="Q1136" s="39"/>
      <c r="R1136" s="39"/>
      <c r="S1136" s="39"/>
      <c r="T1136" s="39"/>
    </row>
    <row r="1137" spans="1:20" ht="15">
      <c r="A1137" s="3">
        <f t="shared" si="50"/>
        <v>2089</v>
      </c>
      <c r="B1137" s="3">
        <f t="shared" si="52"/>
        <v>365</v>
      </c>
      <c r="C1137" s="38">
        <f t="shared" ca="1" si="53"/>
        <v>154.75825</v>
      </c>
      <c r="D1137" s="38">
        <f t="shared" ca="1" si="53"/>
        <v>281.0162499999999</v>
      </c>
      <c r="E1137" s="38">
        <f t="shared" ca="1" si="53"/>
        <v>780.7254999999999</v>
      </c>
      <c r="F1137" s="38">
        <f t="shared" ca="1" si="53"/>
        <v>1216.5</v>
      </c>
      <c r="G1137" s="38">
        <f t="shared" ca="1" si="53"/>
        <v>79.166666666666671</v>
      </c>
      <c r="H1137" s="38">
        <f t="shared" ca="1" si="53"/>
        <v>600</v>
      </c>
      <c r="I1137" s="38">
        <f t="shared" ca="1" si="53"/>
        <v>695</v>
      </c>
      <c r="J1137" s="38">
        <f t="shared" ca="1" si="53"/>
        <v>33.333333333333336</v>
      </c>
      <c r="K1137" s="39"/>
      <c r="L1137" s="39"/>
      <c r="M1137" s="39"/>
      <c r="N1137" s="39"/>
      <c r="O1137" s="39"/>
      <c r="P1137" s="39"/>
      <c r="Q1137" s="39"/>
      <c r="R1137" s="39"/>
      <c r="S1137" s="39"/>
      <c r="T1137" s="39"/>
    </row>
    <row r="1138" spans="1:20" ht="15">
      <c r="A1138" s="3">
        <f t="shared" si="50"/>
        <v>2090</v>
      </c>
      <c r="B1138" s="3">
        <f t="shared" si="52"/>
        <v>365</v>
      </c>
      <c r="C1138" s="38">
        <f t="shared" ca="1" si="53"/>
        <v>154.75825</v>
      </c>
      <c r="D1138" s="38">
        <f t="shared" ca="1" si="53"/>
        <v>281.0162499999999</v>
      </c>
      <c r="E1138" s="38">
        <f t="shared" ca="1" si="53"/>
        <v>780.7254999999999</v>
      </c>
      <c r="F1138" s="38">
        <f t="shared" ca="1" si="53"/>
        <v>1216.5</v>
      </c>
      <c r="G1138" s="38">
        <f t="shared" ca="1" si="53"/>
        <v>79.166666666666671</v>
      </c>
      <c r="H1138" s="38">
        <f t="shared" ca="1" si="53"/>
        <v>600</v>
      </c>
      <c r="I1138" s="38">
        <f t="shared" ca="1" si="53"/>
        <v>695</v>
      </c>
      <c r="J1138" s="38">
        <f t="shared" ca="1" si="53"/>
        <v>33.333333333333336</v>
      </c>
      <c r="K1138" s="39"/>
      <c r="L1138" s="39"/>
      <c r="M1138" s="39"/>
      <c r="N1138" s="39"/>
      <c r="O1138" s="39"/>
      <c r="P1138" s="39"/>
      <c r="Q1138" s="39"/>
      <c r="R1138" s="39"/>
      <c r="S1138" s="39"/>
      <c r="T1138" s="39"/>
    </row>
    <row r="1139" spans="1:20" ht="15">
      <c r="A1139" s="3">
        <f t="shared" si="50"/>
        <v>2091</v>
      </c>
      <c r="B1139" s="3">
        <f t="shared" si="52"/>
        <v>365</v>
      </c>
      <c r="C1139" s="38">
        <f t="shared" ca="1" si="53"/>
        <v>154.75825</v>
      </c>
      <c r="D1139" s="38">
        <f t="shared" ca="1" si="53"/>
        <v>281.0162499999999</v>
      </c>
      <c r="E1139" s="38">
        <f t="shared" ca="1" si="53"/>
        <v>780.7254999999999</v>
      </c>
      <c r="F1139" s="38">
        <f t="shared" ca="1" si="53"/>
        <v>1216.5</v>
      </c>
      <c r="G1139" s="38">
        <f t="shared" ca="1" si="53"/>
        <v>79.166666666666671</v>
      </c>
      <c r="H1139" s="38">
        <f t="shared" ca="1" si="53"/>
        <v>600</v>
      </c>
      <c r="I1139" s="38">
        <f t="shared" ca="1" si="53"/>
        <v>695</v>
      </c>
      <c r="J1139" s="38">
        <f t="shared" ca="1" si="53"/>
        <v>33.333333333333336</v>
      </c>
    </row>
    <row r="1140" spans="1:20" ht="15">
      <c r="A1140" s="3">
        <f t="shared" si="50"/>
        <v>2092</v>
      </c>
      <c r="B1140" s="3">
        <f t="shared" si="52"/>
        <v>366</v>
      </c>
      <c r="C1140" s="38">
        <f t="shared" ref="C1140:J1148" ca="1" si="54">AVERAGE(OFFSET(C$593,($A1140-$A$1110)*12,0,12,1))</f>
        <v>154.75825</v>
      </c>
      <c r="D1140" s="38">
        <f t="shared" ca="1" si="54"/>
        <v>281.0162499999999</v>
      </c>
      <c r="E1140" s="38">
        <f t="shared" ca="1" si="54"/>
        <v>780.7254999999999</v>
      </c>
      <c r="F1140" s="38">
        <f t="shared" ca="1" si="54"/>
        <v>1216.5</v>
      </c>
      <c r="G1140" s="38">
        <f t="shared" ca="1" si="54"/>
        <v>79.166666666666671</v>
      </c>
      <c r="H1140" s="38">
        <f t="shared" ca="1" si="54"/>
        <v>600</v>
      </c>
      <c r="I1140" s="38">
        <f t="shared" ca="1" si="54"/>
        <v>695</v>
      </c>
      <c r="J1140" s="38">
        <f t="shared" ca="1" si="54"/>
        <v>33.333333333333336</v>
      </c>
    </row>
    <row r="1141" spans="1:20" ht="15">
      <c r="A1141" s="3">
        <f t="shared" si="50"/>
        <v>2093</v>
      </c>
      <c r="B1141" s="3">
        <f t="shared" si="52"/>
        <v>365</v>
      </c>
      <c r="C1141" s="38">
        <f t="shared" ca="1" si="54"/>
        <v>154.75825</v>
      </c>
      <c r="D1141" s="38">
        <f t="shared" ca="1" si="54"/>
        <v>281.0162499999999</v>
      </c>
      <c r="E1141" s="38">
        <f t="shared" ca="1" si="54"/>
        <v>780.7254999999999</v>
      </c>
      <c r="F1141" s="38">
        <f t="shared" ca="1" si="54"/>
        <v>1216.5</v>
      </c>
      <c r="G1141" s="38">
        <f t="shared" ca="1" si="54"/>
        <v>79.166666666666671</v>
      </c>
      <c r="H1141" s="38">
        <f t="shared" ca="1" si="54"/>
        <v>600</v>
      </c>
      <c r="I1141" s="38">
        <f t="shared" ca="1" si="54"/>
        <v>695</v>
      </c>
      <c r="J1141" s="38">
        <f t="shared" ca="1" si="54"/>
        <v>33.333333333333336</v>
      </c>
    </row>
    <row r="1142" spans="1:20" ht="15">
      <c r="A1142" s="3">
        <f t="shared" si="50"/>
        <v>2094</v>
      </c>
      <c r="B1142" s="3">
        <f t="shared" si="52"/>
        <v>365</v>
      </c>
      <c r="C1142" s="38">
        <f t="shared" ca="1" si="54"/>
        <v>154.75825</v>
      </c>
      <c r="D1142" s="38">
        <f t="shared" ca="1" si="54"/>
        <v>281.0162499999999</v>
      </c>
      <c r="E1142" s="38">
        <f t="shared" ca="1" si="54"/>
        <v>780.7254999999999</v>
      </c>
      <c r="F1142" s="38">
        <f t="shared" ca="1" si="54"/>
        <v>1216.5</v>
      </c>
      <c r="G1142" s="38">
        <f t="shared" ca="1" si="54"/>
        <v>79.166666666666671</v>
      </c>
      <c r="H1142" s="38">
        <f t="shared" ca="1" si="54"/>
        <v>600</v>
      </c>
      <c r="I1142" s="38">
        <f t="shared" ca="1" si="54"/>
        <v>695</v>
      </c>
      <c r="J1142" s="38">
        <f t="shared" ca="1" si="54"/>
        <v>33.333333333333336</v>
      </c>
    </row>
    <row r="1143" spans="1:20" ht="15">
      <c r="A1143" s="3">
        <f t="shared" si="50"/>
        <v>2095</v>
      </c>
      <c r="B1143" s="3">
        <f t="shared" si="52"/>
        <v>365</v>
      </c>
      <c r="C1143" s="38">
        <f t="shared" ca="1" si="54"/>
        <v>154.75825</v>
      </c>
      <c r="D1143" s="38">
        <f t="shared" ca="1" si="54"/>
        <v>281.0162499999999</v>
      </c>
      <c r="E1143" s="38">
        <f t="shared" ca="1" si="54"/>
        <v>780.7254999999999</v>
      </c>
      <c r="F1143" s="38">
        <f t="shared" ca="1" si="54"/>
        <v>1216.5</v>
      </c>
      <c r="G1143" s="38">
        <f t="shared" ca="1" si="54"/>
        <v>79.166666666666671</v>
      </c>
      <c r="H1143" s="38">
        <f t="shared" ca="1" si="54"/>
        <v>600</v>
      </c>
      <c r="I1143" s="38">
        <f t="shared" ca="1" si="54"/>
        <v>695</v>
      </c>
      <c r="J1143" s="38">
        <f t="shared" ca="1" si="54"/>
        <v>33.333333333333336</v>
      </c>
    </row>
    <row r="1144" spans="1:20" ht="15">
      <c r="A1144" s="3">
        <f t="shared" si="50"/>
        <v>2096</v>
      </c>
      <c r="B1144" s="3">
        <f t="shared" si="52"/>
        <v>366</v>
      </c>
      <c r="C1144" s="38">
        <f t="shared" ca="1" si="54"/>
        <v>154.75825</v>
      </c>
      <c r="D1144" s="38">
        <f t="shared" ca="1" si="54"/>
        <v>281.0162499999999</v>
      </c>
      <c r="E1144" s="38">
        <f t="shared" ca="1" si="54"/>
        <v>780.7254999999999</v>
      </c>
      <c r="F1144" s="38">
        <f t="shared" ca="1" si="54"/>
        <v>1216.5</v>
      </c>
      <c r="G1144" s="38">
        <f t="shared" ca="1" si="54"/>
        <v>79.166666666666671</v>
      </c>
      <c r="H1144" s="38">
        <f t="shared" ca="1" si="54"/>
        <v>600</v>
      </c>
      <c r="I1144" s="38">
        <f t="shared" ca="1" si="54"/>
        <v>695</v>
      </c>
      <c r="J1144" s="38">
        <f t="shared" ca="1" si="54"/>
        <v>33.333333333333336</v>
      </c>
    </row>
    <row r="1145" spans="1:20" ht="15">
      <c r="A1145" s="3">
        <f t="shared" si="50"/>
        <v>2097</v>
      </c>
      <c r="B1145" s="3">
        <f t="shared" si="52"/>
        <v>365</v>
      </c>
      <c r="C1145" s="38">
        <f t="shared" ca="1" si="54"/>
        <v>154.75825</v>
      </c>
      <c r="D1145" s="38">
        <f t="shared" ca="1" si="54"/>
        <v>281.0162499999999</v>
      </c>
      <c r="E1145" s="38">
        <f t="shared" ca="1" si="54"/>
        <v>780.7254999999999</v>
      </c>
      <c r="F1145" s="38">
        <f t="shared" ca="1" si="54"/>
        <v>1216.5</v>
      </c>
      <c r="G1145" s="38">
        <f t="shared" ca="1" si="54"/>
        <v>79.166666666666671</v>
      </c>
      <c r="H1145" s="38">
        <f t="shared" ca="1" si="54"/>
        <v>600</v>
      </c>
      <c r="I1145" s="38">
        <f t="shared" ca="1" si="54"/>
        <v>695</v>
      </c>
      <c r="J1145" s="38">
        <f t="shared" ca="1" si="54"/>
        <v>33.333333333333336</v>
      </c>
    </row>
    <row r="1146" spans="1:20" ht="15">
      <c r="A1146" s="3">
        <f t="shared" si="50"/>
        <v>2098</v>
      </c>
      <c r="B1146" s="3">
        <f t="shared" si="52"/>
        <v>365</v>
      </c>
      <c r="C1146" s="38">
        <f t="shared" ca="1" si="54"/>
        <v>154.75825</v>
      </c>
      <c r="D1146" s="38">
        <f t="shared" ca="1" si="54"/>
        <v>281.0162499999999</v>
      </c>
      <c r="E1146" s="38">
        <f t="shared" ca="1" si="54"/>
        <v>780.7254999999999</v>
      </c>
      <c r="F1146" s="38">
        <f t="shared" ca="1" si="54"/>
        <v>1216.5</v>
      </c>
      <c r="G1146" s="38">
        <f t="shared" ca="1" si="54"/>
        <v>79.166666666666671</v>
      </c>
      <c r="H1146" s="38">
        <f t="shared" ca="1" si="54"/>
        <v>600</v>
      </c>
      <c r="I1146" s="38">
        <f t="shared" ca="1" si="54"/>
        <v>695</v>
      </c>
      <c r="J1146" s="38">
        <f t="shared" ca="1" si="54"/>
        <v>33.333333333333336</v>
      </c>
    </row>
    <row r="1147" spans="1:20" ht="15">
      <c r="A1147" s="3">
        <f t="shared" si="50"/>
        <v>2099</v>
      </c>
      <c r="B1147" s="3">
        <f t="shared" si="52"/>
        <v>365</v>
      </c>
      <c r="C1147" s="38">
        <f t="shared" ca="1" si="54"/>
        <v>154.75825</v>
      </c>
      <c r="D1147" s="38">
        <f t="shared" ca="1" si="54"/>
        <v>281.0162499999999</v>
      </c>
      <c r="E1147" s="38">
        <f t="shared" ca="1" si="54"/>
        <v>780.7254999999999</v>
      </c>
      <c r="F1147" s="38">
        <f t="shared" ca="1" si="54"/>
        <v>1216.5</v>
      </c>
      <c r="G1147" s="38">
        <f t="shared" ca="1" si="54"/>
        <v>79.166666666666671</v>
      </c>
      <c r="H1147" s="38">
        <f t="shared" ca="1" si="54"/>
        <v>600</v>
      </c>
      <c r="I1147" s="38">
        <f t="shared" ca="1" si="54"/>
        <v>695</v>
      </c>
      <c r="J1147" s="38">
        <f t="shared" ca="1" si="54"/>
        <v>33.333333333333336</v>
      </c>
    </row>
    <row r="1148" spans="1:20" ht="15">
      <c r="A1148" s="3">
        <f t="shared" si="50"/>
        <v>2100</v>
      </c>
      <c r="B1148" s="3">
        <f t="shared" si="52"/>
        <v>365</v>
      </c>
      <c r="C1148" s="38">
        <f t="shared" ca="1" si="54"/>
        <v>154.75825</v>
      </c>
      <c r="D1148" s="38">
        <f t="shared" ca="1" si="54"/>
        <v>281.0162499999999</v>
      </c>
      <c r="E1148" s="38">
        <f t="shared" ca="1" si="54"/>
        <v>780.7254999999999</v>
      </c>
      <c r="F1148" s="38">
        <f t="shared" ca="1" si="54"/>
        <v>1216.5</v>
      </c>
      <c r="G1148" s="38">
        <f t="shared" ca="1" si="54"/>
        <v>79.166666666666671</v>
      </c>
      <c r="H1148" s="38">
        <f t="shared" ca="1" si="54"/>
        <v>600</v>
      </c>
      <c r="I1148" s="38">
        <f t="shared" ca="1" si="54"/>
        <v>695</v>
      </c>
      <c r="J1148" s="38">
        <f t="shared" ca="1" si="54"/>
        <v>33.333333333333336</v>
      </c>
    </row>
    <row r="1149" spans="1:20">
      <c r="A1149" s="35"/>
      <c r="B1149" s="35"/>
      <c r="C1149" s="37"/>
      <c r="D1149" s="37"/>
      <c r="E1149" s="37"/>
      <c r="F1149" s="37"/>
      <c r="G1149" s="37"/>
    </row>
    <row r="1150" spans="1:20">
      <c r="A1150" s="35"/>
      <c r="B1150" s="35"/>
    </row>
    <row r="1151" spans="1:20">
      <c r="A1151" s="35"/>
      <c r="B1151" s="35"/>
    </row>
    <row r="1152" spans="1:20">
      <c r="A1152" s="35"/>
      <c r="B1152" s="35"/>
    </row>
    <row r="1153" spans="1:2">
      <c r="A1153" s="35"/>
      <c r="B1153" s="35"/>
    </row>
    <row r="1154" spans="1:2">
      <c r="A1154" s="35"/>
      <c r="B1154" s="35"/>
    </row>
    <row r="1155" spans="1:2">
      <c r="A1155" s="35"/>
      <c r="B1155" s="35"/>
    </row>
    <row r="1156" spans="1:2">
      <c r="A1156" s="35"/>
      <c r="B1156" s="35"/>
    </row>
    <row r="1157" spans="1:2">
      <c r="A1157" s="35"/>
      <c r="B1157" s="35"/>
    </row>
    <row r="1158" spans="1:2">
      <c r="A1158" s="35"/>
      <c r="B1158" s="35"/>
    </row>
    <row r="1159" spans="1:2">
      <c r="A1159" s="35"/>
      <c r="B1159" s="35"/>
    </row>
    <row r="1160" spans="1:2">
      <c r="A1160" s="35"/>
      <c r="B1160" s="35"/>
    </row>
    <row r="1161" spans="1:2">
      <c r="A1161" s="35"/>
      <c r="B1161" s="35"/>
    </row>
    <row r="1162" spans="1:2">
      <c r="A1162" s="35"/>
      <c r="B1162" s="35"/>
    </row>
    <row r="1163" spans="1:2">
      <c r="A1163" s="35"/>
      <c r="B1163" s="35"/>
    </row>
    <row r="1164" spans="1:2">
      <c r="A1164" s="35"/>
      <c r="B1164" s="35"/>
    </row>
    <row r="1165" spans="1:2">
      <c r="A1165" s="35"/>
      <c r="B1165" s="35"/>
    </row>
    <row r="1166" spans="1:2">
      <c r="A1166" s="35"/>
      <c r="B1166" s="35"/>
    </row>
    <row r="1167" spans="1:2">
      <c r="A1167" s="35"/>
      <c r="B1167" s="35"/>
    </row>
    <row r="1168" spans="1:2">
      <c r="A1168" s="35"/>
      <c r="B1168" s="35"/>
    </row>
  </sheetData>
  <mergeCells count="1">
    <mergeCell ref="C14:E14"/>
  </mergeCells>
  <pageMargins left="0.25" right="0.25" top="0.5" bottom="0.5" header="0.25" footer="0.25"/>
  <pageSetup scale="75" orientation="portrait" r:id="rId1"/>
  <headerFooter alignWithMargins="0"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7"/>
  <dimension ref="A1:G1168"/>
  <sheetViews>
    <sheetView zoomScale="70" zoomScaleNormal="70" workbookViewId="0">
      <pane xSplit="1" ySplit="16" topLeftCell="B17" activePane="bottomRight" state="frozen"/>
      <selection activeCell="A6" sqref="A6"/>
      <selection pane="topRight" activeCell="A6" sqref="A6"/>
      <selection pane="bottomLeft" activeCell="A6" sqref="A6"/>
      <selection pane="bottomRight" activeCell="A6" sqref="A6"/>
    </sheetView>
  </sheetViews>
  <sheetFormatPr defaultColWidth="7.109375" defaultRowHeight="12.75"/>
  <cols>
    <col min="1" max="1" width="7.5546875" style="36" bestFit="1" customWidth="1"/>
    <col min="2" max="2" width="10" style="36" customWidth="1"/>
    <col min="3" max="3" width="12" style="36" customWidth="1"/>
    <col min="4" max="4" width="12.109375" style="36" bestFit="1" customWidth="1"/>
    <col min="5" max="5" width="8.44140625" style="36" bestFit="1" customWidth="1"/>
    <col min="6" max="16384" width="7.109375" style="35"/>
  </cols>
  <sheetData>
    <row r="1" spans="1:7" ht="15.75">
      <c r="A1" s="87" t="s">
        <v>64</v>
      </c>
    </row>
    <row r="2" spans="1:7" ht="15.75">
      <c r="A2" s="87" t="s">
        <v>65</v>
      </c>
    </row>
    <row r="3" spans="1:7" ht="15.75">
      <c r="A3" s="87" t="s">
        <v>66</v>
      </c>
    </row>
    <row r="4" spans="1:7" ht="15.75">
      <c r="A4" s="87" t="s">
        <v>67</v>
      </c>
    </row>
    <row r="5" spans="1:7" ht="15.75">
      <c r="A5" s="87" t="s">
        <v>69</v>
      </c>
    </row>
    <row r="6" spans="1:7" ht="15.75">
      <c r="A6" s="87" t="s">
        <v>71</v>
      </c>
    </row>
    <row r="8" spans="1:7" ht="20.25">
      <c r="A8" s="34" t="s">
        <v>43</v>
      </c>
    </row>
    <row r="9" spans="1:7" ht="15" customHeight="1">
      <c r="A9" s="60" t="s">
        <v>25</v>
      </c>
    </row>
    <row r="10" spans="1:7" ht="15" customHeight="1">
      <c r="A10" s="65"/>
      <c r="F10" s="63"/>
      <c r="G10" s="63"/>
    </row>
    <row r="11" spans="1:7" ht="15" customHeight="1">
      <c r="A11" s="65"/>
      <c r="B11" s="64"/>
      <c r="C11" s="64"/>
      <c r="D11" s="64"/>
      <c r="E11" s="64"/>
      <c r="F11" s="63"/>
      <c r="G11" s="63"/>
    </row>
    <row r="12" spans="1:7" ht="15" customHeight="1"/>
    <row r="13" spans="1:7" ht="15" customHeight="1">
      <c r="B13" s="62" t="s">
        <v>24</v>
      </c>
      <c r="C13" s="61">
        <f>1-0.263</f>
        <v>0.73699999999999999</v>
      </c>
      <c r="D13" s="62" t="s">
        <v>23</v>
      </c>
      <c r="E13" s="61">
        <f>1+0.263</f>
        <v>1.2629999999999999</v>
      </c>
    </row>
    <row r="14" spans="1:7" ht="15" customHeight="1">
      <c r="A14" s="60"/>
      <c r="B14" s="90" t="s">
        <v>42</v>
      </c>
      <c r="C14" s="90"/>
      <c r="D14" s="59" t="s">
        <v>41</v>
      </c>
      <c r="E14" s="54"/>
    </row>
    <row r="15" spans="1:7" s="57" customFormat="1" ht="63">
      <c r="B15" s="58" t="s">
        <v>40</v>
      </c>
      <c r="C15" s="58" t="s">
        <v>39</v>
      </c>
      <c r="D15" s="58" t="s">
        <v>38</v>
      </c>
      <c r="E15" s="26" t="s">
        <v>37</v>
      </c>
    </row>
    <row r="16" spans="1:7" s="57" customFormat="1" ht="15.75">
      <c r="A16" s="23" t="s">
        <v>2</v>
      </c>
      <c r="B16" s="49" t="s">
        <v>1</v>
      </c>
      <c r="C16" s="49" t="s">
        <v>1</v>
      </c>
      <c r="D16" s="49" t="s">
        <v>1</v>
      </c>
      <c r="E16" s="23" t="s">
        <v>36</v>
      </c>
    </row>
    <row r="17" spans="1:5" ht="15">
      <c r="A17" s="13">
        <v>41640</v>
      </c>
      <c r="B17" s="4">
        <v>16.436064253071699</v>
      </c>
      <c r="C17" s="4">
        <v>16.288836342915499</v>
      </c>
      <c r="D17" s="4">
        <v>24.229497427101201</v>
      </c>
      <c r="E17" s="4">
        <v>98.77</v>
      </c>
    </row>
    <row r="18" spans="1:5" ht="15">
      <c r="A18" s="13">
        <v>41671</v>
      </c>
      <c r="B18" s="4">
        <v>17.464204878071701</v>
      </c>
      <c r="C18" s="4">
        <v>17.316976967915501</v>
      </c>
      <c r="D18" s="4">
        <v>24.359056260720401</v>
      </c>
      <c r="E18" s="4">
        <v>94.99</v>
      </c>
    </row>
    <row r="19" spans="1:5" ht="15">
      <c r="A19" s="13">
        <v>41699</v>
      </c>
      <c r="B19" s="4">
        <v>17.5704548780717</v>
      </c>
      <c r="C19" s="4">
        <v>17.4232269679155</v>
      </c>
      <c r="D19" s="4">
        <v>23.297155060034299</v>
      </c>
      <c r="E19" s="4">
        <v>102.92</v>
      </c>
    </row>
    <row r="20" spans="1:5" ht="15">
      <c r="A20" s="13">
        <v>41730</v>
      </c>
      <c r="B20" s="4">
        <v>16.605954878071699</v>
      </c>
      <c r="C20" s="4">
        <v>16.458726967915499</v>
      </c>
      <c r="D20" s="4">
        <v>22.8128799313894</v>
      </c>
      <c r="E20" s="4">
        <v>99.43</v>
      </c>
    </row>
    <row r="21" spans="1:5" ht="15">
      <c r="A21" s="13">
        <v>41760</v>
      </c>
      <c r="B21" s="4">
        <v>16.420773787848599</v>
      </c>
      <c r="C21" s="4">
        <v>16.273553600348599</v>
      </c>
      <c r="D21" s="4">
        <v>23.1277790737564</v>
      </c>
      <c r="E21" s="4">
        <v>102.13</v>
      </c>
    </row>
    <row r="22" spans="1:5" ht="15">
      <c r="A22" s="13">
        <v>41791</v>
      </c>
      <c r="B22" s="4">
        <v>16.224492537848601</v>
      </c>
      <c r="C22" s="4">
        <v>16.077272350348601</v>
      </c>
      <c r="D22" s="4">
        <v>23.109257289879899</v>
      </c>
      <c r="E22" s="4">
        <v>102.44</v>
      </c>
    </row>
    <row r="23" spans="1:5" ht="15">
      <c r="A23" s="13">
        <v>41821</v>
      </c>
      <c r="B23" s="4">
        <f>16 * CHOOSE(CONTROL!$C$13, $C$13, 100%, $E$13) + CHOOSE(CONTROL!$C$32, 0.0272, 0)</f>
        <v>16.027200000000001</v>
      </c>
      <c r="C23" s="4">
        <f>15.6367 * CHOOSE(CONTROL!$C$13, $C$13, 100%, $E$13) + CHOOSE(CONTROL!$C$32, 0.0272, 0)</f>
        <v>15.6639</v>
      </c>
      <c r="D23" s="4">
        <f>23.2538 * CHOOSE(CONTROL!$C$13, $C$13, 100%, $E$13) + CHOOSE(CONTROL!$C$32, 0.0021, 0)</f>
        <v>23.255899999999997</v>
      </c>
      <c r="E23" s="4">
        <f>107.26 * CHOOSE(CONTROL!$C$13, $C$13, 100%, $E$13) + CHOOSE(CONTROL!$C$32, 0.0021, 0)</f>
        <v>107.2621</v>
      </c>
    </row>
    <row r="24" spans="1:5" ht="15">
      <c r="A24" s="13">
        <v>41852</v>
      </c>
      <c r="B24" s="4">
        <f>15.1181 * CHOOSE(CONTROL!$C$13, $C$13, 100%, $E$13) + CHOOSE(CONTROL!$C$32, 0.0272, 0)</f>
        <v>15.145300000000001</v>
      </c>
      <c r="C24" s="4">
        <f>14.7548 * CHOOSE(CONTROL!$C$13, $C$13, 100%, $E$13) + CHOOSE(CONTROL!$C$32, 0.0272, 0)</f>
        <v>14.782</v>
      </c>
      <c r="D24" s="4">
        <f>22.6472 * CHOOSE(CONTROL!$C$13, $C$13, 100%, $E$13) + CHOOSE(CONTROL!$C$32, 0.0021, 0)</f>
        <v>22.6493</v>
      </c>
      <c r="E24" s="4">
        <f>104.42 * CHOOSE(CONTROL!$C$13, $C$13, 100%, $E$13) + CHOOSE(CONTROL!$C$32, 0.0021, 0)</f>
        <v>104.4221</v>
      </c>
    </row>
    <row r="25" spans="1:5" ht="15">
      <c r="A25" s="13">
        <v>41883</v>
      </c>
      <c r="B25" s="4">
        <f>15.1797 * CHOOSE(CONTROL!$C$13, $C$13, 100%, $E$13) + CHOOSE(CONTROL!$C$32, 0.0272, 0)</f>
        <v>15.206900000000001</v>
      </c>
      <c r="C25" s="4">
        <f>14.8164 * CHOOSE(CONTROL!$C$13, $C$13, 100%, $E$13) + CHOOSE(CONTROL!$C$32, 0.0272, 0)</f>
        <v>14.8436</v>
      </c>
      <c r="D25" s="4">
        <f>22.4332 * CHOOSE(CONTROL!$C$13, $C$13, 100%, $E$13) + CHOOSE(CONTROL!$C$32, 0.0021, 0)</f>
        <v>22.435299999999998</v>
      </c>
      <c r="E25" s="4">
        <f>96.07 * CHOOSE(CONTROL!$C$13, $C$13, 100%, $E$13) + CHOOSE(CONTROL!$C$32, 0.0021, 0)</f>
        <v>96.072099999999992</v>
      </c>
    </row>
    <row r="26" spans="1:5" ht="15">
      <c r="A26" s="13">
        <v>41913</v>
      </c>
      <c r="B26" s="4">
        <f>15.2344 * CHOOSE(CONTROL!$C$13, $C$13, 100%, $E$13) + CHOOSE(CONTROL!$C$32, 0.0272, 0)</f>
        <v>15.261600000000001</v>
      </c>
      <c r="C26" s="4">
        <f>14.8711 * CHOOSE(CONTROL!$C$13, $C$13, 100%, $E$13) + CHOOSE(CONTROL!$C$32, 0.0272, 0)</f>
        <v>14.898300000000001</v>
      </c>
      <c r="D26" s="4">
        <f>21.9995 * CHOOSE(CONTROL!$C$13, $C$13, 100%, $E$13) + CHOOSE(CONTROL!$C$32, 0.0021, 0)</f>
        <v>22.0016</v>
      </c>
      <c r="E26" s="4">
        <f>92.88 * CHOOSE(CONTROL!$C$13, $C$13, 100%, $E$13) + CHOOSE(CONTROL!$C$32, 0.0021, 0)</f>
        <v>92.882099999999994</v>
      </c>
    </row>
    <row r="27" spans="1:5" ht="15">
      <c r="A27" s="13">
        <v>41944</v>
      </c>
      <c r="B27" s="4">
        <f>15.1797 * CHOOSE(CONTROL!$C$13, $C$13, 100%, $E$13) + CHOOSE(CONTROL!$C$32, 0.0272, 0)</f>
        <v>15.206900000000001</v>
      </c>
      <c r="C27" s="4">
        <f>14.8164 * CHOOSE(CONTROL!$C$13, $C$13, 100%, $E$13) + CHOOSE(CONTROL!$C$32, 0.0272, 0)</f>
        <v>14.8436</v>
      </c>
      <c r="D27" s="4">
        <f>22.0586 * CHOOSE(CONTROL!$C$13, $C$13, 100%, $E$13) + CHOOSE(CONTROL!$C$32, 0.0021, 0)</f>
        <v>22.060699999999997</v>
      </c>
      <c r="E27" s="4">
        <f>92.1 * CHOOSE(CONTROL!$C$13, $C$13, 100%, $E$13) + CHOOSE(CONTROL!$C$32, 0.0021, 0)</f>
        <v>92.102099999999993</v>
      </c>
    </row>
    <row r="28" spans="1:5" ht="15">
      <c r="A28" s="13">
        <v>41974</v>
      </c>
      <c r="B28" s="4">
        <f>15.1328 * CHOOSE(CONTROL!$C$13, $C$13, 100%, $E$13) + CHOOSE(CONTROL!$C$32, 0.0272, 0)</f>
        <v>15.16</v>
      </c>
      <c r="C28" s="4">
        <f>14.7695 * CHOOSE(CONTROL!$C$13, $C$13, 100%, $E$13) + CHOOSE(CONTROL!$C$32, 0.0272, 0)</f>
        <v>14.796700000000001</v>
      </c>
      <c r="D28" s="4">
        <f>22.1126 * CHOOSE(CONTROL!$C$13, $C$13, 100%, $E$13) + CHOOSE(CONTROL!$C$32, 0.0021, 0)</f>
        <v>22.114699999999999</v>
      </c>
      <c r="E28" s="4">
        <f>91.74 * CHOOSE(CONTROL!$C$13, $C$13, 100%, $E$13) + CHOOSE(CONTROL!$C$32, 0.0021, 0)</f>
        <v>91.742099999999994</v>
      </c>
    </row>
    <row r="29" spans="1:5" ht="15">
      <c r="A29" s="13">
        <v>42005</v>
      </c>
      <c r="B29" s="4">
        <f>15.1875 * CHOOSE(CONTROL!$C$13, $C$13, 100%, $E$13) + CHOOSE(CONTROL!$C$32, 0.0272, 0)</f>
        <v>15.214700000000001</v>
      </c>
      <c r="C29" s="4">
        <f>14.8242 * CHOOSE(CONTROL!$C$13, $C$13, 100%, $E$13) + CHOOSE(CONTROL!$C$32, 0.0272, 0)</f>
        <v>14.8514</v>
      </c>
      <c r="D29" s="4">
        <f>22.1587 * CHOOSE(CONTROL!$C$13, $C$13, 100%, $E$13) + CHOOSE(CONTROL!$C$32, 0.0021, 0)</f>
        <v>22.160799999999998</v>
      </c>
      <c r="E29" s="4">
        <f>91.62 * CHOOSE(CONTROL!$C$13, $C$13, 100%, $E$13) + CHOOSE(CONTROL!$C$32, 0.0021, 0)</f>
        <v>91.622100000000003</v>
      </c>
    </row>
    <row r="30" spans="1:5" ht="15">
      <c r="A30" s="13">
        <v>42036</v>
      </c>
      <c r="B30" s="4">
        <f>15.1875 * CHOOSE(CONTROL!$C$13, $C$13, 100%, $E$13) + CHOOSE(CONTROL!$C$32, 0.0272, 0)</f>
        <v>15.214700000000001</v>
      </c>
      <c r="C30" s="4">
        <f>14.8242 * CHOOSE(CONTROL!$C$13, $C$13, 100%, $E$13) + CHOOSE(CONTROL!$C$32, 0.0272, 0)</f>
        <v>14.8514</v>
      </c>
      <c r="D30" s="4">
        <f>22.1407 * CHOOSE(CONTROL!$C$13, $C$13, 100%, $E$13) + CHOOSE(CONTROL!$C$32, 0.0021, 0)</f>
        <v>22.142799999999998</v>
      </c>
      <c r="E30" s="4">
        <f>91.56 * CHOOSE(CONTROL!$C$13, $C$13, 100%, $E$13) + CHOOSE(CONTROL!$C$32, 0.0021, 0)</f>
        <v>91.562100000000001</v>
      </c>
    </row>
    <row r="31" spans="1:5" ht="15">
      <c r="A31" s="13">
        <v>42064</v>
      </c>
      <c r="B31" s="4">
        <f>15.1875 * CHOOSE(CONTROL!$C$13, $C$13, 100%, $E$13) + CHOOSE(CONTROL!$C$32, 0.0272, 0)</f>
        <v>15.214700000000001</v>
      </c>
      <c r="C31" s="4">
        <f>14.8242 * CHOOSE(CONTROL!$C$13, $C$13, 100%, $E$13) + CHOOSE(CONTROL!$C$32, 0.0272, 0)</f>
        <v>14.8514</v>
      </c>
      <c r="D31" s="4">
        <f>22.0745 * CHOOSE(CONTROL!$C$13, $C$13, 100%, $E$13) + CHOOSE(CONTROL!$C$32, 0.0021, 0)</f>
        <v>22.076599999999999</v>
      </c>
      <c r="E31" s="4">
        <f>91.51 * CHOOSE(CONTROL!$C$13, $C$13, 100%, $E$13) + CHOOSE(CONTROL!$C$32, 0.0021, 0)</f>
        <v>91.512100000000004</v>
      </c>
    </row>
    <row r="32" spans="1:5" ht="15">
      <c r="A32" s="13">
        <v>42095</v>
      </c>
      <c r="B32" s="4">
        <f>15.1875 * CHOOSE(CONTROL!$C$13, $C$13, 100%, $E$13) + CHOOSE(CONTROL!$C$32, 0.0272, 0)</f>
        <v>15.214700000000001</v>
      </c>
      <c r="C32" s="4">
        <f>14.8242 * CHOOSE(CONTROL!$C$13, $C$13, 100%, $E$13) + CHOOSE(CONTROL!$C$32, 0.0272, 0)</f>
        <v>14.8514</v>
      </c>
      <c r="D32" s="4">
        <f>21.9931 * CHOOSE(CONTROL!$C$13, $C$13, 100%, $E$13) + CHOOSE(CONTROL!$C$32, 0.0021, 0)</f>
        <v>21.995199999999997</v>
      </c>
      <c r="E32" s="4">
        <f>91.41 * CHOOSE(CONTROL!$C$13, $C$13, 100%, $E$13) + CHOOSE(CONTROL!$C$32, 0.0021, 0)</f>
        <v>91.412099999999995</v>
      </c>
    </row>
    <row r="33" spans="1:5" ht="15">
      <c r="A33" s="13">
        <v>42125</v>
      </c>
      <c r="B33" s="4">
        <f>15.1875 * CHOOSE(CONTROL!$C$13, $C$13, 100%, $E$13) + CHOOSE(CONTROL!$C$32, 0.0272, 0)</f>
        <v>15.214700000000001</v>
      </c>
      <c r="C33" s="4">
        <f>14.8242 * CHOOSE(CONTROL!$C$13, $C$13, 100%, $E$13) + CHOOSE(CONTROL!$C$32, 0.0272, 0)</f>
        <v>14.8514</v>
      </c>
      <c r="D33" s="4">
        <f>21.9426 * CHOOSE(CONTROL!$C$13, $C$13, 100%, $E$13) + CHOOSE(CONTROL!$C$32, 0.0021, 0)</f>
        <v>21.944699999999997</v>
      </c>
      <c r="E33" s="4">
        <f>91.31 * CHOOSE(CONTROL!$C$13, $C$13, 100%, $E$13) + CHOOSE(CONTROL!$C$32, 0.0021, 0)</f>
        <v>91.312100000000001</v>
      </c>
    </row>
    <row r="34" spans="1:5" ht="15">
      <c r="A34" s="13">
        <v>42156</v>
      </c>
      <c r="B34" s="4">
        <f>15.1875 * CHOOSE(CONTROL!$C$13, $C$13, 100%, $E$13) + CHOOSE(CONTROL!$C$32, 0.0272, 0)</f>
        <v>15.214700000000001</v>
      </c>
      <c r="C34" s="4">
        <f>14.8242 * CHOOSE(CONTROL!$C$13, $C$13, 100%, $E$13) + CHOOSE(CONTROL!$C$32, 0.0272, 0)</f>
        <v>14.8514</v>
      </c>
      <c r="D34" s="4">
        <f>21.9282 * CHOOSE(CONTROL!$C$13, $C$13, 100%, $E$13) + CHOOSE(CONTROL!$C$32, 0.0021, 0)</f>
        <v>21.930299999999999</v>
      </c>
      <c r="E34" s="4">
        <f>91.19 * CHOOSE(CONTROL!$C$13, $C$13, 100%, $E$13) + CHOOSE(CONTROL!$C$32, 0.0021, 0)</f>
        <v>91.192099999999996</v>
      </c>
    </row>
    <row r="35" spans="1:5" ht="15">
      <c r="A35" s="13">
        <v>42186</v>
      </c>
      <c r="B35" s="4">
        <f>15.1875 * CHOOSE(CONTROL!$C$13, $C$13, 100%, $E$13) + CHOOSE(CONTROL!$C$32, 0.0272, 0)</f>
        <v>15.214700000000001</v>
      </c>
      <c r="C35" s="4">
        <f>14.8242 * CHOOSE(CONTROL!$C$13, $C$13, 100%, $E$13) + CHOOSE(CONTROL!$C$32, 0.0272, 0)</f>
        <v>14.8514</v>
      </c>
      <c r="D35" s="4">
        <f>21.9455 * CHOOSE(CONTROL!$C$13, $C$13, 100%, $E$13) + CHOOSE(CONTROL!$C$32, 0.0021, 0)</f>
        <v>21.947599999999998</v>
      </c>
      <c r="E35" s="4">
        <f>90.98 * CHOOSE(CONTROL!$C$13, $C$13, 100%, $E$13) + CHOOSE(CONTROL!$C$32, 0.0021, 0)</f>
        <v>90.982100000000003</v>
      </c>
    </row>
    <row r="36" spans="1:5" ht="15">
      <c r="A36" s="13">
        <v>42217</v>
      </c>
      <c r="B36" s="4">
        <f>15.1875 * CHOOSE(CONTROL!$C$13, $C$13, 100%, $E$13) + CHOOSE(CONTROL!$C$32, 0.0272, 0)</f>
        <v>15.214700000000001</v>
      </c>
      <c r="C36" s="4">
        <f>14.8242 * CHOOSE(CONTROL!$C$13, $C$13, 100%, $E$13) + CHOOSE(CONTROL!$C$32, 0.0272, 0)</f>
        <v>14.8514</v>
      </c>
      <c r="D36" s="4">
        <f>21.9678 * CHOOSE(CONTROL!$C$13, $C$13, 100%, $E$13) + CHOOSE(CONTROL!$C$32, 0.0021, 0)</f>
        <v>21.969899999999999</v>
      </c>
      <c r="E36" s="4">
        <f>90.76 * CHOOSE(CONTROL!$C$13, $C$13, 100%, $E$13) + CHOOSE(CONTROL!$C$32, 0.0021, 0)</f>
        <v>90.762100000000004</v>
      </c>
    </row>
    <row r="37" spans="1:5" ht="15">
      <c r="A37" s="13">
        <v>42248</v>
      </c>
      <c r="B37" s="4">
        <f>15.1875 * CHOOSE(CONTROL!$C$13, $C$13, 100%, $E$13) + CHOOSE(CONTROL!$C$32, 0.0272, 0)</f>
        <v>15.214700000000001</v>
      </c>
      <c r="C37" s="4">
        <f>14.8242 * CHOOSE(CONTROL!$C$13, $C$13, 100%, $E$13) + CHOOSE(CONTROL!$C$32, 0.0272, 0)</f>
        <v>14.8514</v>
      </c>
      <c r="D37" s="4">
        <f>21.9967 * CHOOSE(CONTROL!$C$13, $C$13, 100%, $E$13) + CHOOSE(CONTROL!$C$32, 0.0021, 0)</f>
        <v>21.998799999999999</v>
      </c>
      <c r="E37" s="4">
        <f>90.56 * CHOOSE(CONTROL!$C$13, $C$13, 100%, $E$13) + CHOOSE(CONTROL!$C$32, 0.0021, 0)</f>
        <v>90.562100000000001</v>
      </c>
    </row>
    <row r="38" spans="1:5" ht="15">
      <c r="A38" s="13">
        <v>42278</v>
      </c>
      <c r="B38" s="4">
        <f>15.1797 * CHOOSE(CONTROL!$C$13, $C$13, 100%, $E$13) + CHOOSE(CONTROL!$C$32, 0.0272, 0)</f>
        <v>15.206900000000001</v>
      </c>
      <c r="C38" s="4">
        <f>14.8164 * CHOOSE(CONTROL!$C$13, $C$13, 100%, $E$13) + CHOOSE(CONTROL!$C$32, 0.0272, 0)</f>
        <v>14.8436</v>
      </c>
      <c r="D38" s="4">
        <f>22.0111 * CHOOSE(CONTROL!$C$13, $C$13, 100%, $E$13) + CHOOSE(CONTROL!$C$32, 0.0021, 0)</f>
        <v>22.013199999999998</v>
      </c>
      <c r="E38" s="4">
        <f>90.39 * CHOOSE(CONTROL!$C$13, $C$13, 100%, $E$13) + CHOOSE(CONTROL!$C$32, 0.0021, 0)</f>
        <v>90.392099999999999</v>
      </c>
    </row>
    <row r="39" spans="1:5" ht="15">
      <c r="A39" s="13">
        <v>42309</v>
      </c>
      <c r="B39" s="4">
        <f>15.1719 * CHOOSE(CONTROL!$C$13, $C$13, 100%, $E$13) + CHOOSE(CONTROL!$C$32, 0.0272, 0)</f>
        <v>15.199100000000001</v>
      </c>
      <c r="C39" s="4">
        <f>14.8086 * CHOOSE(CONTROL!$C$13, $C$13, 100%, $E$13) + CHOOSE(CONTROL!$C$32, 0.0272, 0)</f>
        <v>14.835800000000001</v>
      </c>
      <c r="D39" s="4">
        <f>22.0125 * CHOOSE(CONTROL!$C$13, $C$13, 100%, $E$13) + CHOOSE(CONTROL!$C$32, 0.0021, 0)</f>
        <v>22.014599999999998</v>
      </c>
      <c r="E39" s="4">
        <f>90.24 * CHOOSE(CONTROL!$C$13, $C$13, 100%, $E$13) + CHOOSE(CONTROL!$C$32, 0.0021, 0)</f>
        <v>90.242099999999994</v>
      </c>
    </row>
    <row r="40" spans="1:5" ht="15">
      <c r="A40" s="13">
        <v>42339</v>
      </c>
      <c r="B40" s="4">
        <f>15.1641 * CHOOSE(CONTROL!$C$13, $C$13, 100%, $E$13) + CHOOSE(CONTROL!$C$32, 0.0272, 0)</f>
        <v>15.1913</v>
      </c>
      <c r="C40" s="4">
        <f>14.8008 * CHOOSE(CONTROL!$C$13, $C$13, 100%, $E$13) + CHOOSE(CONTROL!$C$32, 0.0272, 0)</f>
        <v>14.828000000000001</v>
      </c>
      <c r="D40" s="4">
        <f>22.0031 * CHOOSE(CONTROL!$C$13, $C$13, 100%, $E$13) + CHOOSE(CONTROL!$C$32, 0.0021, 0)</f>
        <v>22.005199999999999</v>
      </c>
      <c r="E40" s="4">
        <f>90.1 * CHOOSE(CONTROL!$C$13, $C$13, 100%, $E$13) + CHOOSE(CONTROL!$C$32, 0.0021, 0)</f>
        <v>90.102099999999993</v>
      </c>
    </row>
    <row r="41" spans="1:5" ht="15">
      <c r="A41" s="13">
        <v>42370</v>
      </c>
      <c r="B41" s="4">
        <f>15.1641 * CHOOSE(CONTROL!$C$13, $C$13, 100%, $E$13) + CHOOSE(CONTROL!$C$32, 0.0272, 0)</f>
        <v>15.1913</v>
      </c>
      <c r="C41" s="4">
        <f>14.8008 * CHOOSE(CONTROL!$C$13, $C$13, 100%, $E$13) + CHOOSE(CONTROL!$C$32, 0.0272, 0)</f>
        <v>14.828000000000001</v>
      </c>
      <c r="D41" s="4">
        <f>21.9909 * CHOOSE(CONTROL!$C$13, $C$13, 100%, $E$13) + CHOOSE(CONTROL!$C$32, 0.0021, 0)</f>
        <v>21.992999999999999</v>
      </c>
      <c r="E41" s="4">
        <f>89.83 * CHOOSE(CONTROL!$C$13, $C$13, 100%, $E$13) + CHOOSE(CONTROL!$C$32, 0.0021, 0)</f>
        <v>89.832099999999997</v>
      </c>
    </row>
    <row r="42" spans="1:5" ht="15">
      <c r="A42" s="13">
        <v>42401</v>
      </c>
      <c r="B42" s="4">
        <f>15.1484 * CHOOSE(CONTROL!$C$13, $C$13, 100%, $E$13) + CHOOSE(CONTROL!$C$32, 0.0272, 0)</f>
        <v>15.175600000000001</v>
      </c>
      <c r="C42" s="4">
        <f>14.7852 * CHOOSE(CONTROL!$C$13, $C$13, 100%, $E$13) + CHOOSE(CONTROL!$C$32, 0.0272, 0)</f>
        <v>14.8124</v>
      </c>
      <c r="D42" s="4">
        <f>21.9477 * CHOOSE(CONTROL!$C$13, $C$13, 100%, $E$13) + CHOOSE(CONTROL!$C$32, 0.0021, 0)</f>
        <v>21.9498</v>
      </c>
      <c r="E42" s="4">
        <f>89.56 * CHOOSE(CONTROL!$C$13, $C$13, 100%, $E$13) + CHOOSE(CONTROL!$C$32, 0.0021, 0)</f>
        <v>89.562100000000001</v>
      </c>
    </row>
    <row r="43" spans="1:5" ht="15">
      <c r="A43" s="13">
        <v>42430</v>
      </c>
      <c r="B43" s="4">
        <f>15.1328 * CHOOSE(CONTROL!$C$13, $C$13, 100%, $E$13) + CHOOSE(CONTROL!$C$32, 0.0272, 0)</f>
        <v>15.16</v>
      </c>
      <c r="C43" s="4">
        <f>14.7695 * CHOOSE(CONTROL!$C$13, $C$13, 100%, $E$13) + CHOOSE(CONTROL!$C$32, 0.0272, 0)</f>
        <v>14.796700000000001</v>
      </c>
      <c r="D43" s="4">
        <f>21.8432 * CHOOSE(CONTROL!$C$13, $C$13, 100%, $E$13) + CHOOSE(CONTROL!$C$32, 0.0021, 0)</f>
        <v>21.845299999999998</v>
      </c>
      <c r="E43" s="4">
        <f>89.3 * CHOOSE(CONTROL!$C$13, $C$13, 100%, $E$13) + CHOOSE(CONTROL!$C$32, 0.0021, 0)</f>
        <v>89.302099999999996</v>
      </c>
    </row>
    <row r="44" spans="1:5" ht="15">
      <c r="A44" s="13">
        <v>42461</v>
      </c>
      <c r="B44" s="4">
        <f>15.1172 * CHOOSE(CONTROL!$C$13, $C$13, 100%, $E$13) + CHOOSE(CONTROL!$C$32, 0.0272, 0)</f>
        <v>15.144400000000001</v>
      </c>
      <c r="C44" s="4">
        <f>14.7539 * CHOOSE(CONTROL!$C$13, $C$13, 100%, $E$13) + CHOOSE(CONTROL!$C$32, 0.0272, 0)</f>
        <v>14.7811</v>
      </c>
      <c r="D44" s="4">
        <f>21.7099 * CHOOSE(CONTROL!$C$13, $C$13, 100%, $E$13) + CHOOSE(CONTROL!$C$32, 0.0021, 0)</f>
        <v>21.712</v>
      </c>
      <c r="E44" s="4">
        <f>89.06 * CHOOSE(CONTROL!$C$13, $C$13, 100%, $E$13) + CHOOSE(CONTROL!$C$32, 0.0021, 0)</f>
        <v>89.062100000000001</v>
      </c>
    </row>
    <row r="45" spans="1:5" ht="15">
      <c r="A45" s="13">
        <v>42491</v>
      </c>
      <c r="B45" s="4">
        <f>15.1016 * CHOOSE(CONTROL!$C$13, $C$13, 100%, $E$13) + CHOOSE(CONTROL!$C$32, 0.0272, 0)</f>
        <v>15.1288</v>
      </c>
      <c r="C45" s="4">
        <f>14.7383 * CHOOSE(CONTROL!$C$13, $C$13, 100%, $E$13) + CHOOSE(CONTROL!$C$32, 0.0272, 0)</f>
        <v>14.765500000000001</v>
      </c>
      <c r="D45" s="4">
        <f>21.5947 * CHOOSE(CONTROL!$C$13, $C$13, 100%, $E$13) + CHOOSE(CONTROL!$C$32, 0.0021, 0)</f>
        <v>21.596799999999998</v>
      </c>
      <c r="E45" s="4">
        <f>88.87 * CHOOSE(CONTROL!$C$13, $C$13, 100%, $E$13) + CHOOSE(CONTROL!$C$32, 0.0021, 0)</f>
        <v>88.872100000000003</v>
      </c>
    </row>
    <row r="46" spans="1:5" ht="15">
      <c r="A46" s="13">
        <v>42522</v>
      </c>
      <c r="B46" s="4">
        <f>15.0859 * CHOOSE(CONTROL!$C$13, $C$13, 100%, $E$13) + CHOOSE(CONTROL!$C$32, 0.0272, 0)</f>
        <v>15.113100000000001</v>
      </c>
      <c r="C46" s="4">
        <f>14.7227 * CHOOSE(CONTROL!$C$13, $C$13, 100%, $E$13) + CHOOSE(CONTROL!$C$32, 0.0272, 0)</f>
        <v>14.7499</v>
      </c>
      <c r="D46" s="4">
        <f>21.5118 * CHOOSE(CONTROL!$C$13, $C$13, 100%, $E$13) + CHOOSE(CONTROL!$C$32, 0.0021, 0)</f>
        <v>21.5139</v>
      </c>
      <c r="E46" s="4">
        <f>88.74 * CHOOSE(CONTROL!$C$13, $C$13, 100%, $E$13) + CHOOSE(CONTROL!$C$32, 0.0021, 0)</f>
        <v>88.742099999999994</v>
      </c>
    </row>
    <row r="47" spans="1:5" ht="15">
      <c r="A47" s="13">
        <v>42552</v>
      </c>
      <c r="B47" s="4">
        <f>15.0703 * CHOOSE(CONTROL!$C$13, $C$13, 100%, $E$13) + CHOOSE(CONTROL!$C$32, 0.0272, 0)</f>
        <v>15.0975</v>
      </c>
      <c r="C47" s="4">
        <f>14.707 * CHOOSE(CONTROL!$C$13, $C$13, 100%, $E$13) + CHOOSE(CONTROL!$C$32, 0.0272, 0)</f>
        <v>14.734200000000001</v>
      </c>
      <c r="D47" s="4">
        <f>21.4974 * CHOOSE(CONTROL!$C$13, $C$13, 100%, $E$13) + CHOOSE(CONTROL!$C$32, 0.0021, 0)</f>
        <v>21.499499999999998</v>
      </c>
      <c r="E47" s="4">
        <f>88.49 * CHOOSE(CONTROL!$C$13, $C$13, 100%, $E$13) + CHOOSE(CONTROL!$C$32, 0.0021, 0)</f>
        <v>88.492099999999994</v>
      </c>
    </row>
    <row r="48" spans="1:5" ht="15">
      <c r="A48" s="13">
        <v>42583</v>
      </c>
      <c r="B48" s="4">
        <f>15.0547 * CHOOSE(CONTROL!$C$13, $C$13, 100%, $E$13) + CHOOSE(CONTROL!$C$32, 0.0272, 0)</f>
        <v>15.081900000000001</v>
      </c>
      <c r="C48" s="4">
        <f>14.6914 * CHOOSE(CONTROL!$C$13, $C$13, 100%, $E$13) + CHOOSE(CONTROL!$C$32, 0.0272, 0)</f>
        <v>14.7186</v>
      </c>
      <c r="D48" s="4">
        <f>21.4902 * CHOOSE(CONTROL!$C$13, $C$13, 100%, $E$13) + CHOOSE(CONTROL!$C$32, 0.0021, 0)</f>
        <v>21.4923</v>
      </c>
      <c r="E48" s="4">
        <f>88.32 * CHOOSE(CONTROL!$C$13, $C$13, 100%, $E$13) + CHOOSE(CONTROL!$C$32, 0.0021, 0)</f>
        <v>88.322099999999992</v>
      </c>
    </row>
    <row r="49" spans="1:5" ht="15">
      <c r="A49" s="13">
        <v>42614</v>
      </c>
      <c r="B49" s="4">
        <f>15.0391 * CHOOSE(CONTROL!$C$13, $C$13, 100%, $E$13) + CHOOSE(CONTROL!$C$32, 0.0272, 0)</f>
        <v>15.0663</v>
      </c>
      <c r="C49" s="4">
        <f>14.6758 * CHOOSE(CONTROL!$C$13, $C$13, 100%, $E$13) + CHOOSE(CONTROL!$C$32, 0.0272, 0)</f>
        <v>14.703000000000001</v>
      </c>
      <c r="D49" s="4">
        <f>21.4866 * CHOOSE(CONTROL!$C$13, $C$13, 100%, $E$13) + CHOOSE(CONTROL!$C$32, 0.0021, 0)</f>
        <v>21.488699999999998</v>
      </c>
      <c r="E49" s="4">
        <f>88.22 * CHOOSE(CONTROL!$C$13, $C$13, 100%, $E$13) + CHOOSE(CONTROL!$C$32, 0.0021, 0)</f>
        <v>88.222099999999998</v>
      </c>
    </row>
    <row r="50" spans="1:5" ht="15">
      <c r="A50" s="13">
        <v>42644</v>
      </c>
      <c r="B50" s="4">
        <f>15.0234 * CHOOSE(CONTROL!$C$13, $C$13, 100%, $E$13) + CHOOSE(CONTROL!$C$32, 0.0272, 0)</f>
        <v>15.050600000000001</v>
      </c>
      <c r="C50" s="4">
        <f>14.6602 * CHOOSE(CONTROL!$C$13, $C$13, 100%, $E$13) + CHOOSE(CONTROL!$C$32, 0.0272, 0)</f>
        <v>14.6874</v>
      </c>
      <c r="D50" s="4">
        <f>21.483 * CHOOSE(CONTROL!$C$13, $C$13, 100%, $E$13) + CHOOSE(CONTROL!$C$32, 0.0021, 0)</f>
        <v>21.485099999999999</v>
      </c>
      <c r="E50" s="4">
        <f>88.15 * CHOOSE(CONTROL!$C$13, $C$13, 100%, $E$13) + CHOOSE(CONTROL!$C$32, 0.0021, 0)</f>
        <v>88.152100000000004</v>
      </c>
    </row>
    <row r="51" spans="1:5" ht="15">
      <c r="A51" s="13">
        <v>42675</v>
      </c>
      <c r="B51" s="4">
        <f>15.0078 * CHOOSE(CONTROL!$C$13, $C$13, 100%, $E$13) + CHOOSE(CONTROL!$C$32, 0.0272, 0)</f>
        <v>15.035</v>
      </c>
      <c r="C51" s="4">
        <f>14.6445 * CHOOSE(CONTROL!$C$13, $C$13, 100%, $E$13) + CHOOSE(CONTROL!$C$32, 0.0272, 0)</f>
        <v>14.671700000000001</v>
      </c>
      <c r="D51" s="4">
        <f>21.4794 * CHOOSE(CONTROL!$C$13, $C$13, 100%, $E$13) + CHOOSE(CONTROL!$C$32, 0.0021, 0)</f>
        <v>21.481499999999997</v>
      </c>
      <c r="E51" s="4">
        <f>88.11 * CHOOSE(CONTROL!$C$13, $C$13, 100%, $E$13) + CHOOSE(CONTROL!$C$32, 0.0021, 0)</f>
        <v>88.112099999999998</v>
      </c>
    </row>
    <row r="52" spans="1:5" ht="15">
      <c r="A52" s="13">
        <v>42705</v>
      </c>
      <c r="B52" s="4">
        <f>14.9922 * CHOOSE(CONTROL!$C$13, $C$13, 100%, $E$13) + CHOOSE(CONTROL!$C$32, 0.0272, 0)</f>
        <v>15.019400000000001</v>
      </c>
      <c r="C52" s="4">
        <f>14.6289 * CHOOSE(CONTROL!$C$13, $C$13, 100%, $E$13) + CHOOSE(CONTROL!$C$32, 0.0272, 0)</f>
        <v>14.6561</v>
      </c>
      <c r="D52" s="4">
        <f>21.4758 * CHOOSE(CONTROL!$C$13, $C$13, 100%, $E$13) + CHOOSE(CONTROL!$C$32, 0.0021, 0)</f>
        <v>21.477899999999998</v>
      </c>
      <c r="E52" s="4">
        <f>88.1 * CHOOSE(CONTROL!$C$13, $C$13, 100%, $E$13) + CHOOSE(CONTROL!$C$32, 0.0021, 0)</f>
        <v>88.102099999999993</v>
      </c>
    </row>
    <row r="53" spans="1:5" ht="15">
      <c r="A53" s="13">
        <v>42736</v>
      </c>
      <c r="B53" s="4">
        <f>13.9771 * CHOOSE(CONTROL!$C$13, $C$13, 100%, $E$13) + CHOOSE(CONTROL!$C$32, 0.0272, 0)</f>
        <v>14.004300000000001</v>
      </c>
      <c r="C53" s="4">
        <f>13.6138 * CHOOSE(CONTROL!$C$13, $C$13, 100%, $E$13) + CHOOSE(CONTROL!$C$32, 0.0272, 0)</f>
        <v>13.641</v>
      </c>
      <c r="D53" s="4">
        <f>20.4777 * CHOOSE(CONTROL!$C$13, $C$13, 100%, $E$13) + CHOOSE(CONTROL!$C$32, 0.0021, 0)</f>
        <v>20.479799999999997</v>
      </c>
      <c r="E53" s="4">
        <f>83.9702003781787 * CHOOSE(CONTROL!$C$13, $C$13, 100%, $E$13) + CHOOSE(CONTROL!$C$32, 0.0021, 0)</f>
        <v>83.972300378178701</v>
      </c>
    </row>
    <row r="54" spans="1:5" ht="15">
      <c r="A54" s="13">
        <v>42767</v>
      </c>
      <c r="B54" s="4">
        <f>14.2906 * CHOOSE(CONTROL!$C$13, $C$13, 100%, $E$13) + CHOOSE(CONTROL!$C$32, 0.0272, 0)</f>
        <v>14.3178</v>
      </c>
      <c r="C54" s="4">
        <f>13.9273 * CHOOSE(CONTROL!$C$13, $C$13, 100%, $E$13) + CHOOSE(CONTROL!$C$32, 0.0272, 0)</f>
        <v>13.954500000000001</v>
      </c>
      <c r="D54" s="4">
        <f>21.1351 * CHOOSE(CONTROL!$C$13, $C$13, 100%, $E$13) + CHOOSE(CONTROL!$C$32, 0.0021, 0)</f>
        <v>21.1372</v>
      </c>
      <c r="E54" s="4">
        <f>85.9639838541121 * CHOOSE(CONTROL!$C$13, $C$13, 100%, $E$13) + CHOOSE(CONTROL!$C$32, 0.0021, 0)</f>
        <v>85.9660838541121</v>
      </c>
    </row>
    <row r="55" spans="1:5" ht="15">
      <c r="A55" s="13">
        <v>42795</v>
      </c>
      <c r="B55" s="4">
        <f>15.1138 * CHOOSE(CONTROL!$C$13, $C$13, 100%, $E$13) + CHOOSE(CONTROL!$C$32, 0.0272, 0)</f>
        <v>15.141</v>
      </c>
      <c r="C55" s="4">
        <f>14.7506 * CHOOSE(CONTROL!$C$13, $C$13, 100%, $E$13) + CHOOSE(CONTROL!$C$32, 0.0272, 0)</f>
        <v>14.777800000000001</v>
      </c>
      <c r="D55" s="4">
        <f>22.1641 * CHOOSE(CONTROL!$C$13, $C$13, 100%, $E$13) + CHOOSE(CONTROL!$C$32, 0.0021, 0)</f>
        <v>22.1662</v>
      </c>
      <c r="E55" s="4">
        <f>91.1997652180019 * CHOOSE(CONTROL!$C$13, $C$13, 100%, $E$13) + CHOOSE(CONTROL!$C$32, 0.0021, 0)</f>
        <v>91.201865218001899</v>
      </c>
    </row>
    <row r="56" spans="1:5" ht="15">
      <c r="A56" s="13">
        <v>42826</v>
      </c>
      <c r="B56" s="4">
        <f>15.6988 * CHOOSE(CONTROL!$C$13, $C$13, 100%, $E$13) + CHOOSE(CONTROL!$C$32, 0.0272, 0)</f>
        <v>15.726000000000001</v>
      </c>
      <c r="C56" s="4">
        <f>15.3355 * CHOOSE(CONTROL!$C$13, $C$13, 100%, $E$13) + CHOOSE(CONTROL!$C$32, 0.0272, 0)</f>
        <v>15.3627</v>
      </c>
      <c r="D56" s="4">
        <f>22.7569 * CHOOSE(CONTROL!$C$13, $C$13, 100%, $E$13) + CHOOSE(CONTROL!$C$32, 0.0021, 0)</f>
        <v>22.759</v>
      </c>
      <c r="E56" s="4">
        <f>94.9198576530066 * CHOOSE(CONTROL!$C$13, $C$13, 100%, $E$13) + CHOOSE(CONTROL!$C$32, 0.0021, 0)</f>
        <v>94.921957653006601</v>
      </c>
    </row>
    <row r="57" spans="1:5" ht="15">
      <c r="A57" s="13">
        <v>42856</v>
      </c>
      <c r="B57" s="4">
        <f>16.0562 * CHOOSE(CONTROL!$C$13, $C$13, 100%, $E$13) + CHOOSE(CONTROL!$C$32, 0.0272, 0)</f>
        <v>16.083400000000001</v>
      </c>
      <c r="C57" s="4">
        <f>15.6929 * CHOOSE(CONTROL!$C$13, $C$13, 100%, $E$13) + CHOOSE(CONTROL!$C$32, 0.0272, 0)</f>
        <v>15.7201</v>
      </c>
      <c r="D57" s="4">
        <f>22.5227 * CHOOSE(CONTROL!$C$13, $C$13, 100%, $E$13) + CHOOSE(CONTROL!$C$32, 0.0021, 0)</f>
        <v>22.524799999999999</v>
      </c>
      <c r="E57" s="4">
        <f>97.1927449726221 * CHOOSE(CONTROL!$C$13, $C$13, 100%, $E$13) + CHOOSE(CONTROL!$C$32, 0.0021, 0)</f>
        <v>97.194844972622093</v>
      </c>
    </row>
    <row r="58" spans="1:5" ht="15">
      <c r="A58" s="13">
        <v>42887</v>
      </c>
      <c r="B58" s="4">
        <f>16.1046 * CHOOSE(CONTROL!$C$13, $C$13, 100%, $E$13) + CHOOSE(CONTROL!$C$32, 0.0272, 0)</f>
        <v>16.131800000000002</v>
      </c>
      <c r="C58" s="4">
        <f>15.7413 * CHOOSE(CONTROL!$C$13, $C$13, 100%, $E$13) + CHOOSE(CONTROL!$C$32, 0.0272, 0)</f>
        <v>15.768500000000001</v>
      </c>
      <c r="D58" s="4">
        <f>22.7134 * CHOOSE(CONTROL!$C$13, $C$13, 100%, $E$13) + CHOOSE(CONTROL!$C$32, 0.0021, 0)</f>
        <v>22.715499999999999</v>
      </c>
      <c r="E58" s="4">
        <f>97.5002760596423 * CHOOSE(CONTROL!$C$13, $C$13, 100%, $E$13) + CHOOSE(CONTROL!$C$32, 0.0021, 0)</f>
        <v>97.502376059642302</v>
      </c>
    </row>
    <row r="59" spans="1:5" ht="15">
      <c r="A59" s="13">
        <v>42917</v>
      </c>
      <c r="B59" s="4">
        <f>16.0997 * CHOOSE(CONTROL!$C$13, $C$13, 100%, $E$13) + CHOOSE(CONTROL!$C$32, 0.0272, 0)</f>
        <v>16.126899999999999</v>
      </c>
      <c r="C59" s="4">
        <f>15.7364 * CHOOSE(CONTROL!$C$13, $C$13, 100%, $E$13) + CHOOSE(CONTROL!$C$32, 0.0272, 0)</f>
        <v>15.7636</v>
      </c>
      <c r="D59" s="4">
        <f>23.0577 * CHOOSE(CONTROL!$C$13, $C$13, 100%, $E$13) + CHOOSE(CONTROL!$C$32, 0.0021, 0)</f>
        <v>23.059799999999999</v>
      </c>
      <c r="E59" s="4">
        <f>97.4692645214554 * CHOOSE(CONTROL!$C$13, $C$13, 100%, $E$13) + CHOOSE(CONTROL!$C$32, 0.0021, 0)</f>
        <v>97.471364521455399</v>
      </c>
    </row>
    <row r="60" spans="1:5" ht="15">
      <c r="A60" s="13">
        <v>42948</v>
      </c>
      <c r="B60" s="4">
        <f>16.4666 * CHOOSE(CONTROL!$C$13, $C$13, 100%, $E$13) + CHOOSE(CONTROL!$C$32, 0.0272, 0)</f>
        <v>16.4938</v>
      </c>
      <c r="C60" s="4">
        <f>16.1033 * CHOOSE(CONTROL!$C$13, $C$13, 100%, $E$13) + CHOOSE(CONTROL!$C$32, 0.0272, 0)</f>
        <v>16.130500000000001</v>
      </c>
      <c r="D60" s="4">
        <f>22.8303 * CHOOSE(CONTROL!$C$13, $C$13, 100%, $E$13) + CHOOSE(CONTROL!$C$32, 0.0021, 0)</f>
        <v>22.8324</v>
      </c>
      <c r="E60" s="4">
        <f>99.8028827700203 * CHOOSE(CONTROL!$C$13, $C$13, 100%, $E$13) + CHOOSE(CONTROL!$C$32, 0.0021, 0)</f>
        <v>99.804982770020302</v>
      </c>
    </row>
    <row r="61" spans="1:5" ht="15">
      <c r="A61" s="13">
        <v>42979</v>
      </c>
      <c r="B61" s="4">
        <f>15.8412 * CHOOSE(CONTROL!$C$13, $C$13, 100%, $E$13) + CHOOSE(CONTROL!$C$32, 0.0272, 0)</f>
        <v>15.868400000000001</v>
      </c>
      <c r="C61" s="4">
        <f>15.4779 * CHOOSE(CONTROL!$C$13, $C$13, 100%, $E$13) + CHOOSE(CONTROL!$C$32, 0.0272, 0)</f>
        <v>15.505100000000001</v>
      </c>
      <c r="D61" s="4">
        <f>22.7229 * CHOOSE(CONTROL!$C$13, $C$13, 100%, $E$13) + CHOOSE(CONTROL!$C$32, 0.0021, 0)</f>
        <v>22.724999999999998</v>
      </c>
      <c r="E61" s="4">
        <f>95.8256529975493 * CHOOSE(CONTROL!$C$13, $C$13, 100%, $E$13) + CHOOSE(CONTROL!$C$32, 0.0021, 0)</f>
        <v>95.827752997549297</v>
      </c>
    </row>
    <row r="62" spans="1:5" ht="15">
      <c r="A62" s="13">
        <v>43009</v>
      </c>
      <c r="B62" s="4">
        <f>15.3406 * CHOOSE(CONTROL!$C$13, $C$13, 100%, $E$13) + CHOOSE(CONTROL!$C$32, 0.0272, 0)</f>
        <v>15.367800000000001</v>
      </c>
      <c r="C62" s="4">
        <f>14.9773 * CHOOSE(CONTROL!$C$13, $C$13, 100%, $E$13) + CHOOSE(CONTROL!$C$32, 0.0272, 0)</f>
        <v>15.0045</v>
      </c>
      <c r="D62" s="4">
        <f>22.4354 * CHOOSE(CONTROL!$C$13, $C$13, 100%, $E$13) + CHOOSE(CONTROL!$C$32, 0.0021, 0)</f>
        <v>22.4375</v>
      </c>
      <c r="E62" s="4">
        <f>92.6418017436932 * CHOOSE(CONTROL!$C$13, $C$13, 100%, $E$13) + CHOOSE(CONTROL!$C$32, 0.0021, 0)</f>
        <v>92.643901743693192</v>
      </c>
    </row>
    <row r="63" spans="1:5" ht="15">
      <c r="A63" s="13">
        <v>43040</v>
      </c>
      <c r="B63" s="4">
        <f>15.0181 * CHOOSE(CONTROL!$C$13, $C$13, 100%, $E$13) + CHOOSE(CONTROL!$C$32, 0.0272, 0)</f>
        <v>15.045300000000001</v>
      </c>
      <c r="C63" s="4">
        <f>14.6549 * CHOOSE(CONTROL!$C$13, $C$13, 100%, $E$13) + CHOOSE(CONTROL!$C$32, 0.0272, 0)</f>
        <v>14.6821</v>
      </c>
      <c r="D63" s="4">
        <f>22.3365 * CHOOSE(CONTROL!$C$13, $C$13, 100%, $E$13) + CHOOSE(CONTROL!$C$32, 0.0021, 0)</f>
        <v>22.3386</v>
      </c>
      <c r="E63" s="4">
        <f>90.5911637810839 * CHOOSE(CONTROL!$C$13, $C$13, 100%, $E$13) + CHOOSE(CONTROL!$C$32, 0.0021, 0)</f>
        <v>90.593263781083905</v>
      </c>
    </row>
    <row r="64" spans="1:5" ht="15">
      <c r="A64" s="13">
        <v>43070</v>
      </c>
      <c r="B64" s="4">
        <f>14.7951 * CHOOSE(CONTROL!$C$13, $C$13, 100%, $E$13) + CHOOSE(CONTROL!$C$32, 0.0272, 0)</f>
        <v>14.8223</v>
      </c>
      <c r="C64" s="4">
        <f>14.4318 * CHOOSE(CONTROL!$C$13, $C$13, 100%, $E$13) + CHOOSE(CONTROL!$C$32, 0.0272, 0)</f>
        <v>14.459000000000001</v>
      </c>
      <c r="D64" s="4">
        <f>21.6086 * CHOOSE(CONTROL!$C$13, $C$13, 100%, $E$13) + CHOOSE(CONTROL!$C$32, 0.0021, 0)</f>
        <v>21.610699999999998</v>
      </c>
      <c r="E64" s="4">
        <f>89.1723859090328 * CHOOSE(CONTROL!$C$13, $C$13, 100%, $E$13) + CHOOSE(CONTROL!$C$32, 0.0021, 0)</f>
        <v>89.174485909032796</v>
      </c>
    </row>
    <row r="65" spans="1:5" ht="15">
      <c r="A65" s="13">
        <v>43101</v>
      </c>
      <c r="B65" s="4">
        <f>14.1629 * CHOOSE(CONTROL!$C$13, $C$13, 100%, $E$13) + CHOOSE(CONTROL!$C$32, 0.0272, 0)</f>
        <v>14.190100000000001</v>
      </c>
      <c r="C65" s="4">
        <f>13.7997 * CHOOSE(CONTROL!$C$13, $C$13, 100%, $E$13) + CHOOSE(CONTROL!$C$32, 0.0272, 0)</f>
        <v>13.8269</v>
      </c>
      <c r="D65" s="4">
        <f>21.0521 * CHOOSE(CONTROL!$C$13, $C$13, 100%, $E$13) + CHOOSE(CONTROL!$C$32, 0.0021, 0)</f>
        <v>21.054199999999998</v>
      </c>
      <c r="E65" s="4">
        <f>86.3785404005374 * CHOOSE(CONTROL!$C$13, $C$13, 100%, $E$13) + CHOOSE(CONTROL!$C$32, 0.0021, 0)</f>
        <v>86.380640400537402</v>
      </c>
    </row>
    <row r="66" spans="1:5" ht="15">
      <c r="A66" s="13">
        <v>43132</v>
      </c>
      <c r="B66" s="4">
        <f>14.4809 * CHOOSE(CONTROL!$C$13, $C$13, 100%, $E$13) + CHOOSE(CONTROL!$C$32, 0.0272, 0)</f>
        <v>14.508100000000001</v>
      </c>
      <c r="C66" s="4">
        <f>14.1176 * CHOOSE(CONTROL!$C$13, $C$13, 100%, $E$13) + CHOOSE(CONTROL!$C$32, 0.0272, 0)</f>
        <v>14.1448</v>
      </c>
      <c r="D66" s="4">
        <f>21.7297 * CHOOSE(CONTROL!$C$13, $C$13, 100%, $E$13) + CHOOSE(CONTROL!$C$32, 0.0021, 0)</f>
        <v>21.7318</v>
      </c>
      <c r="E66" s="4">
        <f>88.4295073596515 * CHOOSE(CONTROL!$C$13, $C$13, 100%, $E$13) + CHOOSE(CONTROL!$C$32, 0.0021, 0)</f>
        <v>88.431607359651494</v>
      </c>
    </row>
    <row r="67" spans="1:5" ht="15">
      <c r="A67" s="13">
        <v>43160</v>
      </c>
      <c r="B67" s="4">
        <f>15.3157 * CHOOSE(CONTROL!$C$13, $C$13, 100%, $E$13) + CHOOSE(CONTROL!$C$32, 0.0272, 0)</f>
        <v>15.3429</v>
      </c>
      <c r="C67" s="4">
        <f>14.9525 * CHOOSE(CONTROL!$C$13, $C$13, 100%, $E$13) + CHOOSE(CONTROL!$C$32, 0.0272, 0)</f>
        <v>14.979700000000001</v>
      </c>
      <c r="D67" s="4">
        <f>22.7905 * CHOOSE(CONTROL!$C$13, $C$13, 100%, $E$13) + CHOOSE(CONTROL!$C$32, 0.0021, 0)</f>
        <v>22.7926</v>
      </c>
      <c r="E67" s="4">
        <f>93.8154555892888 * CHOOSE(CONTROL!$C$13, $C$13, 100%, $E$13) + CHOOSE(CONTROL!$C$32, 0.0021, 0)</f>
        <v>93.817555589288801</v>
      </c>
    </row>
    <row r="68" spans="1:5" ht="15">
      <c r="A68" s="13">
        <v>43191</v>
      </c>
      <c r="B68" s="4">
        <f>15.9089 * CHOOSE(CONTROL!$C$13, $C$13, 100%, $E$13) + CHOOSE(CONTROL!$C$32, 0.0272, 0)</f>
        <v>15.9361</v>
      </c>
      <c r="C68" s="4">
        <f>15.5456 * CHOOSE(CONTROL!$C$13, $C$13, 100%, $E$13) + CHOOSE(CONTROL!$C$32, 0.0272, 0)</f>
        <v>15.572800000000001</v>
      </c>
      <c r="D68" s="4">
        <f>23.4016 * CHOOSE(CONTROL!$C$13, $C$13, 100%, $E$13) + CHOOSE(CONTROL!$C$32, 0.0021, 0)</f>
        <v>23.403699999999997</v>
      </c>
      <c r="E68" s="4">
        <f>97.6422435836436 * CHOOSE(CONTROL!$C$13, $C$13, 100%, $E$13) + CHOOSE(CONTROL!$C$32, 0.0021, 0)</f>
        <v>97.644343583643604</v>
      </c>
    </row>
    <row r="69" spans="1:5" ht="15">
      <c r="A69" s="13">
        <v>43221</v>
      </c>
      <c r="B69" s="4">
        <f>16.2714 * CHOOSE(CONTROL!$C$13, $C$13, 100%, $E$13) + CHOOSE(CONTROL!$C$32, 0.0272, 0)</f>
        <v>16.2986</v>
      </c>
      <c r="C69" s="4">
        <f>15.9081 * CHOOSE(CONTROL!$C$13, $C$13, 100%, $E$13) + CHOOSE(CONTROL!$C$32, 0.0272, 0)</f>
        <v>15.9353</v>
      </c>
      <c r="D69" s="4">
        <f>23.1601 * CHOOSE(CONTROL!$C$13, $C$13, 100%, $E$13) + CHOOSE(CONTROL!$C$32, 0.0021, 0)</f>
        <v>23.162199999999999</v>
      </c>
      <c r="E69" s="4">
        <f>99.9803193328864 * CHOOSE(CONTROL!$C$13, $C$13, 100%, $E$13) + CHOOSE(CONTROL!$C$32, 0.0021, 0)</f>
        <v>99.982419332886394</v>
      </c>
    </row>
    <row r="70" spans="1:5" ht="15">
      <c r="A70" s="13">
        <v>43252</v>
      </c>
      <c r="B70" s="4">
        <f>16.3204 * CHOOSE(CONTROL!$C$13, $C$13, 100%, $E$13) + CHOOSE(CONTROL!$C$32, 0.0272, 0)</f>
        <v>16.3476</v>
      </c>
      <c r="C70" s="4">
        <f>15.9571 * CHOOSE(CONTROL!$C$13, $C$13, 100%, $E$13) + CHOOSE(CONTROL!$C$32, 0.0272, 0)</f>
        <v>15.984300000000001</v>
      </c>
      <c r="D70" s="4">
        <f>23.3568 * CHOOSE(CONTROL!$C$13, $C$13, 100%, $E$13) + CHOOSE(CONTROL!$C$32, 0.0021, 0)</f>
        <v>23.358899999999998</v>
      </c>
      <c r="E70" s="4">
        <f>100.296670684973 * CHOOSE(CONTROL!$C$13, $C$13, 100%, $E$13) + CHOOSE(CONTROL!$C$32, 0.0021, 0)</f>
        <v>100.29877068497299</v>
      </c>
    </row>
    <row r="71" spans="1:5" ht="15">
      <c r="A71" s="13">
        <v>43282</v>
      </c>
      <c r="B71" s="4">
        <f>16.3154 * CHOOSE(CONTROL!$C$13, $C$13, 100%, $E$13) + CHOOSE(CONTROL!$C$32, 0.0272, 0)</f>
        <v>16.342600000000001</v>
      </c>
      <c r="C71" s="4">
        <f>15.9522 * CHOOSE(CONTROL!$C$13, $C$13, 100%, $E$13) + CHOOSE(CONTROL!$C$32, 0.0272, 0)</f>
        <v>15.9794</v>
      </c>
      <c r="D71" s="4">
        <f>23.7116 * CHOOSE(CONTROL!$C$13, $C$13, 100%, $E$13) + CHOOSE(CONTROL!$C$32, 0.0021, 0)</f>
        <v>23.713699999999999</v>
      </c>
      <c r="E71" s="4">
        <f>100.264769708292 * CHOOSE(CONTROL!$C$13, $C$13, 100%, $E$13) + CHOOSE(CONTROL!$C$32, 0.0021, 0)</f>
        <v>100.26686970829199</v>
      </c>
    </row>
    <row r="72" spans="1:5" ht="15">
      <c r="A72" s="13">
        <v>43313</v>
      </c>
      <c r="B72" s="4">
        <f>16.6876 * CHOOSE(CONTROL!$C$13, $C$13, 100%, $E$13) + CHOOSE(CONTROL!$C$32, 0.0272, 0)</f>
        <v>16.7148</v>
      </c>
      <c r="C72" s="4">
        <f>16.3243 * CHOOSE(CONTROL!$C$13, $C$13, 100%, $E$13) + CHOOSE(CONTROL!$C$32, 0.0272, 0)</f>
        <v>16.351500000000001</v>
      </c>
      <c r="D72" s="4">
        <f>23.4773 * CHOOSE(CONTROL!$C$13, $C$13, 100%, $E$13) + CHOOSE(CONTROL!$C$32, 0.0021, 0)</f>
        <v>23.479399999999998</v>
      </c>
      <c r="E72" s="4">
        <f>102.665318203535 * CHOOSE(CONTROL!$C$13, $C$13, 100%, $E$13) + CHOOSE(CONTROL!$C$32, 0.0021, 0)</f>
        <v>102.66741820353499</v>
      </c>
    </row>
    <row r="73" spans="1:5" ht="15">
      <c r="A73" s="13">
        <v>43344</v>
      </c>
      <c r="B73" s="4">
        <f>16.0534 * CHOOSE(CONTROL!$C$13, $C$13, 100%, $E$13) + CHOOSE(CONTROL!$C$32, 0.0272, 0)</f>
        <v>16.0806</v>
      </c>
      <c r="C73" s="4">
        <f>15.6901 * CHOOSE(CONTROL!$C$13, $C$13, 100%, $E$13) + CHOOSE(CONTROL!$C$32, 0.0272, 0)</f>
        <v>15.7173</v>
      </c>
      <c r="D73" s="4">
        <f>23.3666 * CHOOSE(CONTROL!$C$13, $C$13, 100%, $E$13) + CHOOSE(CONTROL!$C$32, 0.0021, 0)</f>
        <v>23.368699999999997</v>
      </c>
      <c r="E73" s="4">
        <f>98.5740179442003 * CHOOSE(CONTROL!$C$13, $C$13, 100%, $E$13) + CHOOSE(CONTROL!$C$32, 0.0021, 0)</f>
        <v>98.576117944200305</v>
      </c>
    </row>
    <row r="74" spans="1:5" ht="15">
      <c r="A74" s="13">
        <v>43374</v>
      </c>
      <c r="B74" s="4">
        <f>15.5457 * CHOOSE(CONTROL!$C$13, $C$13, 100%, $E$13) + CHOOSE(CONTROL!$C$32, 0.0272, 0)</f>
        <v>15.572900000000001</v>
      </c>
      <c r="C74" s="4">
        <f>15.1824 * CHOOSE(CONTROL!$C$13, $C$13, 100%, $E$13) + CHOOSE(CONTROL!$C$32, 0.0272, 0)</f>
        <v>15.2096</v>
      </c>
      <c r="D74" s="4">
        <f>23.0701 * CHOOSE(CONTROL!$C$13, $C$13, 100%, $E$13) + CHOOSE(CONTROL!$C$32, 0.0021, 0)</f>
        <v>23.072199999999999</v>
      </c>
      <c r="E74" s="4">
        <f>95.2988510049539 * CHOOSE(CONTROL!$C$13, $C$13, 100%, $E$13) + CHOOSE(CONTROL!$C$32, 0.0021, 0)</f>
        <v>95.300951004953902</v>
      </c>
    </row>
    <row r="75" spans="1:5" ht="15">
      <c r="A75" s="13">
        <v>43405</v>
      </c>
      <c r="B75" s="4">
        <f>15.2187 * CHOOSE(CONTROL!$C$13, $C$13, 100%, $E$13) + CHOOSE(CONTROL!$C$32, 0.0272, 0)</f>
        <v>15.245900000000001</v>
      </c>
      <c r="C75" s="4">
        <f>14.8554 * CHOOSE(CONTROL!$C$13, $C$13, 100%, $E$13) + CHOOSE(CONTROL!$C$32, 0.0272, 0)</f>
        <v>14.8826</v>
      </c>
      <c r="D75" s="4">
        <f>22.9682 * CHOOSE(CONTROL!$C$13, $C$13, 100%, $E$13) + CHOOSE(CONTROL!$C$32, 0.0021, 0)</f>
        <v>22.970299999999998</v>
      </c>
      <c r="E75" s="4">
        <f>93.1893989219247 * CHOOSE(CONTROL!$C$13, $C$13, 100%, $E$13) + CHOOSE(CONTROL!$C$32, 0.0021, 0)</f>
        <v>93.191498921924705</v>
      </c>
    </row>
    <row r="76" spans="1:5" ht="15">
      <c r="A76" s="13">
        <v>43435</v>
      </c>
      <c r="B76" s="4">
        <f>14.9925 * CHOOSE(CONTROL!$C$13, $C$13, 100%, $E$13) + CHOOSE(CONTROL!$C$32, 0.0272, 0)</f>
        <v>15.0197</v>
      </c>
      <c r="C76" s="4">
        <f>14.6292 * CHOOSE(CONTROL!$C$13, $C$13, 100%, $E$13) + CHOOSE(CONTROL!$C$32, 0.0272, 0)</f>
        <v>14.656400000000001</v>
      </c>
      <c r="D76" s="4">
        <f>22.2179 * CHOOSE(CONTROL!$C$13, $C$13, 100%, $E$13) + CHOOSE(CONTROL!$C$32, 0.0021, 0)</f>
        <v>22.22</v>
      </c>
      <c r="E76" s="4">
        <f>91.7299292387703 * CHOOSE(CONTROL!$C$13, $C$13, 100%, $E$13) + CHOOSE(CONTROL!$C$32, 0.0021, 0)</f>
        <v>91.732029238770295</v>
      </c>
    </row>
    <row r="77" spans="1:5" ht="15">
      <c r="A77" s="13">
        <v>43466</v>
      </c>
      <c r="B77" s="4">
        <f>15.3765 * CHOOSE(CONTROL!$C$13, $C$13, 100%, $E$13) + CHOOSE(CONTROL!$C$32, 0.0272, 0)</f>
        <v>15.403700000000001</v>
      </c>
      <c r="C77" s="4">
        <f>15.0133 * CHOOSE(CONTROL!$C$13, $C$13, 100%, $E$13) + CHOOSE(CONTROL!$C$32, 0.0272, 0)</f>
        <v>15.0405</v>
      </c>
      <c r="D77" s="4">
        <f>22.7344 * CHOOSE(CONTROL!$C$13, $C$13, 100%, $E$13) + CHOOSE(CONTROL!$C$32, 0.0021, 0)</f>
        <v>22.736499999999999</v>
      </c>
      <c r="E77" s="4">
        <f>97.7898369525729 * CHOOSE(CONTROL!$C$13, $C$13, 100%, $E$13) + CHOOSE(CONTROL!$C$32, 0.0021, 0)</f>
        <v>97.791936952572897</v>
      </c>
    </row>
    <row r="78" spans="1:5" ht="15">
      <c r="A78" s="13">
        <v>43497</v>
      </c>
      <c r="B78" s="4">
        <f>15.7233 * CHOOSE(CONTROL!$C$13, $C$13, 100%, $E$13) + CHOOSE(CONTROL!$C$32, 0.0272, 0)</f>
        <v>15.750500000000001</v>
      </c>
      <c r="C78" s="4">
        <f>15.36 * CHOOSE(CONTROL!$C$13, $C$13, 100%, $E$13) + CHOOSE(CONTROL!$C$32, 0.0272, 0)</f>
        <v>15.3872</v>
      </c>
      <c r="D78" s="4">
        <f>23.4714 * CHOOSE(CONTROL!$C$13, $C$13, 100%, $E$13) + CHOOSE(CONTROL!$C$32, 0.0021, 0)</f>
        <v>23.473499999999998</v>
      </c>
      <c r="E78" s="4">
        <f>100.111753062719 * CHOOSE(CONTROL!$C$13, $C$13, 100%, $E$13) + CHOOSE(CONTROL!$C$32, 0.0021, 0)</f>
        <v>100.113853062719</v>
      </c>
    </row>
    <row r="79" spans="1:5" ht="15">
      <c r="A79" s="13">
        <v>43525</v>
      </c>
      <c r="B79" s="4">
        <f>16.6338 * CHOOSE(CONTROL!$C$13, $C$13, 100%, $E$13) + CHOOSE(CONTROL!$C$32, 0.0272, 0)</f>
        <v>16.661000000000001</v>
      </c>
      <c r="C79" s="4">
        <f>16.2705 * CHOOSE(CONTROL!$C$13, $C$13, 100%, $E$13) + CHOOSE(CONTROL!$C$32, 0.0272, 0)</f>
        <v>16.297699999999999</v>
      </c>
      <c r="D79" s="4">
        <f>24.6252 * CHOOSE(CONTROL!$C$13, $C$13, 100%, $E$13) + CHOOSE(CONTROL!$C$32, 0.0021, 0)</f>
        <v>24.627299999999998</v>
      </c>
      <c r="E79" s="4">
        <f>106.209228162077 * CHOOSE(CONTROL!$C$13, $C$13, 100%, $E$13) + CHOOSE(CONTROL!$C$32, 0.0021, 0)</f>
        <v>106.211328162077</v>
      </c>
    </row>
    <row r="80" spans="1:5" ht="15">
      <c r="A80" s="13">
        <v>43556</v>
      </c>
      <c r="B80" s="4">
        <f>17.2808 * CHOOSE(CONTROL!$C$13, $C$13, 100%, $E$13) + CHOOSE(CONTROL!$C$32, 0.0272, 0)</f>
        <v>17.308</v>
      </c>
      <c r="C80" s="4">
        <f>16.9175 * CHOOSE(CONTROL!$C$13, $C$13, 100%, $E$13) + CHOOSE(CONTROL!$C$32, 0.0272, 0)</f>
        <v>16.944700000000001</v>
      </c>
      <c r="D80" s="4">
        <f>25.2898 * CHOOSE(CONTROL!$C$13, $C$13, 100%, $E$13) + CHOOSE(CONTROL!$C$32, 0.0021, 0)</f>
        <v>25.291899999999998</v>
      </c>
      <c r="E80" s="4">
        <f>110.541565479712 * CHOOSE(CONTROL!$C$13, $C$13, 100%, $E$13) + CHOOSE(CONTROL!$C$32, 0.0021, 0)</f>
        <v>110.543665479712</v>
      </c>
    </row>
    <row r="81" spans="1:5" ht="15">
      <c r="A81" s="13">
        <v>43586</v>
      </c>
      <c r="B81" s="4">
        <f>17.6761 * CHOOSE(CONTROL!$C$13, $C$13, 100%, $E$13) + CHOOSE(CONTROL!$C$32, 0.0272, 0)</f>
        <v>17.703300000000002</v>
      </c>
      <c r="C81" s="4">
        <f>17.3128 * CHOOSE(CONTROL!$C$13, $C$13, 100%, $E$13) + CHOOSE(CONTROL!$C$32, 0.0272, 0)</f>
        <v>17.34</v>
      </c>
      <c r="D81" s="4">
        <f>25.0271 * CHOOSE(CONTROL!$C$13, $C$13, 100%, $E$13) + CHOOSE(CONTROL!$C$32, 0.0021, 0)</f>
        <v>25.029199999999999</v>
      </c>
      <c r="E81" s="4">
        <f>113.188519749152 * CHOOSE(CONTROL!$C$13, $C$13, 100%, $E$13) + CHOOSE(CONTROL!$C$32, 0.0021, 0)</f>
        <v>113.19061974915199</v>
      </c>
    </row>
    <row r="82" spans="1:5" ht="15">
      <c r="A82" s="13">
        <v>43617</v>
      </c>
      <c r="B82" s="4">
        <f>17.7295 * CHOOSE(CONTROL!$C$13, $C$13, 100%, $E$13) + CHOOSE(CONTROL!$C$32, 0.0272, 0)</f>
        <v>17.756700000000002</v>
      </c>
      <c r="C82" s="4">
        <f>17.3663 * CHOOSE(CONTROL!$C$13, $C$13, 100%, $E$13) + CHOOSE(CONTROL!$C$32, 0.0272, 0)</f>
        <v>17.3935</v>
      </c>
      <c r="D82" s="4">
        <f>25.241 * CHOOSE(CONTROL!$C$13, $C$13, 100%, $E$13) + CHOOSE(CONTROL!$C$32, 0.0021, 0)</f>
        <v>25.243099999999998</v>
      </c>
      <c r="E82" s="4">
        <f>113.546663646893 * CHOOSE(CONTROL!$C$13, $C$13, 100%, $E$13) + CHOOSE(CONTROL!$C$32, 0.0021, 0)</f>
        <v>113.54876364689299</v>
      </c>
    </row>
    <row r="83" spans="1:5" ht="15">
      <c r="A83" s="13">
        <v>43647</v>
      </c>
      <c r="B83" s="4">
        <f>17.7241 * CHOOSE(CONTROL!$C$13, $C$13, 100%, $E$13) + CHOOSE(CONTROL!$C$32, 0.0272, 0)</f>
        <v>17.751300000000001</v>
      </c>
      <c r="C83" s="4">
        <f>17.3609 * CHOOSE(CONTROL!$C$13, $C$13, 100%, $E$13) + CHOOSE(CONTROL!$C$32, 0.0272, 0)</f>
        <v>17.388100000000001</v>
      </c>
      <c r="D83" s="4">
        <f>25.6269 * CHOOSE(CONTROL!$C$13, $C$13, 100%, $E$13) + CHOOSE(CONTROL!$C$32, 0.0021, 0)</f>
        <v>25.628999999999998</v>
      </c>
      <c r="E83" s="4">
        <f>113.51054829586 * CHOOSE(CONTROL!$C$13, $C$13, 100%, $E$13) + CHOOSE(CONTROL!$C$32, 0.0021, 0)</f>
        <v>113.51264829586</v>
      </c>
    </row>
    <row r="84" spans="1:5" ht="15">
      <c r="A84" s="13">
        <v>43678</v>
      </c>
      <c r="B84" s="4">
        <f>18.13 * CHOOSE(CONTROL!$C$13, $C$13, 100%, $E$13) + CHOOSE(CONTROL!$C$32, 0.0272, 0)</f>
        <v>18.1572</v>
      </c>
      <c r="C84" s="4">
        <f>17.7667 * CHOOSE(CONTROL!$C$13, $C$13, 100%, $E$13) + CHOOSE(CONTROL!$C$32, 0.0272, 0)</f>
        <v>17.793900000000001</v>
      </c>
      <c r="D84" s="4">
        <f>25.3721 * CHOOSE(CONTROL!$C$13, $C$13, 100%, $E$13) + CHOOSE(CONTROL!$C$32, 0.0021, 0)</f>
        <v>25.374199999999998</v>
      </c>
      <c r="E84" s="4">
        <f>116.228228461073 * CHOOSE(CONTROL!$C$13, $C$13, 100%, $E$13) + CHOOSE(CONTROL!$C$32, 0.0021, 0)</f>
        <v>116.230328461073</v>
      </c>
    </row>
    <row r="85" spans="1:5" ht="15">
      <c r="A85" s="13">
        <v>43709</v>
      </c>
      <c r="B85" s="4">
        <f>17.4383 * CHOOSE(CONTROL!$C$13, $C$13, 100%, $E$13) + CHOOSE(CONTROL!$C$32, 0.0272, 0)</f>
        <v>17.465500000000002</v>
      </c>
      <c r="C85" s="4">
        <f>17.075 * CHOOSE(CONTROL!$C$13, $C$13, 100%, $E$13) + CHOOSE(CONTROL!$C$32, 0.0272, 0)</f>
        <v>17.1022</v>
      </c>
      <c r="D85" s="4">
        <f>25.2517 * CHOOSE(CONTROL!$C$13, $C$13, 100%, $E$13) + CHOOSE(CONTROL!$C$32, 0.0021, 0)</f>
        <v>25.253799999999998</v>
      </c>
      <c r="E85" s="4">
        <f>111.596434691126 * CHOOSE(CONTROL!$C$13, $C$13, 100%, $E$13) + CHOOSE(CONTROL!$C$32, 0.0021, 0)</f>
        <v>111.59853469112601</v>
      </c>
    </row>
    <row r="86" spans="1:5" ht="15">
      <c r="A86" s="13">
        <v>43739</v>
      </c>
      <c r="B86" s="4">
        <f>16.8846 * CHOOSE(CONTROL!$C$13, $C$13, 100%, $E$13) + CHOOSE(CONTROL!$C$32, 0.0272, 0)</f>
        <v>16.911799999999999</v>
      </c>
      <c r="C86" s="4">
        <f>16.5213 * CHOOSE(CONTROL!$C$13, $C$13, 100%, $E$13) + CHOOSE(CONTROL!$C$32, 0.0272, 0)</f>
        <v>16.548500000000001</v>
      </c>
      <c r="D86" s="4">
        <f>24.9292 * CHOOSE(CONTROL!$C$13, $C$13, 100%, $E$13) + CHOOSE(CONTROL!$C$32, 0.0021, 0)</f>
        <v>24.9313</v>
      </c>
      <c r="E86" s="4">
        <f>107.888591985099 * CHOOSE(CONTROL!$C$13, $C$13, 100%, $E$13) + CHOOSE(CONTROL!$C$32, 0.0021, 0)</f>
        <v>107.890691985099</v>
      </c>
    </row>
    <row r="87" spans="1:5" ht="15">
      <c r="A87" s="13">
        <v>43770</v>
      </c>
      <c r="B87" s="4">
        <f>16.528 * CHOOSE(CONTROL!$C$13, $C$13, 100%, $E$13) + CHOOSE(CONTROL!$C$32, 0.0272, 0)</f>
        <v>16.555199999999999</v>
      </c>
      <c r="C87" s="4">
        <f>16.1647 * CHOOSE(CONTROL!$C$13, $C$13, 100%, $E$13) + CHOOSE(CONTROL!$C$32, 0.0272, 0)</f>
        <v>16.1919</v>
      </c>
      <c r="D87" s="4">
        <f>24.8184 * CHOOSE(CONTROL!$C$13, $C$13, 100%, $E$13) + CHOOSE(CONTROL!$C$32, 0.0021, 0)</f>
        <v>24.820499999999999</v>
      </c>
      <c r="E87" s="4">
        <f>105.50046439806 * CHOOSE(CONTROL!$C$13, $C$13, 100%, $E$13) + CHOOSE(CONTROL!$C$32, 0.0021, 0)</f>
        <v>105.50256439806</v>
      </c>
    </row>
    <row r="88" spans="1:5" ht="15">
      <c r="A88" s="13">
        <v>43800</v>
      </c>
      <c r="B88" s="4">
        <f>16.2812 * CHOOSE(CONTROL!$C$13, $C$13, 100%, $E$13) + CHOOSE(CONTROL!$C$32, 0.0272, 0)</f>
        <v>16.308399999999999</v>
      </c>
      <c r="C88" s="4">
        <f>15.918 * CHOOSE(CONTROL!$C$13, $C$13, 100%, $E$13) + CHOOSE(CONTROL!$C$32, 0.0272, 0)</f>
        <v>15.9452</v>
      </c>
      <c r="D88" s="4">
        <f>24.0023 * CHOOSE(CONTROL!$C$13, $C$13, 100%, $E$13) + CHOOSE(CONTROL!$C$32, 0.0021, 0)</f>
        <v>24.0044</v>
      </c>
      <c r="E88" s="4">
        <f>103.848187088313 * CHOOSE(CONTROL!$C$13, $C$13, 100%, $E$13) + CHOOSE(CONTROL!$C$32, 0.0021, 0)</f>
        <v>103.850287088313</v>
      </c>
    </row>
    <row r="89" spans="1:5" ht="15">
      <c r="A89" s="13">
        <v>43831</v>
      </c>
      <c r="B89" s="4">
        <f>15.9483 * CHOOSE(CONTROL!$C$13, $C$13, 100%, $E$13) + CHOOSE(CONTROL!$C$32, 0.0272, 0)</f>
        <v>15.9755</v>
      </c>
      <c r="C89" s="4">
        <f>15.585 * CHOOSE(CONTROL!$C$13, $C$13, 100%, $E$13) + CHOOSE(CONTROL!$C$32, 0.0272, 0)</f>
        <v>15.612200000000001</v>
      </c>
      <c r="D89" s="4">
        <f>23.4038 * CHOOSE(CONTROL!$C$13, $C$13, 100%, $E$13) + CHOOSE(CONTROL!$C$32, 0.0021, 0)</f>
        <v>23.405899999999999</v>
      </c>
      <c r="E89" s="4">
        <f>100.362539633166 * CHOOSE(CONTROL!$C$13, $C$13, 100%, $E$13) + CHOOSE(CONTROL!$C$32, 0.0021, 0)</f>
        <v>100.36463963316599</v>
      </c>
    </row>
    <row r="90" spans="1:5" ht="15">
      <c r="A90" s="13">
        <v>43862</v>
      </c>
      <c r="B90" s="4">
        <f>16.3086 * CHOOSE(CONTROL!$C$13, $C$13, 100%, $E$13) + CHOOSE(CONTROL!$C$32, 0.0272, 0)</f>
        <v>16.335799999999999</v>
      </c>
      <c r="C90" s="4">
        <f>15.9453 * CHOOSE(CONTROL!$C$13, $C$13, 100%, $E$13) + CHOOSE(CONTROL!$C$32, 0.0272, 0)</f>
        <v>15.9725</v>
      </c>
      <c r="D90" s="4">
        <f>24.1645 * CHOOSE(CONTROL!$C$13, $C$13, 100%, $E$13) + CHOOSE(CONTROL!$C$32, 0.0021, 0)</f>
        <v>24.166599999999999</v>
      </c>
      <c r="E90" s="4">
        <f>102.745541843737 * CHOOSE(CONTROL!$C$13, $C$13, 100%, $E$13) + CHOOSE(CONTROL!$C$32, 0.0021, 0)</f>
        <v>102.747641843737</v>
      </c>
    </row>
    <row r="91" spans="1:5" ht="15">
      <c r="A91" s="13">
        <v>43891</v>
      </c>
      <c r="B91" s="4">
        <f>17.2548 * CHOOSE(CONTROL!$C$13, $C$13, 100%, $E$13) + CHOOSE(CONTROL!$C$32, 0.0272, 0)</f>
        <v>17.282</v>
      </c>
      <c r="C91" s="4">
        <f>16.8915 * CHOOSE(CONTROL!$C$13, $C$13, 100%, $E$13) + CHOOSE(CONTROL!$C$32, 0.0272, 0)</f>
        <v>16.918700000000001</v>
      </c>
      <c r="D91" s="4">
        <f>25.3552 * CHOOSE(CONTROL!$C$13, $C$13, 100%, $E$13) + CHOOSE(CONTROL!$C$32, 0.0021, 0)</f>
        <v>25.357299999999999</v>
      </c>
      <c r="E91" s="4">
        <f>109.003432289126 * CHOOSE(CONTROL!$C$13, $C$13, 100%, $E$13) + CHOOSE(CONTROL!$C$32, 0.0021, 0)</f>
        <v>109.00553228912599</v>
      </c>
    </row>
    <row r="92" spans="1:5" ht="15">
      <c r="A92" s="13">
        <v>43922</v>
      </c>
      <c r="B92" s="4">
        <f>17.927 * CHOOSE(CONTROL!$C$13, $C$13, 100%, $E$13) + CHOOSE(CONTROL!$C$32, 0.0272, 0)</f>
        <v>17.9542</v>
      </c>
      <c r="C92" s="4">
        <f>17.5638 * CHOOSE(CONTROL!$C$13, $C$13, 100%, $E$13) + CHOOSE(CONTROL!$C$32, 0.0272, 0)</f>
        <v>17.591000000000001</v>
      </c>
      <c r="D92" s="4">
        <f>26.0411 * CHOOSE(CONTROL!$C$13, $C$13, 100%, $E$13) + CHOOSE(CONTROL!$C$32, 0.0021, 0)</f>
        <v>26.043199999999999</v>
      </c>
      <c r="E92" s="4">
        <f>113.44974684793 * CHOOSE(CONTROL!$C$13, $C$13, 100%, $E$13) + CHOOSE(CONTROL!$C$32, 0.0021, 0)</f>
        <v>113.45184684793</v>
      </c>
    </row>
    <row r="93" spans="1:5" ht="15">
      <c r="A93" s="13">
        <v>43952</v>
      </c>
      <c r="B93" s="4">
        <f>18.3378 * CHOOSE(CONTROL!$C$13, $C$13, 100%, $E$13) + CHOOSE(CONTROL!$C$32, 0.0272, 0)</f>
        <v>18.365000000000002</v>
      </c>
      <c r="C93" s="4">
        <f>17.9745 * CHOOSE(CONTROL!$C$13, $C$13, 100%, $E$13) + CHOOSE(CONTROL!$C$32, 0.0272, 0)</f>
        <v>18.0017</v>
      </c>
      <c r="D93" s="4">
        <f>25.7701 * CHOOSE(CONTROL!$C$13, $C$13, 100%, $E$13) + CHOOSE(CONTROL!$C$32, 0.0021, 0)</f>
        <v>25.772199999999998</v>
      </c>
      <c r="E93" s="4">
        <f>116.166338480072 * CHOOSE(CONTROL!$C$13, $C$13, 100%, $E$13) + CHOOSE(CONTROL!$C$32, 0.0021, 0)</f>
        <v>116.168438480072</v>
      </c>
    </row>
    <row r="94" spans="1:5" ht="15">
      <c r="A94" s="13">
        <v>43983</v>
      </c>
      <c r="B94" s="4">
        <f>18.3934 * CHOOSE(CONTROL!$C$13, $C$13, 100%, $E$13) + CHOOSE(CONTROL!$C$32, 0.0272, 0)</f>
        <v>18.4206</v>
      </c>
      <c r="C94" s="4">
        <f>18.0301 * CHOOSE(CONTROL!$C$13, $C$13, 100%, $E$13) + CHOOSE(CONTROL!$C$32, 0.0272, 0)</f>
        <v>18.057300000000001</v>
      </c>
      <c r="D94" s="4">
        <f>25.9908 * CHOOSE(CONTROL!$C$13, $C$13, 100%, $E$13) + CHOOSE(CONTROL!$C$32, 0.0021, 0)</f>
        <v>25.992899999999999</v>
      </c>
      <c r="E94" s="4">
        <f>116.533904601987 * CHOOSE(CONTROL!$C$13, $C$13, 100%, $E$13) + CHOOSE(CONTROL!$C$32, 0.0021, 0)</f>
        <v>116.536004601987</v>
      </c>
    </row>
    <row r="95" spans="1:5" ht="15">
      <c r="A95" s="13">
        <v>44013</v>
      </c>
      <c r="B95" s="4">
        <f>18.3878 * CHOOSE(CONTROL!$C$13, $C$13, 100%, $E$13) + CHOOSE(CONTROL!$C$32, 0.0272, 0)</f>
        <v>18.414999999999999</v>
      </c>
      <c r="C95" s="4">
        <f>18.0245 * CHOOSE(CONTROL!$C$13, $C$13, 100%, $E$13) + CHOOSE(CONTROL!$C$32, 0.0272, 0)</f>
        <v>18.0517</v>
      </c>
      <c r="D95" s="4">
        <f>26.3891 * CHOOSE(CONTROL!$C$13, $C$13, 100%, $E$13) + CHOOSE(CONTROL!$C$32, 0.0021, 0)</f>
        <v>26.391199999999998</v>
      </c>
      <c r="E95" s="4">
        <f>116.496839110702 * CHOOSE(CONTROL!$C$13, $C$13, 100%, $E$13) + CHOOSE(CONTROL!$C$32, 0.0021, 0)</f>
        <v>116.498939110702</v>
      </c>
    </row>
    <row r="96" spans="1:5" ht="15">
      <c r="A96" s="13">
        <v>44044</v>
      </c>
      <c r="B96" s="4">
        <f>18.8095 * CHOOSE(CONTROL!$C$13, $C$13, 100%, $E$13) + CHOOSE(CONTROL!$C$32, 0.0272, 0)</f>
        <v>18.8367</v>
      </c>
      <c r="C96" s="4">
        <f>18.4462 * CHOOSE(CONTROL!$C$13, $C$13, 100%, $E$13) + CHOOSE(CONTROL!$C$32, 0.0272, 0)</f>
        <v>18.473400000000002</v>
      </c>
      <c r="D96" s="4">
        <f>26.1261 * CHOOSE(CONTROL!$C$13, $C$13, 100%, $E$13) + CHOOSE(CONTROL!$C$32, 0.0021, 0)</f>
        <v>26.1282</v>
      </c>
      <c r="E96" s="4">
        <f>119.286017329945 * CHOOSE(CONTROL!$C$13, $C$13, 100%, $E$13) + CHOOSE(CONTROL!$C$32, 0.0021, 0)</f>
        <v>119.288117329945</v>
      </c>
    </row>
    <row r="97" spans="1:5" ht="15">
      <c r="A97" s="13">
        <v>44075</v>
      </c>
      <c r="B97" s="4">
        <f>18.0907 * CHOOSE(CONTROL!$C$13, $C$13, 100%, $E$13) + CHOOSE(CONTROL!$C$32, 0.0272, 0)</f>
        <v>18.117899999999999</v>
      </c>
      <c r="C97" s="4">
        <f>17.7275 * CHOOSE(CONTROL!$C$13, $C$13, 100%, $E$13) + CHOOSE(CONTROL!$C$32, 0.0272, 0)</f>
        <v>17.7547</v>
      </c>
      <c r="D97" s="4">
        <f>26.0018 * CHOOSE(CONTROL!$C$13, $C$13, 100%, $E$13) + CHOOSE(CONTROL!$C$32, 0.0021, 0)</f>
        <v>26.003899999999998</v>
      </c>
      <c r="E97" s="4">
        <f>114.532368072564 * CHOOSE(CONTROL!$C$13, $C$13, 100%, $E$13) + CHOOSE(CONTROL!$C$32, 0.0021, 0)</f>
        <v>114.534468072564</v>
      </c>
    </row>
    <row r="98" spans="1:5" ht="15">
      <c r="A98" s="13">
        <v>44105</v>
      </c>
      <c r="B98" s="4">
        <f>17.5154 * CHOOSE(CONTROL!$C$13, $C$13, 100%, $E$13) + CHOOSE(CONTROL!$C$32, 0.0272, 0)</f>
        <v>17.5426</v>
      </c>
      <c r="C98" s="4">
        <f>17.1521 * CHOOSE(CONTROL!$C$13, $C$13, 100%, $E$13) + CHOOSE(CONTROL!$C$32, 0.0272, 0)</f>
        <v>17.179300000000001</v>
      </c>
      <c r="D98" s="4">
        <f>25.669 * CHOOSE(CONTROL!$C$13, $C$13, 100%, $E$13) + CHOOSE(CONTROL!$C$32, 0.0021, 0)</f>
        <v>25.671099999999999</v>
      </c>
      <c r="E98" s="4">
        <f>110.726977633907 * CHOOSE(CONTROL!$C$13, $C$13, 100%, $E$13) + CHOOSE(CONTROL!$C$32, 0.0021, 0)</f>
        <v>110.729077633907</v>
      </c>
    </row>
    <row r="99" spans="1:5" ht="15">
      <c r="A99" s="13">
        <v>44136</v>
      </c>
      <c r="B99" s="4">
        <f>17.1448 * CHOOSE(CONTROL!$C$13, $C$13, 100%, $E$13) + CHOOSE(CONTROL!$C$32, 0.0272, 0)</f>
        <v>17.172000000000001</v>
      </c>
      <c r="C99" s="4">
        <f>16.7815 * CHOOSE(CONTROL!$C$13, $C$13, 100%, $E$13) + CHOOSE(CONTROL!$C$32, 0.0272, 0)</f>
        <v>16.808700000000002</v>
      </c>
      <c r="D99" s="4">
        <f>25.5546 * CHOOSE(CONTROL!$C$13, $C$13, 100%, $E$13) + CHOOSE(CONTROL!$C$32, 0.0021, 0)</f>
        <v>25.556699999999999</v>
      </c>
      <c r="E99" s="4">
        <f>108.276022022646 * CHOOSE(CONTROL!$C$13, $C$13, 100%, $E$13) + CHOOSE(CONTROL!$C$32, 0.0021, 0)</f>
        <v>108.278122022646</v>
      </c>
    </row>
    <row r="100" spans="1:5" ht="15">
      <c r="A100" s="13">
        <v>44166</v>
      </c>
      <c r="B100" s="4">
        <f>16.8884 * CHOOSE(CONTROL!$C$13, $C$13, 100%, $E$13) + CHOOSE(CONTROL!$C$32, 0.0272, 0)</f>
        <v>16.915600000000001</v>
      </c>
      <c r="C100" s="4">
        <f>16.5251 * CHOOSE(CONTROL!$C$13, $C$13, 100%, $E$13) + CHOOSE(CONTROL!$C$32, 0.0272, 0)</f>
        <v>16.552299999999999</v>
      </c>
      <c r="D100" s="4">
        <f>24.7124 * CHOOSE(CONTROL!$C$13, $C$13, 100%, $E$13) + CHOOSE(CONTROL!$C$32, 0.0021, 0)</f>
        <v>24.714499999999997</v>
      </c>
      <c r="E100" s="4">
        <f>106.580275796328 * CHOOSE(CONTROL!$C$13, $C$13, 100%, $E$13) + CHOOSE(CONTROL!$C$32, 0.0021, 0)</f>
        <v>106.58237579632799</v>
      </c>
    </row>
    <row r="101" spans="1:5" ht="15">
      <c r="A101" s="13">
        <v>44197</v>
      </c>
      <c r="B101" s="4">
        <f>16.3648 * CHOOSE(CONTROL!$C$13, $C$13, 100%, $E$13) + CHOOSE(CONTROL!$C$32, 0.0272, 0)</f>
        <v>16.391999999999999</v>
      </c>
      <c r="C101" s="4">
        <f>16.0015 * CHOOSE(CONTROL!$C$13, $C$13, 100%, $E$13) + CHOOSE(CONTROL!$C$32, 0.0272, 0)</f>
        <v>16.028700000000001</v>
      </c>
      <c r="D101" s="4">
        <f>23.9337 * CHOOSE(CONTROL!$C$13, $C$13, 100%, $E$13) + CHOOSE(CONTROL!$C$32, 0.0021, 0)</f>
        <v>23.9358</v>
      </c>
      <c r="E101" s="4">
        <f>102.050597055839 * CHOOSE(CONTROL!$C$13, $C$13, 100%, $E$13) + CHOOSE(CONTROL!$C$32, 0.0021, 0)</f>
        <v>102.052697055839</v>
      </c>
    </row>
    <row r="102" spans="1:5" ht="15">
      <c r="A102" s="13">
        <v>44228</v>
      </c>
      <c r="B102" s="4">
        <f>16.735 * CHOOSE(CONTROL!$C$13, $C$13, 100%, $E$13) + CHOOSE(CONTROL!$C$32, 0.0272, 0)</f>
        <v>16.7622</v>
      </c>
      <c r="C102" s="4">
        <f>16.3717 * CHOOSE(CONTROL!$C$13, $C$13, 100%, $E$13) + CHOOSE(CONTROL!$C$32, 0.0272, 0)</f>
        <v>16.398900000000001</v>
      </c>
      <c r="D102" s="4">
        <f>24.7131 * CHOOSE(CONTROL!$C$13, $C$13, 100%, $E$13) + CHOOSE(CONTROL!$C$32, 0.0021, 0)</f>
        <v>24.715199999999999</v>
      </c>
      <c r="E102" s="4">
        <f>104.473680402106 * CHOOSE(CONTROL!$C$13, $C$13, 100%, $E$13) + CHOOSE(CONTROL!$C$32, 0.0021, 0)</f>
        <v>104.475780402106</v>
      </c>
    </row>
    <row r="103" spans="1:5" ht="15">
      <c r="A103" s="13">
        <v>44256</v>
      </c>
      <c r="B103" s="4">
        <f>17.7072 * CHOOSE(CONTROL!$C$13, $C$13, 100%, $E$13) + CHOOSE(CONTROL!$C$32, 0.0272, 0)</f>
        <v>17.734400000000001</v>
      </c>
      <c r="C103" s="4">
        <f>17.3439 * CHOOSE(CONTROL!$C$13, $C$13, 100%, $E$13) + CHOOSE(CONTROL!$C$32, 0.0272, 0)</f>
        <v>17.371100000000002</v>
      </c>
      <c r="D103" s="4">
        <f>25.9331 * CHOOSE(CONTROL!$C$13, $C$13, 100%, $E$13) + CHOOSE(CONTROL!$C$32, 0.0021, 0)</f>
        <v>25.935199999999998</v>
      </c>
      <c r="E103" s="4">
        <f>110.836826039873 * CHOOSE(CONTROL!$C$13, $C$13, 100%, $E$13) + CHOOSE(CONTROL!$C$32, 0.0021, 0)</f>
        <v>110.838926039873</v>
      </c>
    </row>
    <row r="104" spans="1:5" ht="15">
      <c r="A104" s="13">
        <v>44287</v>
      </c>
      <c r="B104" s="4">
        <f>18.3979 * CHOOSE(CONTROL!$C$13, $C$13, 100%, $E$13) + CHOOSE(CONTROL!$C$32, 0.0272, 0)</f>
        <v>18.4251</v>
      </c>
      <c r="C104" s="4">
        <f>18.0346 * CHOOSE(CONTROL!$C$13, $C$13, 100%, $E$13) + CHOOSE(CONTROL!$C$32, 0.0272, 0)</f>
        <v>18.061800000000002</v>
      </c>
      <c r="D104" s="4">
        <f>26.6359 * CHOOSE(CONTROL!$C$13, $C$13, 100%, $E$13) + CHOOSE(CONTROL!$C$32, 0.0021, 0)</f>
        <v>26.637999999999998</v>
      </c>
      <c r="E104" s="4">
        <f>115.357925815571 * CHOOSE(CONTROL!$C$13, $C$13, 100%, $E$13) + CHOOSE(CONTROL!$C$32, 0.0021, 0)</f>
        <v>115.36002581557099</v>
      </c>
    </row>
    <row r="105" spans="1:5" ht="15">
      <c r="A105" s="13">
        <v>44317</v>
      </c>
      <c r="B105" s="4">
        <f>18.8199 * CHOOSE(CONTROL!$C$13, $C$13, 100%, $E$13) + CHOOSE(CONTROL!$C$32, 0.0272, 0)</f>
        <v>18.847100000000001</v>
      </c>
      <c r="C105" s="4">
        <f>18.4567 * CHOOSE(CONTROL!$C$13, $C$13, 100%, $E$13) + CHOOSE(CONTROL!$C$32, 0.0272, 0)</f>
        <v>18.483900000000002</v>
      </c>
      <c r="D105" s="4">
        <f>26.3582 * CHOOSE(CONTROL!$C$13, $C$13, 100%, $E$13) + CHOOSE(CONTROL!$C$32, 0.0021, 0)</f>
        <v>26.360299999999999</v>
      </c>
      <c r="E105" s="4">
        <f>118.120209422884 * CHOOSE(CONTROL!$C$13, $C$13, 100%, $E$13) + CHOOSE(CONTROL!$C$32, 0.0021, 0)</f>
        <v>118.122309422884</v>
      </c>
    </row>
    <row r="106" spans="1:5" ht="15">
      <c r="A106" s="13">
        <v>44348</v>
      </c>
      <c r="B106" s="4">
        <f>18.877 * CHOOSE(CONTROL!$C$13, $C$13, 100%, $E$13) + CHOOSE(CONTROL!$C$32, 0.0272, 0)</f>
        <v>18.904199999999999</v>
      </c>
      <c r="C106" s="4">
        <f>18.5138 * CHOOSE(CONTROL!$C$13, $C$13, 100%, $E$13) + CHOOSE(CONTROL!$C$32, 0.0272, 0)</f>
        <v>18.541</v>
      </c>
      <c r="D106" s="4">
        <f>26.5843 * CHOOSE(CONTROL!$C$13, $C$13, 100%, $E$13) + CHOOSE(CONTROL!$C$32, 0.0021, 0)</f>
        <v>26.586399999999998</v>
      </c>
      <c r="E106" s="4">
        <f>118.493957858666 * CHOOSE(CONTROL!$C$13, $C$13, 100%, $E$13) + CHOOSE(CONTROL!$C$32, 0.0021, 0)</f>
        <v>118.49605785866599</v>
      </c>
    </row>
    <row r="107" spans="1:5" ht="15">
      <c r="A107" s="13">
        <v>44378</v>
      </c>
      <c r="B107" s="4">
        <f>18.8713 * CHOOSE(CONTROL!$C$13, $C$13, 100%, $E$13) + CHOOSE(CONTROL!$C$32, 0.0272, 0)</f>
        <v>18.898500000000002</v>
      </c>
      <c r="C107" s="4">
        <f>18.508 * CHOOSE(CONTROL!$C$13, $C$13, 100%, $E$13) + CHOOSE(CONTROL!$C$32, 0.0272, 0)</f>
        <v>18.5352</v>
      </c>
      <c r="D107" s="4">
        <f>26.9924 * CHOOSE(CONTROL!$C$13, $C$13, 100%, $E$13) + CHOOSE(CONTROL!$C$32, 0.0021, 0)</f>
        <v>26.994499999999999</v>
      </c>
      <c r="E107" s="4">
        <f>118.456268940772 * CHOOSE(CONTROL!$C$13, $C$13, 100%, $E$13) + CHOOSE(CONTROL!$C$32, 0.0021, 0)</f>
        <v>118.458368940772</v>
      </c>
    </row>
    <row r="108" spans="1:5" ht="15">
      <c r="A108" s="13">
        <v>44409</v>
      </c>
      <c r="B108" s="4">
        <f>19.3046 * CHOOSE(CONTROL!$C$13, $C$13, 100%, $E$13) + CHOOSE(CONTROL!$C$32, 0.0272, 0)</f>
        <v>19.331800000000001</v>
      </c>
      <c r="C108" s="4">
        <f>18.9413 * CHOOSE(CONTROL!$C$13, $C$13, 100%, $E$13) + CHOOSE(CONTROL!$C$32, 0.0272, 0)</f>
        <v>18.968499999999999</v>
      </c>
      <c r="D108" s="4">
        <f>26.7229 * CHOOSE(CONTROL!$C$13, $C$13, 100%, $E$13) + CHOOSE(CONTROL!$C$32, 0.0021, 0)</f>
        <v>26.724999999999998</v>
      </c>
      <c r="E108" s="4">
        <f>121.292360012294 * CHOOSE(CONTROL!$C$13, $C$13, 100%, $E$13) + CHOOSE(CONTROL!$C$32, 0.0021, 0)</f>
        <v>121.294460012294</v>
      </c>
    </row>
    <row r="109" spans="1:5" ht="15">
      <c r="A109" s="13">
        <v>44440</v>
      </c>
      <c r="B109" s="4">
        <f>18.5661 * CHOOSE(CONTROL!$C$13, $C$13, 100%, $E$13) + CHOOSE(CONTROL!$C$32, 0.0272, 0)</f>
        <v>18.593299999999999</v>
      </c>
      <c r="C109" s="4">
        <f>18.2028 * CHOOSE(CONTROL!$C$13, $C$13, 100%, $E$13) + CHOOSE(CONTROL!$C$32, 0.0272, 0)</f>
        <v>18.23</v>
      </c>
      <c r="D109" s="4">
        <f>26.5956 * CHOOSE(CONTROL!$C$13, $C$13, 100%, $E$13) + CHOOSE(CONTROL!$C$32, 0.0021, 0)</f>
        <v>26.5977</v>
      </c>
      <c r="E109" s="4">
        <f>116.458756292391 * CHOOSE(CONTROL!$C$13, $C$13, 100%, $E$13) + CHOOSE(CONTROL!$C$32, 0.0021, 0)</f>
        <v>116.460856292391</v>
      </c>
    </row>
    <row r="110" spans="1:5" ht="15">
      <c r="A110" s="13">
        <v>44470</v>
      </c>
      <c r="B110" s="4">
        <f>17.9749 * CHOOSE(CONTROL!$C$13, $C$13, 100%, $E$13) + CHOOSE(CONTROL!$C$32, 0.0272, 0)</f>
        <v>18.002100000000002</v>
      </c>
      <c r="C110" s="4">
        <f>17.6117 * CHOOSE(CONTROL!$C$13, $C$13, 100%, $E$13) + CHOOSE(CONTROL!$C$32, 0.0272, 0)</f>
        <v>17.6389</v>
      </c>
      <c r="D110" s="4">
        <f>26.2546 * CHOOSE(CONTROL!$C$13, $C$13, 100%, $E$13) + CHOOSE(CONTROL!$C$32, 0.0021, 0)</f>
        <v>26.256699999999999</v>
      </c>
      <c r="E110" s="4">
        <f>112.589360721943 * CHOOSE(CONTROL!$C$13, $C$13, 100%, $E$13) + CHOOSE(CONTROL!$C$32, 0.0021, 0)</f>
        <v>112.59146072194299</v>
      </c>
    </row>
    <row r="111" spans="1:5" ht="15">
      <c r="A111" s="13">
        <v>44501</v>
      </c>
      <c r="B111" s="4">
        <f>17.5942 * CHOOSE(CONTROL!$C$13, $C$13, 100%, $E$13) + CHOOSE(CONTROL!$C$32, 0.0272, 0)</f>
        <v>17.621400000000001</v>
      </c>
      <c r="C111" s="4">
        <f>17.2309 * CHOOSE(CONTROL!$C$13, $C$13, 100%, $E$13) + CHOOSE(CONTROL!$C$32, 0.0272, 0)</f>
        <v>17.258099999999999</v>
      </c>
      <c r="D111" s="4">
        <f>26.1374 * CHOOSE(CONTROL!$C$13, $C$13, 100%, $E$13) + CHOOSE(CONTROL!$C$32, 0.0021, 0)</f>
        <v>26.139499999999998</v>
      </c>
      <c r="E111" s="4">
        <f>110.097181026203 * CHOOSE(CONTROL!$C$13, $C$13, 100%, $E$13) + CHOOSE(CONTROL!$C$32, 0.0021, 0)</f>
        <v>110.099281026203</v>
      </c>
    </row>
    <row r="112" spans="1:5" ht="15">
      <c r="A112" s="13">
        <v>44531</v>
      </c>
      <c r="B112" s="4">
        <f>17.3307 * CHOOSE(CONTROL!$C$13, $C$13, 100%, $E$13) + CHOOSE(CONTROL!$C$32, 0.0272, 0)</f>
        <v>17.357900000000001</v>
      </c>
      <c r="C112" s="4">
        <f>16.9675 * CHOOSE(CONTROL!$C$13, $C$13, 100%, $E$13) + CHOOSE(CONTROL!$C$32, 0.0272, 0)</f>
        <v>16.994700000000002</v>
      </c>
      <c r="D112" s="4">
        <f>25.2745 * CHOOSE(CONTROL!$C$13, $C$13, 100%, $E$13) + CHOOSE(CONTROL!$C$32, 0.0021, 0)</f>
        <v>25.276599999999998</v>
      </c>
      <c r="E112" s="4">
        <f>108.372913032554 * CHOOSE(CONTROL!$C$13, $C$13, 100%, $E$13) + CHOOSE(CONTROL!$C$32, 0.0021, 0)</f>
        <v>108.37501303255399</v>
      </c>
    </row>
    <row r="113" spans="1:5" ht="15">
      <c r="A113" s="13">
        <v>44562</v>
      </c>
      <c r="B113" s="4">
        <f>16.4161 * CHOOSE(CONTROL!$C$13, $C$13, 100%, $E$13) + CHOOSE(CONTROL!$C$32, 0.0272, 0)</f>
        <v>16.443300000000001</v>
      </c>
      <c r="C113" s="4">
        <f>16.0529 * CHOOSE(CONTROL!$C$13, $C$13, 100%, $E$13) + CHOOSE(CONTROL!$C$32, 0.0272, 0)</f>
        <v>16.080100000000002</v>
      </c>
      <c r="D113" s="4">
        <f>24.4888 * CHOOSE(CONTROL!$C$13, $C$13, 100%, $E$13) + CHOOSE(CONTROL!$C$32, 0.0021, 0)</f>
        <v>24.4909</v>
      </c>
      <c r="E113" s="4">
        <f>103.251758676261 * CHOOSE(CONTROL!$C$13, $C$13, 100%, $E$13) + CHOOSE(CONTROL!$C$32, 0.0021, 0)</f>
        <v>103.253858676261</v>
      </c>
    </row>
    <row r="114" spans="1:5" ht="15">
      <c r="A114" s="13">
        <v>44593</v>
      </c>
      <c r="B114" s="4">
        <f>16.7876 * CHOOSE(CONTROL!$C$13, $C$13, 100%, $E$13) + CHOOSE(CONTROL!$C$32, 0.0272, 0)</f>
        <v>16.814800000000002</v>
      </c>
      <c r="C114" s="4">
        <f>16.4243 * CHOOSE(CONTROL!$C$13, $C$13, 100%, $E$13) + CHOOSE(CONTROL!$C$32, 0.0272, 0)</f>
        <v>16.451499999999999</v>
      </c>
      <c r="D114" s="4">
        <f>25.2877 * CHOOSE(CONTROL!$C$13, $C$13, 100%, $E$13) + CHOOSE(CONTROL!$C$32, 0.0021, 0)</f>
        <v>25.2898</v>
      </c>
      <c r="E114" s="4">
        <f>105.703362333066 * CHOOSE(CONTROL!$C$13, $C$13, 100%, $E$13) + CHOOSE(CONTROL!$C$32, 0.0021, 0)</f>
        <v>105.705462333066</v>
      </c>
    </row>
    <row r="115" spans="1:5" ht="15">
      <c r="A115" s="13">
        <v>44621</v>
      </c>
      <c r="B115" s="4">
        <f>17.7629 * CHOOSE(CONTROL!$C$13, $C$13, 100%, $E$13) + CHOOSE(CONTROL!$C$32, 0.0272, 0)</f>
        <v>17.790099999999999</v>
      </c>
      <c r="C115" s="4">
        <f>17.3997 * CHOOSE(CONTROL!$C$13, $C$13, 100%, $E$13) + CHOOSE(CONTROL!$C$32, 0.0272, 0)</f>
        <v>17.4269</v>
      </c>
      <c r="D115" s="4">
        <f>26.5384 * CHOOSE(CONTROL!$C$13, $C$13, 100%, $E$13) + CHOOSE(CONTROL!$C$32, 0.0021, 0)</f>
        <v>26.540499999999998</v>
      </c>
      <c r="E115" s="4">
        <f>112.141403821967 * CHOOSE(CONTROL!$C$13, $C$13, 100%, $E$13) + CHOOSE(CONTROL!$C$32, 0.0021, 0)</f>
        <v>112.143503821967</v>
      </c>
    </row>
    <row r="116" spans="1:5" ht="15">
      <c r="A116" s="13">
        <v>44652</v>
      </c>
      <c r="B116" s="4">
        <f>18.4559 * CHOOSE(CONTROL!$C$13, $C$13, 100%, $E$13) + CHOOSE(CONTROL!$C$32, 0.0272, 0)</f>
        <v>18.4831</v>
      </c>
      <c r="C116" s="4">
        <f>18.0927 * CHOOSE(CONTROL!$C$13, $C$13, 100%, $E$13) + CHOOSE(CONTROL!$C$32, 0.0272, 0)</f>
        <v>18.119900000000001</v>
      </c>
      <c r="D116" s="4">
        <f>27.2589 * CHOOSE(CONTROL!$C$13, $C$13, 100%, $E$13) + CHOOSE(CONTROL!$C$32, 0.0021, 0)</f>
        <v>27.260999999999999</v>
      </c>
      <c r="E116" s="4">
        <f>116.715718098015 * CHOOSE(CONTROL!$C$13, $C$13, 100%, $E$13) + CHOOSE(CONTROL!$C$32, 0.0021, 0)</f>
        <v>116.717818098015</v>
      </c>
    </row>
    <row r="117" spans="1:5" ht="15">
      <c r="A117" s="13">
        <v>44682</v>
      </c>
      <c r="B117" s="4">
        <f>18.8794 * CHOOSE(CONTROL!$C$13, $C$13, 100%, $E$13) + CHOOSE(CONTROL!$C$32, 0.0272, 0)</f>
        <v>18.906600000000001</v>
      </c>
      <c r="C117" s="4">
        <f>18.5161 * CHOOSE(CONTROL!$C$13, $C$13, 100%, $E$13) + CHOOSE(CONTROL!$C$32, 0.0272, 0)</f>
        <v>18.543300000000002</v>
      </c>
      <c r="D117" s="4">
        <f>26.9742 * CHOOSE(CONTROL!$C$13, $C$13, 100%, $E$13) + CHOOSE(CONTROL!$C$32, 0.0021, 0)</f>
        <v>26.976299999999998</v>
      </c>
      <c r="E117" s="4">
        <f>119.510514489667 * CHOOSE(CONTROL!$C$13, $C$13, 100%, $E$13) + CHOOSE(CONTROL!$C$32, 0.0021, 0)</f>
        <v>119.512614489667</v>
      </c>
    </row>
    <row r="118" spans="1:5" ht="15">
      <c r="A118" s="13">
        <v>44713</v>
      </c>
      <c r="B118" s="4">
        <f>18.9367 * CHOOSE(CONTROL!$C$13, $C$13, 100%, $E$13) + CHOOSE(CONTROL!$C$32, 0.0272, 0)</f>
        <v>18.963899999999999</v>
      </c>
      <c r="C118" s="4">
        <f>18.5734 * CHOOSE(CONTROL!$C$13, $C$13, 100%, $E$13) + CHOOSE(CONTROL!$C$32, 0.0272, 0)</f>
        <v>18.6006</v>
      </c>
      <c r="D118" s="4">
        <f>27.206 * CHOOSE(CONTROL!$C$13, $C$13, 100%, $E$13) + CHOOSE(CONTROL!$C$32, 0.0021, 0)</f>
        <v>27.208099999999998</v>
      </c>
      <c r="E118" s="4">
        <f>119.888662040101 * CHOOSE(CONTROL!$C$13, $C$13, 100%, $E$13) + CHOOSE(CONTROL!$C$32, 0.0021, 0)</f>
        <v>119.890762040101</v>
      </c>
    </row>
    <row r="119" spans="1:5" ht="15">
      <c r="A119" s="13">
        <v>44743</v>
      </c>
      <c r="B119" s="4">
        <f>18.9309 * CHOOSE(CONTROL!$C$13, $C$13, 100%, $E$13) + CHOOSE(CONTROL!$C$32, 0.0272, 0)</f>
        <v>18.958100000000002</v>
      </c>
      <c r="C119" s="4">
        <f>18.5676 * CHOOSE(CONTROL!$C$13, $C$13, 100%, $E$13) + CHOOSE(CONTROL!$C$32, 0.0272, 0)</f>
        <v>18.594799999999999</v>
      </c>
      <c r="D119" s="4">
        <f>27.6244 * CHOOSE(CONTROL!$C$13, $C$13, 100%, $E$13) + CHOOSE(CONTROL!$C$32, 0.0021, 0)</f>
        <v>27.6265</v>
      </c>
      <c r="E119" s="4">
        <f>119.850529514007 * CHOOSE(CONTROL!$C$13, $C$13, 100%, $E$13) + CHOOSE(CONTROL!$C$32, 0.0021, 0)</f>
        <v>119.85262951400699</v>
      </c>
    </row>
    <row r="120" spans="1:5" ht="15">
      <c r="A120" s="13">
        <v>44774</v>
      </c>
      <c r="B120" s="4">
        <f>19.3656 * CHOOSE(CONTROL!$C$13, $C$13, 100%, $E$13) + CHOOSE(CONTROL!$C$32, 0.0272, 0)</f>
        <v>19.392800000000001</v>
      </c>
      <c r="C120" s="4">
        <f>19.0023 * CHOOSE(CONTROL!$C$13, $C$13, 100%, $E$13) + CHOOSE(CONTROL!$C$32, 0.0272, 0)</f>
        <v>19.029500000000002</v>
      </c>
      <c r="D120" s="4">
        <f>27.3481 * CHOOSE(CONTROL!$C$13, $C$13, 100%, $E$13) + CHOOSE(CONTROL!$C$32, 0.0021, 0)</f>
        <v>27.350199999999997</v>
      </c>
      <c r="E120" s="4">
        <f>122.720002102594 * CHOOSE(CONTROL!$C$13, $C$13, 100%, $E$13) + CHOOSE(CONTROL!$C$32, 0.0021, 0)</f>
        <v>122.72210210259399</v>
      </c>
    </row>
    <row r="121" spans="1:5" ht="15">
      <c r="A121" s="13">
        <v>44805</v>
      </c>
      <c r="B121" s="4">
        <f>18.6247 * CHOOSE(CONTROL!$C$13, $C$13, 100%, $E$13) + CHOOSE(CONTROL!$C$32, 0.0272, 0)</f>
        <v>18.651900000000001</v>
      </c>
      <c r="C121" s="4">
        <f>18.2614 * CHOOSE(CONTROL!$C$13, $C$13, 100%, $E$13) + CHOOSE(CONTROL!$C$32, 0.0272, 0)</f>
        <v>18.288599999999999</v>
      </c>
      <c r="D121" s="4">
        <f>27.2176 * CHOOSE(CONTROL!$C$13, $C$13, 100%, $E$13) + CHOOSE(CONTROL!$C$32, 0.0021, 0)</f>
        <v>27.2197</v>
      </c>
      <c r="E121" s="4">
        <f>117.829505631015 * CHOOSE(CONTROL!$C$13, $C$13, 100%, $E$13) + CHOOSE(CONTROL!$C$32, 0.0021, 0)</f>
        <v>117.83160563101499</v>
      </c>
    </row>
    <row r="122" spans="1:5" ht="15">
      <c r="A122" s="13">
        <v>44835</v>
      </c>
      <c r="B122" s="4">
        <f>18.0316 * CHOOSE(CONTROL!$C$13, $C$13, 100%, $E$13) + CHOOSE(CONTROL!$C$32, 0.0272, 0)</f>
        <v>18.058800000000002</v>
      </c>
      <c r="C122" s="4">
        <f>17.6683 * CHOOSE(CONTROL!$C$13, $C$13, 100%, $E$13) + CHOOSE(CONTROL!$C$32, 0.0272, 0)</f>
        <v>17.695499999999999</v>
      </c>
      <c r="D122" s="4">
        <f>26.8681 * CHOOSE(CONTROL!$C$13, $C$13, 100%, $E$13) + CHOOSE(CONTROL!$C$32, 0.0021, 0)</f>
        <v>26.870199999999997</v>
      </c>
      <c r="E122" s="4">
        <f>113.914566285346 * CHOOSE(CONTROL!$C$13, $C$13, 100%, $E$13) + CHOOSE(CONTROL!$C$32, 0.0021, 0)</f>
        <v>113.916666285346</v>
      </c>
    </row>
    <row r="123" spans="1:5" ht="15">
      <c r="A123" s="13">
        <v>44866</v>
      </c>
      <c r="B123" s="4">
        <f>17.6496 * CHOOSE(CONTROL!$C$13, $C$13, 100%, $E$13) + CHOOSE(CONTROL!$C$32, 0.0272, 0)</f>
        <v>17.6768</v>
      </c>
      <c r="C123" s="4">
        <f>17.2863 * CHOOSE(CONTROL!$C$13, $C$13, 100%, $E$13) + CHOOSE(CONTROL!$C$32, 0.0272, 0)</f>
        <v>17.313500000000001</v>
      </c>
      <c r="D123" s="4">
        <f>26.7479 * CHOOSE(CONTROL!$C$13, $C$13, 100%, $E$13) + CHOOSE(CONTROL!$C$32, 0.0021, 0)</f>
        <v>26.75</v>
      </c>
      <c r="E123" s="4">
        <f>111.393052997369 * CHOOSE(CONTROL!$C$13, $C$13, 100%, $E$13) + CHOOSE(CONTROL!$C$32, 0.0021, 0)</f>
        <v>111.395152997369</v>
      </c>
    </row>
    <row r="124" spans="1:5" ht="15">
      <c r="A124" s="13">
        <v>44896</v>
      </c>
      <c r="B124" s="4">
        <f>17.3853 * CHOOSE(CONTROL!$C$13, $C$13, 100%, $E$13) + CHOOSE(CONTROL!$C$32, 0.0272, 0)</f>
        <v>17.412500000000001</v>
      </c>
      <c r="C124" s="4">
        <f>17.022 * CHOOSE(CONTROL!$C$13, $C$13, 100%, $E$13) + CHOOSE(CONTROL!$C$32, 0.0272, 0)</f>
        <v>17.049199999999999</v>
      </c>
      <c r="D124" s="4">
        <f>25.8633 * CHOOSE(CONTROL!$C$13, $C$13, 100%, $E$13) + CHOOSE(CONTROL!$C$32, 0.0021, 0)</f>
        <v>25.865399999999998</v>
      </c>
      <c r="E124" s="4">
        <f>109.64848992856 * CHOOSE(CONTROL!$C$13, $C$13, 100%, $E$13) + CHOOSE(CONTROL!$C$32, 0.0021, 0)</f>
        <v>109.65058992856</v>
      </c>
    </row>
    <row r="125" spans="1:5" ht="15">
      <c r="A125" s="13">
        <v>44927</v>
      </c>
      <c r="B125" s="4">
        <f>17.1019 * CHOOSE(CONTROL!$C$13, $C$13, 100%, $E$13) + CHOOSE(CONTROL!$C$32, 0.0272, 0)</f>
        <v>17.129100000000001</v>
      </c>
      <c r="C125" s="4">
        <f>16.7387 * CHOOSE(CONTROL!$C$13, $C$13, 100%, $E$13) + CHOOSE(CONTROL!$C$32, 0.0272, 0)</f>
        <v>16.765900000000002</v>
      </c>
      <c r="D125" s="4">
        <f>25.4826 * CHOOSE(CONTROL!$C$13, $C$13, 100%, $E$13) + CHOOSE(CONTROL!$C$32, 0.0021, 0)</f>
        <v>25.4847</v>
      </c>
      <c r="E125" s="4">
        <f>107.51145128233 * CHOOSE(CONTROL!$C$13, $C$13, 100%, $E$13) + CHOOSE(CONTROL!$C$32, 0.0021, 0)</f>
        <v>107.51355128233</v>
      </c>
    </row>
    <row r="126" spans="1:5" ht="15">
      <c r="A126" s="13">
        <v>44958</v>
      </c>
      <c r="B126" s="4">
        <f>17.4896 * CHOOSE(CONTROL!$C$13, $C$13, 100%, $E$13) + CHOOSE(CONTROL!$C$32, 0.0272, 0)</f>
        <v>17.5168</v>
      </c>
      <c r="C126" s="4">
        <f>17.1264 * CHOOSE(CONTROL!$C$13, $C$13, 100%, $E$13) + CHOOSE(CONTROL!$C$32, 0.0272, 0)</f>
        <v>17.153600000000001</v>
      </c>
      <c r="D126" s="4">
        <f>26.3166 * CHOOSE(CONTROL!$C$13, $C$13, 100%, $E$13) + CHOOSE(CONTROL!$C$32, 0.0021, 0)</f>
        <v>26.3187</v>
      </c>
      <c r="E126" s="4">
        <f>110.064196828666 * CHOOSE(CONTROL!$C$13, $C$13, 100%, $E$13) + CHOOSE(CONTROL!$C$32, 0.0021, 0)</f>
        <v>110.066296828666</v>
      </c>
    </row>
    <row r="127" spans="1:5" ht="15">
      <c r="A127" s="13">
        <v>44986</v>
      </c>
      <c r="B127" s="4">
        <f>18.5078 * CHOOSE(CONTROL!$C$13, $C$13, 100%, $E$13) + CHOOSE(CONTROL!$C$32, 0.0272, 0)</f>
        <v>18.535</v>
      </c>
      <c r="C127" s="4">
        <f>18.1445 * CHOOSE(CONTROL!$C$13, $C$13, 100%, $E$13) + CHOOSE(CONTROL!$C$32, 0.0272, 0)</f>
        <v>18.171700000000001</v>
      </c>
      <c r="D127" s="4">
        <f>27.6222 * CHOOSE(CONTROL!$C$13, $C$13, 100%, $E$13) + CHOOSE(CONTROL!$C$32, 0.0021, 0)</f>
        <v>27.624299999999998</v>
      </c>
      <c r="E127" s="4">
        <f>116.767842294481 * CHOOSE(CONTROL!$C$13, $C$13, 100%, $E$13) + CHOOSE(CONTROL!$C$32, 0.0021, 0)</f>
        <v>116.769942294481</v>
      </c>
    </row>
    <row r="128" spans="1:5" ht="15">
      <c r="A128" s="13">
        <v>45017</v>
      </c>
      <c r="B128" s="4">
        <f>19.2312 * CHOOSE(CONTROL!$C$13, $C$13, 100%, $E$13) + CHOOSE(CONTROL!$C$32, 0.0272, 0)</f>
        <v>19.258400000000002</v>
      </c>
      <c r="C128" s="4">
        <f>18.8679 * CHOOSE(CONTROL!$C$13, $C$13, 100%, $E$13) + CHOOSE(CONTROL!$C$32, 0.0272, 0)</f>
        <v>18.895099999999999</v>
      </c>
      <c r="D128" s="4">
        <f>28.3743 * CHOOSE(CONTROL!$C$13, $C$13, 100%, $E$13) + CHOOSE(CONTROL!$C$32, 0.0021, 0)</f>
        <v>28.3764</v>
      </c>
      <c r="E128" s="4">
        <f>121.530871735765 * CHOOSE(CONTROL!$C$13, $C$13, 100%, $E$13) + CHOOSE(CONTROL!$C$32, 0.0021, 0)</f>
        <v>121.532971735765</v>
      </c>
    </row>
    <row r="129" spans="1:5" ht="15">
      <c r="A129" s="13">
        <v>45047</v>
      </c>
      <c r="B129" s="4">
        <f>19.6731 * CHOOSE(CONTROL!$C$13, $C$13, 100%, $E$13) + CHOOSE(CONTROL!$C$32, 0.0272, 0)</f>
        <v>19.700300000000002</v>
      </c>
      <c r="C129" s="4">
        <f>19.3099 * CHOOSE(CONTROL!$C$13, $C$13, 100%, $E$13) + CHOOSE(CONTROL!$C$32, 0.0272, 0)</f>
        <v>19.3371</v>
      </c>
      <c r="D129" s="4">
        <f>28.0771 * CHOOSE(CONTROL!$C$13, $C$13, 100%, $E$13) + CHOOSE(CONTROL!$C$32, 0.0021, 0)</f>
        <v>28.0792</v>
      </c>
      <c r="E129" s="4">
        <f>124.440968570506 * CHOOSE(CONTROL!$C$13, $C$13, 100%, $E$13) + CHOOSE(CONTROL!$C$32, 0.0021, 0)</f>
        <v>124.443068570506</v>
      </c>
    </row>
    <row r="130" spans="1:5" ht="15">
      <c r="A130" s="13">
        <v>45078</v>
      </c>
      <c r="B130" s="4">
        <f>19.7329 * CHOOSE(CONTROL!$C$13, $C$13, 100%, $E$13) + CHOOSE(CONTROL!$C$32, 0.0272, 0)</f>
        <v>19.760100000000001</v>
      </c>
      <c r="C130" s="4">
        <f>19.3697 * CHOOSE(CONTROL!$C$13, $C$13, 100%, $E$13) + CHOOSE(CONTROL!$C$32, 0.0272, 0)</f>
        <v>19.396900000000002</v>
      </c>
      <c r="D130" s="4">
        <f>28.3191 * CHOOSE(CONTROL!$C$13, $C$13, 100%, $E$13) + CHOOSE(CONTROL!$C$32, 0.0021, 0)</f>
        <v>28.321199999999997</v>
      </c>
      <c r="E130" s="4">
        <f>124.834716749396 * CHOOSE(CONTROL!$C$13, $C$13, 100%, $E$13) + CHOOSE(CONTROL!$C$32, 0.0021, 0)</f>
        <v>124.83681674939599</v>
      </c>
    </row>
    <row r="131" spans="1:5" ht="15">
      <c r="A131" s="13">
        <v>45108</v>
      </c>
      <c r="B131" s="4">
        <f>19.7269 * CHOOSE(CONTROL!$C$13, $C$13, 100%, $E$13) + CHOOSE(CONTROL!$C$32, 0.0272, 0)</f>
        <v>19.754100000000001</v>
      </c>
      <c r="C131" s="4">
        <f>19.3636 * CHOOSE(CONTROL!$C$13, $C$13, 100%, $E$13) + CHOOSE(CONTROL!$C$32, 0.0272, 0)</f>
        <v>19.390800000000002</v>
      </c>
      <c r="D131" s="4">
        <f>28.7558 * CHOOSE(CONTROL!$C$13, $C$13, 100%, $E$13) + CHOOSE(CONTROL!$C$32, 0.0021, 0)</f>
        <v>28.757899999999999</v>
      </c>
      <c r="E131" s="4">
        <f>124.795011050685 * CHOOSE(CONTROL!$C$13, $C$13, 100%, $E$13) + CHOOSE(CONTROL!$C$32, 0.0021, 0)</f>
        <v>124.797111050685</v>
      </c>
    </row>
    <row r="132" spans="1:5" ht="15">
      <c r="A132" s="13">
        <v>45139</v>
      </c>
      <c r="B132" s="4">
        <f>20.1807 * CHOOSE(CONTROL!$C$13, $C$13, 100%, $E$13) + CHOOSE(CONTROL!$C$32, 0.0272, 0)</f>
        <v>20.207900000000002</v>
      </c>
      <c r="C132" s="4">
        <f>19.8174 * CHOOSE(CONTROL!$C$13, $C$13, 100%, $E$13) + CHOOSE(CONTROL!$C$32, 0.0272, 0)</f>
        <v>19.8446</v>
      </c>
      <c r="D132" s="4">
        <f>28.4674 * CHOOSE(CONTROL!$C$13, $C$13, 100%, $E$13) + CHOOSE(CONTROL!$C$32, 0.0021, 0)</f>
        <v>28.4695</v>
      </c>
      <c r="E132" s="4">
        <f>127.782864878735 * CHOOSE(CONTROL!$C$13, $C$13, 100%, $E$13) + CHOOSE(CONTROL!$C$32, 0.0021, 0)</f>
        <v>127.784964878735</v>
      </c>
    </row>
    <row r="133" spans="1:5" ht="15">
      <c r="A133" s="13">
        <v>45170</v>
      </c>
      <c r="B133" s="4">
        <f>19.4073 * CHOOSE(CONTROL!$C$13, $C$13, 100%, $E$13) + CHOOSE(CONTROL!$C$32, 0.0272, 0)</f>
        <v>19.4345</v>
      </c>
      <c r="C133" s="4">
        <f>19.044 * CHOOSE(CONTROL!$C$13, $C$13, 100%, $E$13) + CHOOSE(CONTROL!$C$32, 0.0272, 0)</f>
        <v>19.071200000000001</v>
      </c>
      <c r="D133" s="4">
        <f>28.3311 * CHOOSE(CONTROL!$C$13, $C$13, 100%, $E$13) + CHOOSE(CONTROL!$C$32, 0.0021, 0)</f>
        <v>28.333199999999998</v>
      </c>
      <c r="E133" s="4">
        <f>122.690609018968 * CHOOSE(CONTROL!$C$13, $C$13, 100%, $E$13) + CHOOSE(CONTROL!$C$32, 0.0021, 0)</f>
        <v>122.692709018968</v>
      </c>
    </row>
    <row r="134" spans="1:5" ht="15">
      <c r="A134" s="13">
        <v>45200</v>
      </c>
      <c r="B134" s="4">
        <f>18.7882 * CHOOSE(CONTROL!$C$13, $C$13, 100%, $E$13) + CHOOSE(CONTROL!$C$32, 0.0272, 0)</f>
        <v>18.8154</v>
      </c>
      <c r="C134" s="4">
        <f>18.4249 * CHOOSE(CONTROL!$C$13, $C$13, 100%, $E$13) + CHOOSE(CONTROL!$C$32, 0.0272, 0)</f>
        <v>18.452100000000002</v>
      </c>
      <c r="D134" s="4">
        <f>27.9663 * CHOOSE(CONTROL!$C$13, $C$13, 100%, $E$13) + CHOOSE(CONTROL!$C$32, 0.0021, 0)</f>
        <v>27.968399999999999</v>
      </c>
      <c r="E134" s="4">
        <f>118.614157284573 * CHOOSE(CONTROL!$C$13, $C$13, 100%, $E$13) + CHOOSE(CONTROL!$C$32, 0.0021, 0)</f>
        <v>118.616257284573</v>
      </c>
    </row>
    <row r="135" spans="1:5" ht="15">
      <c r="A135" s="13">
        <v>45231</v>
      </c>
      <c r="B135" s="4">
        <f>18.3894 * CHOOSE(CONTROL!$C$13, $C$13, 100%, $E$13) + CHOOSE(CONTROL!$C$32, 0.0272, 0)</f>
        <v>18.416599999999999</v>
      </c>
      <c r="C135" s="4">
        <f>18.0261 * CHOOSE(CONTROL!$C$13, $C$13, 100%, $E$13) + CHOOSE(CONTROL!$C$32, 0.0272, 0)</f>
        <v>18.0533</v>
      </c>
      <c r="D135" s="4">
        <f>27.8409 * CHOOSE(CONTROL!$C$13, $C$13, 100%, $E$13) + CHOOSE(CONTROL!$C$32, 0.0021, 0)</f>
        <v>27.843</v>
      </c>
      <c r="E135" s="4">
        <f>115.988617957265 * CHOOSE(CONTROL!$C$13, $C$13, 100%, $E$13) + CHOOSE(CONTROL!$C$32, 0.0021, 0)</f>
        <v>115.99071795726501</v>
      </c>
    </row>
    <row r="136" spans="1:5" ht="15">
      <c r="A136" s="13">
        <v>45261</v>
      </c>
      <c r="B136" s="4">
        <f>18.1135 * CHOOSE(CONTROL!$C$13, $C$13, 100%, $E$13) + CHOOSE(CONTROL!$C$32, 0.0272, 0)</f>
        <v>18.140699999999999</v>
      </c>
      <c r="C136" s="4">
        <f>17.7503 * CHOOSE(CONTROL!$C$13, $C$13, 100%, $E$13) + CHOOSE(CONTROL!$C$32, 0.0272, 0)</f>
        <v>17.7775</v>
      </c>
      <c r="D136" s="4">
        <f>26.9174 * CHOOSE(CONTROL!$C$13, $C$13, 100%, $E$13) + CHOOSE(CONTROL!$C$32, 0.0021, 0)</f>
        <v>26.919499999999999</v>
      </c>
      <c r="E136" s="4">
        <f>114.172082241208 * CHOOSE(CONTROL!$C$13, $C$13, 100%, $E$13) + CHOOSE(CONTROL!$C$32, 0.0021, 0)</f>
        <v>114.174182241208</v>
      </c>
    </row>
    <row r="137" spans="1:5" ht="15">
      <c r="A137" s="13">
        <v>45292</v>
      </c>
      <c r="B137" s="4">
        <f>17.8561 * CHOOSE(CONTROL!$C$13, $C$13, 100%, $E$13) + CHOOSE(CONTROL!$C$32, 0.0272, 0)</f>
        <v>17.883300000000002</v>
      </c>
      <c r="C137" s="4">
        <f>17.4928 * CHOOSE(CONTROL!$C$13, $C$13, 100%, $E$13) + CHOOSE(CONTROL!$C$32, 0.0272, 0)</f>
        <v>17.52</v>
      </c>
      <c r="D137" s="4">
        <f>26.4269 * CHOOSE(CONTROL!$C$13, $C$13, 100%, $E$13) + CHOOSE(CONTROL!$C$32, 0.0021, 0)</f>
        <v>26.428999999999998</v>
      </c>
      <c r="E137" s="4">
        <f>111.946592218064 * CHOOSE(CONTROL!$C$13, $C$13, 100%, $E$13) + CHOOSE(CONTROL!$C$32, 0.0021, 0)</f>
        <v>111.948692218064</v>
      </c>
    </row>
    <row r="138" spans="1:5" ht="15">
      <c r="A138" s="13">
        <v>45323</v>
      </c>
      <c r="B138" s="4">
        <f>18.2617 * CHOOSE(CONTROL!$C$13, $C$13, 100%, $E$13) + CHOOSE(CONTROL!$C$32, 0.0272, 0)</f>
        <v>18.288900000000002</v>
      </c>
      <c r="C138" s="4">
        <f>17.8984 * CHOOSE(CONTROL!$C$13, $C$13, 100%, $E$13) + CHOOSE(CONTROL!$C$32, 0.0272, 0)</f>
        <v>17.925599999999999</v>
      </c>
      <c r="D138" s="4">
        <f>27.2942 * CHOOSE(CONTROL!$C$13, $C$13, 100%, $E$13) + CHOOSE(CONTROL!$C$32, 0.0021, 0)</f>
        <v>27.296299999999999</v>
      </c>
      <c r="E138" s="4">
        <f>114.604645488703 * CHOOSE(CONTROL!$C$13, $C$13, 100%, $E$13) + CHOOSE(CONTROL!$C$32, 0.0021, 0)</f>
        <v>114.606745488703</v>
      </c>
    </row>
    <row r="139" spans="1:5" ht="15">
      <c r="A139" s="13">
        <v>45352</v>
      </c>
      <c r="B139" s="4">
        <f>19.3268 * CHOOSE(CONTROL!$C$13, $C$13, 100%, $E$13) + CHOOSE(CONTROL!$C$32, 0.0272, 0)</f>
        <v>19.353999999999999</v>
      </c>
      <c r="C139" s="4">
        <f>18.9635 * CHOOSE(CONTROL!$C$13, $C$13, 100%, $E$13) + CHOOSE(CONTROL!$C$32, 0.0272, 0)</f>
        <v>18.9907</v>
      </c>
      <c r="D139" s="4">
        <f>28.652 * CHOOSE(CONTROL!$C$13, $C$13, 100%, $E$13) + CHOOSE(CONTROL!$C$32, 0.0021, 0)</f>
        <v>28.6541</v>
      </c>
      <c r="E139" s="4">
        <f>121.584834634931 * CHOOSE(CONTROL!$C$13, $C$13, 100%, $E$13) + CHOOSE(CONTROL!$C$32, 0.0021, 0)</f>
        <v>121.586934634931</v>
      </c>
    </row>
    <row r="140" spans="1:5" ht="15">
      <c r="A140" s="13">
        <v>45383</v>
      </c>
      <c r="B140" s="4">
        <f>20.0836 * CHOOSE(CONTROL!$C$13, $C$13, 100%, $E$13) + CHOOSE(CONTROL!$C$32, 0.0272, 0)</f>
        <v>20.110800000000001</v>
      </c>
      <c r="C140" s="4">
        <f>19.7203 * CHOOSE(CONTROL!$C$13, $C$13, 100%, $E$13) + CHOOSE(CONTROL!$C$32, 0.0272, 0)</f>
        <v>19.747500000000002</v>
      </c>
      <c r="D140" s="4">
        <f>29.4341 * CHOOSE(CONTROL!$C$13, $C$13, 100%, $E$13) + CHOOSE(CONTROL!$C$32, 0.0021, 0)</f>
        <v>29.436199999999999</v>
      </c>
      <c r="E140" s="4">
        <f>126.544352046577 * CHOOSE(CONTROL!$C$13, $C$13, 100%, $E$13) + CHOOSE(CONTROL!$C$32, 0.0021, 0)</f>
        <v>126.546452046577</v>
      </c>
    </row>
    <row r="141" spans="1:5" ht="15">
      <c r="A141" s="13">
        <v>45413</v>
      </c>
      <c r="B141" s="4">
        <f>20.546 * CHOOSE(CONTROL!$C$13, $C$13, 100%, $E$13) + CHOOSE(CONTROL!$C$32, 0.0272, 0)</f>
        <v>20.5732</v>
      </c>
      <c r="C141" s="4">
        <f>20.1827 * CHOOSE(CONTROL!$C$13, $C$13, 100%, $E$13) + CHOOSE(CONTROL!$C$32, 0.0272, 0)</f>
        <v>20.209900000000001</v>
      </c>
      <c r="D141" s="4">
        <f>29.125 * CHOOSE(CONTROL!$C$13, $C$13, 100%, $E$13) + CHOOSE(CONTROL!$C$32, 0.0021, 0)</f>
        <v>29.127099999999999</v>
      </c>
      <c r="E141" s="4">
        <f>129.574498322049 * CHOOSE(CONTROL!$C$13, $C$13, 100%, $E$13) + CHOOSE(CONTROL!$C$32, 0.0021, 0)</f>
        <v>129.57659832204902</v>
      </c>
    </row>
    <row r="142" spans="1:5" ht="15">
      <c r="A142" s="13">
        <v>45444</v>
      </c>
      <c r="B142" s="4">
        <f>20.6086 * CHOOSE(CONTROL!$C$13, $C$13, 100%, $E$13) + CHOOSE(CONTROL!$C$32, 0.0272, 0)</f>
        <v>20.6358</v>
      </c>
      <c r="C142" s="4">
        <f>20.2453 * CHOOSE(CONTROL!$C$13, $C$13, 100%, $E$13) + CHOOSE(CONTROL!$C$32, 0.0272, 0)</f>
        <v>20.272500000000001</v>
      </c>
      <c r="D142" s="4">
        <f>29.3767 * CHOOSE(CONTROL!$C$13, $C$13, 100%, $E$13) + CHOOSE(CONTROL!$C$32, 0.0021, 0)</f>
        <v>29.378799999999998</v>
      </c>
      <c r="E142" s="4">
        <f>129.984489688486 * CHOOSE(CONTROL!$C$13, $C$13, 100%, $E$13) + CHOOSE(CONTROL!$C$32, 0.0021, 0)</f>
        <v>129.98658968848602</v>
      </c>
    </row>
    <row r="143" spans="1:5" ht="15">
      <c r="A143" s="13">
        <v>45474</v>
      </c>
      <c r="B143" s="4">
        <f>20.6023 * CHOOSE(CONTROL!$C$13, $C$13, 100%, $E$13) + CHOOSE(CONTROL!$C$32, 0.0272, 0)</f>
        <v>20.6295</v>
      </c>
      <c r="C143" s="4">
        <f>20.239 * CHOOSE(CONTROL!$C$13, $C$13, 100%, $E$13) + CHOOSE(CONTROL!$C$32, 0.0272, 0)</f>
        <v>20.266200000000001</v>
      </c>
      <c r="D143" s="4">
        <f>29.8309 * CHOOSE(CONTROL!$C$13, $C$13, 100%, $E$13) + CHOOSE(CONTROL!$C$32, 0.0021, 0)</f>
        <v>29.832999999999998</v>
      </c>
      <c r="E143" s="4">
        <f>129.943146021282 * CHOOSE(CONTROL!$C$13, $C$13, 100%, $E$13) + CHOOSE(CONTROL!$C$32, 0.0021, 0)</f>
        <v>129.945246021282</v>
      </c>
    </row>
    <row r="144" spans="1:5" ht="15">
      <c r="A144" s="13">
        <v>45505</v>
      </c>
      <c r="B144" s="4">
        <f>21.077 * CHOOSE(CONTROL!$C$13, $C$13, 100%, $E$13) + CHOOSE(CONTROL!$C$32, 0.0272, 0)</f>
        <v>21.104200000000002</v>
      </c>
      <c r="C144" s="4">
        <f>20.7137 * CHOOSE(CONTROL!$C$13, $C$13, 100%, $E$13) + CHOOSE(CONTROL!$C$32, 0.0272, 0)</f>
        <v>20.7409</v>
      </c>
      <c r="D144" s="4">
        <f>29.531 * CHOOSE(CONTROL!$C$13, $C$13, 100%, $E$13) + CHOOSE(CONTROL!$C$32, 0.0021, 0)</f>
        <v>29.533099999999997</v>
      </c>
      <c r="E144" s="4">
        <f>133.054256978362 * CHOOSE(CONTROL!$C$13, $C$13, 100%, $E$13) + CHOOSE(CONTROL!$C$32, 0.0021, 0)</f>
        <v>133.056356978362</v>
      </c>
    </row>
    <row r="145" spans="1:5" ht="15">
      <c r="A145" s="13">
        <v>45536</v>
      </c>
      <c r="B145" s="4">
        <f>20.2679 * CHOOSE(CONTROL!$C$13, $C$13, 100%, $E$13) + CHOOSE(CONTROL!$C$32, 0.0272, 0)</f>
        <v>20.295100000000001</v>
      </c>
      <c r="C145" s="4">
        <f>19.9046 * CHOOSE(CONTROL!$C$13, $C$13, 100%, $E$13) + CHOOSE(CONTROL!$C$32, 0.0272, 0)</f>
        <v>19.931799999999999</v>
      </c>
      <c r="D145" s="4">
        <f>29.3893 * CHOOSE(CONTROL!$C$13, $C$13, 100%, $E$13) + CHOOSE(CONTROL!$C$32, 0.0021, 0)</f>
        <v>29.391399999999997</v>
      </c>
      <c r="E145" s="4">
        <f>127.751931659485 * CHOOSE(CONTROL!$C$13, $C$13, 100%, $E$13) + CHOOSE(CONTROL!$C$32, 0.0021, 0)</f>
        <v>127.75403165948499</v>
      </c>
    </row>
    <row r="146" spans="1:5" ht="15">
      <c r="A146" s="13">
        <v>45566</v>
      </c>
      <c r="B146" s="4">
        <f>19.6202 * CHOOSE(CONTROL!$C$13, $C$13, 100%, $E$13) + CHOOSE(CONTROL!$C$32, 0.0272, 0)</f>
        <v>19.647400000000001</v>
      </c>
      <c r="C146" s="4">
        <f>19.2569 * CHOOSE(CONTROL!$C$13, $C$13, 100%, $E$13) + CHOOSE(CONTROL!$C$32, 0.0272, 0)</f>
        <v>19.284100000000002</v>
      </c>
      <c r="D146" s="4">
        <f>29.0098 * CHOOSE(CONTROL!$C$13, $C$13, 100%, $E$13) + CHOOSE(CONTROL!$C$32, 0.0021, 0)</f>
        <v>29.011899999999997</v>
      </c>
      <c r="E146" s="4">
        <f>123.507315159904 * CHOOSE(CONTROL!$C$13, $C$13, 100%, $E$13) + CHOOSE(CONTROL!$C$32, 0.0021, 0)</f>
        <v>123.50941515990399</v>
      </c>
    </row>
    <row r="147" spans="1:5" ht="15">
      <c r="A147" s="13">
        <v>45597</v>
      </c>
      <c r="B147" s="4">
        <f>19.203 * CHOOSE(CONTROL!$C$13, $C$13, 100%, $E$13) + CHOOSE(CONTROL!$C$32, 0.0272, 0)</f>
        <v>19.2302</v>
      </c>
      <c r="C147" s="4">
        <f>18.8397 * CHOOSE(CONTROL!$C$13, $C$13, 100%, $E$13) + CHOOSE(CONTROL!$C$32, 0.0272, 0)</f>
        <v>18.866900000000001</v>
      </c>
      <c r="D147" s="4">
        <f>28.8794 * CHOOSE(CONTROL!$C$13, $C$13, 100%, $E$13) + CHOOSE(CONTROL!$C$32, 0.0021, 0)</f>
        <v>28.881499999999999</v>
      </c>
      <c r="E147" s="4">
        <f>120.773465166058 * CHOOSE(CONTROL!$C$13, $C$13, 100%, $E$13) + CHOOSE(CONTROL!$C$32, 0.0021, 0)</f>
        <v>120.775565166058</v>
      </c>
    </row>
    <row r="148" spans="1:5" ht="15">
      <c r="A148" s="13">
        <v>45627</v>
      </c>
      <c r="B148" s="4">
        <f>18.9144 * CHOOSE(CONTROL!$C$13, $C$13, 100%, $E$13) + CHOOSE(CONTROL!$C$32, 0.0272, 0)</f>
        <v>18.941600000000001</v>
      </c>
      <c r="C148" s="4">
        <f>18.5511 * CHOOSE(CONTROL!$C$13, $C$13, 100%, $E$13) + CHOOSE(CONTROL!$C$32, 0.0272, 0)</f>
        <v>18.578300000000002</v>
      </c>
      <c r="D148" s="4">
        <f>27.919 * CHOOSE(CONTROL!$C$13, $C$13, 100%, $E$13) + CHOOSE(CONTROL!$C$32, 0.0021, 0)</f>
        <v>27.921099999999999</v>
      </c>
      <c r="E148" s="4">
        <f>118.881992391488 * CHOOSE(CONTROL!$C$13, $C$13, 100%, $E$13) + CHOOSE(CONTROL!$C$32, 0.0021, 0)</f>
        <v>118.884092391488</v>
      </c>
    </row>
    <row r="149" spans="1:5" ht="15">
      <c r="A149" s="13">
        <v>45658</v>
      </c>
      <c r="B149" s="4">
        <f>18.7271 * CHOOSE(CONTROL!$C$13, $C$13, 100%, $E$13) + CHOOSE(CONTROL!$C$32, 0.0272, 0)</f>
        <v>18.754300000000001</v>
      </c>
      <c r="C149" s="4">
        <f>18.3638 * CHOOSE(CONTROL!$C$13, $C$13, 100%, $E$13) + CHOOSE(CONTROL!$C$32, 0.0272, 0)</f>
        <v>18.391000000000002</v>
      </c>
      <c r="D149" s="4">
        <f>27.326 * CHOOSE(CONTROL!$C$13, $C$13, 100%, $E$13) + CHOOSE(CONTROL!$C$32, 0.0021, 0)</f>
        <v>27.328099999999999</v>
      </c>
      <c r="E149" s="4">
        <f>116.5461483834 * CHOOSE(CONTROL!$C$13, $C$13, 100%, $E$13) + CHOOSE(CONTROL!$C$32, 0.0021, 0)</f>
        <v>116.54824838339999</v>
      </c>
    </row>
    <row r="150" spans="1:5" ht="15">
      <c r="A150" s="13">
        <v>45689</v>
      </c>
      <c r="B150" s="4">
        <f>19.1534 * CHOOSE(CONTROL!$C$13, $C$13, 100%, $E$13) + CHOOSE(CONTROL!$C$32, 0.0272, 0)</f>
        <v>19.180600000000002</v>
      </c>
      <c r="C150" s="4">
        <f>18.7901 * CHOOSE(CONTROL!$C$13, $C$13, 100%, $E$13) + CHOOSE(CONTROL!$C$32, 0.0272, 0)</f>
        <v>18.817299999999999</v>
      </c>
      <c r="D150" s="4">
        <f>28.2251 * CHOOSE(CONTROL!$C$13, $C$13, 100%, $E$13) + CHOOSE(CONTROL!$C$32, 0.0021, 0)</f>
        <v>28.2272</v>
      </c>
      <c r="E150" s="4">
        <f>119.313413243839 * CHOOSE(CONTROL!$C$13, $C$13, 100%, $E$13) + CHOOSE(CONTROL!$C$32, 0.0021, 0)</f>
        <v>119.31551324383899</v>
      </c>
    </row>
    <row r="151" spans="1:5" ht="15">
      <c r="A151" s="13">
        <v>45717</v>
      </c>
      <c r="B151" s="4">
        <f>20.2728 * CHOOSE(CONTROL!$C$13, $C$13, 100%, $E$13) + CHOOSE(CONTROL!$C$32, 0.0272, 0)</f>
        <v>20.3</v>
      </c>
      <c r="C151" s="4">
        <f>19.9095 * CHOOSE(CONTROL!$C$13, $C$13, 100%, $E$13) + CHOOSE(CONTROL!$C$32, 0.0272, 0)</f>
        <v>19.936700000000002</v>
      </c>
      <c r="D151" s="4">
        <f>29.6326 * CHOOSE(CONTROL!$C$13, $C$13, 100%, $E$13) + CHOOSE(CONTROL!$C$32, 0.0021, 0)</f>
        <v>29.634699999999999</v>
      </c>
      <c r="E151" s="4">
        <f>126.580397828736 * CHOOSE(CONTROL!$C$13, $C$13, 100%, $E$13) + CHOOSE(CONTROL!$C$32, 0.0021, 0)</f>
        <v>126.582497828736</v>
      </c>
    </row>
    <row r="152" spans="1:5" ht="15">
      <c r="A152" s="13">
        <v>45748</v>
      </c>
      <c r="B152" s="4">
        <f>21.0682 * CHOOSE(CONTROL!$C$13, $C$13, 100%, $E$13) + CHOOSE(CONTROL!$C$32, 0.0272, 0)</f>
        <v>21.095400000000001</v>
      </c>
      <c r="C152" s="4">
        <f>20.7049 * CHOOSE(CONTROL!$C$13, $C$13, 100%, $E$13) + CHOOSE(CONTROL!$C$32, 0.0272, 0)</f>
        <v>20.732099999999999</v>
      </c>
      <c r="D152" s="4">
        <f>30.4433 * CHOOSE(CONTROL!$C$13, $C$13, 100%, $E$13) + CHOOSE(CONTROL!$C$32, 0.0021, 0)</f>
        <v>30.445399999999999</v>
      </c>
      <c r="E152" s="4">
        <f>131.743687221608 * CHOOSE(CONTROL!$C$13, $C$13, 100%, $E$13) + CHOOSE(CONTROL!$C$32, 0.0021, 0)</f>
        <v>131.74578722160803</v>
      </c>
    </row>
    <row r="153" spans="1:5" ht="15">
      <c r="A153" s="13">
        <v>45778</v>
      </c>
      <c r="B153" s="4">
        <f>21.5542 * CHOOSE(CONTROL!$C$13, $C$13, 100%, $E$13) + CHOOSE(CONTROL!$C$32, 0.0272, 0)</f>
        <v>21.581400000000002</v>
      </c>
      <c r="C153" s="4">
        <f>21.1909 * CHOOSE(CONTROL!$C$13, $C$13, 100%, $E$13) + CHOOSE(CONTROL!$C$32, 0.0272, 0)</f>
        <v>21.2181</v>
      </c>
      <c r="D153" s="4">
        <f>30.1229 * CHOOSE(CONTROL!$C$13, $C$13, 100%, $E$13) + CHOOSE(CONTROL!$C$32, 0.0021, 0)</f>
        <v>30.125</v>
      </c>
      <c r="E153" s="4">
        <f>134.898333293877 * CHOOSE(CONTROL!$C$13, $C$13, 100%, $E$13) + CHOOSE(CONTROL!$C$32, 0.0021, 0)</f>
        <v>134.900433293877</v>
      </c>
    </row>
    <row r="154" spans="1:5" ht="15">
      <c r="A154" s="13">
        <v>45809</v>
      </c>
      <c r="B154" s="4">
        <f>21.6199 * CHOOSE(CONTROL!$C$13, $C$13, 100%, $E$13) + CHOOSE(CONTROL!$C$32, 0.0272, 0)</f>
        <v>21.647100000000002</v>
      </c>
      <c r="C154" s="4">
        <f>21.2566 * CHOOSE(CONTROL!$C$13, $C$13, 100%, $E$13) + CHOOSE(CONTROL!$C$32, 0.0272, 0)</f>
        <v>21.283799999999999</v>
      </c>
      <c r="D154" s="4">
        <f>30.3838 * CHOOSE(CONTROL!$C$13, $C$13, 100%, $E$13) + CHOOSE(CONTROL!$C$32, 0.0021, 0)</f>
        <v>30.385899999999999</v>
      </c>
      <c r="E154" s="4">
        <f>135.325169999505 * CHOOSE(CONTROL!$C$13, $C$13, 100%, $E$13) + CHOOSE(CONTROL!$C$32, 0.0021, 0)</f>
        <v>135.32726999950501</v>
      </c>
    </row>
    <row r="155" spans="1:5" ht="15">
      <c r="A155" s="13">
        <v>45839</v>
      </c>
      <c r="B155" s="4">
        <f>21.6133 * CHOOSE(CONTROL!$C$13, $C$13, 100%, $E$13) + CHOOSE(CONTROL!$C$32, 0.0272, 0)</f>
        <v>21.640499999999999</v>
      </c>
      <c r="C155" s="4">
        <f>21.25 * CHOOSE(CONTROL!$C$13, $C$13, 100%, $E$13) + CHOOSE(CONTROL!$C$32, 0.0272, 0)</f>
        <v>21.277200000000001</v>
      </c>
      <c r="D155" s="4">
        <f>30.8546 * CHOOSE(CONTROL!$C$13, $C$13, 100%, $E$13) + CHOOSE(CONTROL!$C$32, 0.0021, 0)</f>
        <v>30.8567</v>
      </c>
      <c r="E155" s="4">
        <f>135.282127642635 * CHOOSE(CONTROL!$C$13, $C$13, 100%, $E$13) + CHOOSE(CONTROL!$C$32, 0.0021, 0)</f>
        <v>135.28422764263502</v>
      </c>
    </row>
    <row r="156" spans="1:5" ht="15">
      <c r="A156" s="13">
        <v>45870</v>
      </c>
      <c r="B156" s="4">
        <f>22.1122 * CHOOSE(CONTROL!$C$13, $C$13, 100%, $E$13) + CHOOSE(CONTROL!$C$32, 0.0272, 0)</f>
        <v>22.139400000000002</v>
      </c>
      <c r="C156" s="4">
        <f>21.749 * CHOOSE(CONTROL!$C$13, $C$13, 100%, $E$13) + CHOOSE(CONTROL!$C$32, 0.0272, 0)</f>
        <v>21.776199999999999</v>
      </c>
      <c r="D156" s="4">
        <f>30.5437 * CHOOSE(CONTROL!$C$13, $C$13, 100%, $E$13) + CHOOSE(CONTROL!$C$32, 0.0021, 0)</f>
        <v>30.5458</v>
      </c>
      <c r="E156" s="4">
        <f>138.521064997108 * CHOOSE(CONTROL!$C$13, $C$13, 100%, $E$13) + CHOOSE(CONTROL!$C$32, 0.0021, 0)</f>
        <v>138.52316499710801</v>
      </c>
    </row>
    <row r="157" spans="1:5" ht="15">
      <c r="A157" s="13">
        <v>45901</v>
      </c>
      <c r="B157" s="4">
        <f>21.2619 * CHOOSE(CONTROL!$C$13, $C$13, 100%, $E$13) + CHOOSE(CONTROL!$C$32, 0.0272, 0)</f>
        <v>21.289100000000001</v>
      </c>
      <c r="C157" s="4">
        <f>20.8986 * CHOOSE(CONTROL!$C$13, $C$13, 100%, $E$13) + CHOOSE(CONTROL!$C$32, 0.0272, 0)</f>
        <v>20.925799999999999</v>
      </c>
      <c r="D157" s="4">
        <f>30.3968 * CHOOSE(CONTROL!$C$13, $C$13, 100%, $E$13) + CHOOSE(CONTROL!$C$32, 0.0021, 0)</f>
        <v>30.398899999999998</v>
      </c>
      <c r="E157" s="4">
        <f>133.000882728521 * CHOOSE(CONTROL!$C$13, $C$13, 100%, $E$13) + CHOOSE(CONTROL!$C$32, 0.0021, 0)</f>
        <v>133.002982728521</v>
      </c>
    </row>
    <row r="158" spans="1:5" ht="15">
      <c r="A158" s="13">
        <v>45931</v>
      </c>
      <c r="B158" s="4">
        <f>20.5811 * CHOOSE(CONTROL!$C$13, $C$13, 100%, $E$13) + CHOOSE(CONTROL!$C$32, 0.0272, 0)</f>
        <v>20.6083</v>
      </c>
      <c r="C158" s="4">
        <f>20.2179 * CHOOSE(CONTROL!$C$13, $C$13, 100%, $E$13) + CHOOSE(CONTROL!$C$32, 0.0272, 0)</f>
        <v>20.245100000000001</v>
      </c>
      <c r="D158" s="4">
        <f>30.0035 * CHOOSE(CONTROL!$C$13, $C$13, 100%, $E$13) + CHOOSE(CONTROL!$C$32, 0.0021, 0)</f>
        <v>30.005599999999998</v>
      </c>
      <c r="E158" s="4">
        <f>128.581867423194 * CHOOSE(CONTROL!$C$13, $C$13, 100%, $E$13) + CHOOSE(CONTROL!$C$32, 0.0021, 0)</f>
        <v>128.58396742319403</v>
      </c>
    </row>
    <row r="159" spans="1:5" ht="15">
      <c r="A159" s="13">
        <v>45962</v>
      </c>
      <c r="B159" s="4">
        <f>20.1427 * CHOOSE(CONTROL!$C$13, $C$13, 100%, $E$13) + CHOOSE(CONTROL!$C$32, 0.0272, 0)</f>
        <v>20.169900000000002</v>
      </c>
      <c r="C159" s="4">
        <f>19.7794 * CHOOSE(CONTROL!$C$13, $C$13, 100%, $E$13) + CHOOSE(CONTROL!$C$32, 0.0272, 0)</f>
        <v>19.8066</v>
      </c>
      <c r="D159" s="4">
        <f>29.8683 * CHOOSE(CONTROL!$C$13, $C$13, 100%, $E$13) + CHOOSE(CONTROL!$C$32, 0.0021, 0)</f>
        <v>29.8704</v>
      </c>
      <c r="E159" s="4">
        <f>125.73569157516 * CHOOSE(CONTROL!$C$13, $C$13, 100%, $E$13) + CHOOSE(CONTROL!$C$32, 0.0021, 0)</f>
        <v>125.73779157516</v>
      </c>
    </row>
    <row r="160" spans="1:5" ht="15">
      <c r="A160" s="13">
        <v>45992</v>
      </c>
      <c r="B160" s="4">
        <f>19.8393 * CHOOSE(CONTROL!$C$13, $C$13, 100%, $E$13) + CHOOSE(CONTROL!$C$32, 0.0272, 0)</f>
        <v>19.866500000000002</v>
      </c>
      <c r="C160" s="4">
        <f>19.4761 * CHOOSE(CONTROL!$C$13, $C$13, 100%, $E$13) + CHOOSE(CONTROL!$C$32, 0.0272, 0)</f>
        <v>19.503299999999999</v>
      </c>
      <c r="D160" s="4">
        <f>28.8728 * CHOOSE(CONTROL!$C$13, $C$13, 100%, $E$13) + CHOOSE(CONTROL!$C$32, 0.0021, 0)</f>
        <v>28.8749</v>
      </c>
      <c r="E160" s="4">
        <f>123.766503748355 * CHOOSE(CONTROL!$C$13, $C$13, 100%, $E$13) + CHOOSE(CONTROL!$C$32, 0.0021, 0)</f>
        <v>123.76860374835501</v>
      </c>
    </row>
    <row r="161" spans="1:5" ht="15">
      <c r="A161" s="13">
        <v>46023</v>
      </c>
      <c r="B161" s="4">
        <f>19.4585 * CHOOSE(CONTROL!$C$13, $C$13, 100%, $E$13) + CHOOSE(CONTROL!$C$32, 0.0272, 0)</f>
        <v>19.485700000000001</v>
      </c>
      <c r="C161" s="4">
        <f>19.0952 * CHOOSE(CONTROL!$C$13, $C$13, 100%, $E$13) + CHOOSE(CONTROL!$C$32, 0.0272, 0)</f>
        <v>19.122399999999999</v>
      </c>
      <c r="D161" s="4">
        <f>28.335 * CHOOSE(CONTROL!$C$13, $C$13, 100%, $E$13) + CHOOSE(CONTROL!$C$32, 0.0021, 0)</f>
        <v>28.3371</v>
      </c>
      <c r="E161" s="4">
        <f>121.353494599936 * CHOOSE(CONTROL!$C$13, $C$13, 100%, $E$13) + CHOOSE(CONTROL!$C$32, 0.0021, 0)</f>
        <v>121.355594599936</v>
      </c>
    </row>
    <row r="162" spans="1:5" ht="15">
      <c r="A162" s="13">
        <v>46054</v>
      </c>
      <c r="B162" s="4">
        <f>19.9021 * CHOOSE(CONTROL!$C$13, $C$13, 100%, $E$13) + CHOOSE(CONTROL!$C$32, 0.0272, 0)</f>
        <v>19.929300000000001</v>
      </c>
      <c r="C162" s="4">
        <f>19.5388 * CHOOSE(CONTROL!$C$13, $C$13, 100%, $E$13) + CHOOSE(CONTROL!$C$32, 0.0272, 0)</f>
        <v>19.565999999999999</v>
      </c>
      <c r="D162" s="4">
        <f>29.2696 * CHOOSE(CONTROL!$C$13, $C$13, 100%, $E$13) + CHOOSE(CONTROL!$C$32, 0.0021, 0)</f>
        <v>29.271699999999999</v>
      </c>
      <c r="E162" s="4">
        <f>124.234904804871 * CHOOSE(CONTROL!$C$13, $C$13, 100%, $E$13) + CHOOSE(CONTROL!$C$32, 0.0021, 0)</f>
        <v>124.23700480487099</v>
      </c>
    </row>
    <row r="163" spans="1:5" ht="15">
      <c r="A163" s="13">
        <v>46082</v>
      </c>
      <c r="B163" s="4">
        <f>21.0672 * CHOOSE(CONTROL!$C$13, $C$13, 100%, $E$13) + CHOOSE(CONTROL!$C$32, 0.0272, 0)</f>
        <v>21.0944</v>
      </c>
      <c r="C163" s="4">
        <f>20.7039 * CHOOSE(CONTROL!$C$13, $C$13, 100%, $E$13) + CHOOSE(CONTROL!$C$32, 0.0272, 0)</f>
        <v>20.731100000000001</v>
      </c>
      <c r="D163" s="4">
        <f>30.7328 * CHOOSE(CONTROL!$C$13, $C$13, 100%, $E$13) + CHOOSE(CONTROL!$C$32, 0.0021, 0)</f>
        <v>30.7349</v>
      </c>
      <c r="E163" s="4">
        <f>131.801641130469 * CHOOSE(CONTROL!$C$13, $C$13, 100%, $E$13) + CHOOSE(CONTROL!$C$32, 0.0021, 0)</f>
        <v>131.80374113046901</v>
      </c>
    </row>
    <row r="164" spans="1:5" ht="15">
      <c r="A164" s="13">
        <v>46113</v>
      </c>
      <c r="B164" s="4">
        <f>21.895 * CHOOSE(CONTROL!$C$13, $C$13, 100%, $E$13) + CHOOSE(CONTROL!$C$32, 0.0272, 0)</f>
        <v>21.9222</v>
      </c>
      <c r="C164" s="4">
        <f>21.5317 * CHOOSE(CONTROL!$C$13, $C$13, 100%, $E$13) + CHOOSE(CONTROL!$C$32, 0.0272, 0)</f>
        <v>21.558900000000001</v>
      </c>
      <c r="D164" s="4">
        <f>31.5757 * CHOOSE(CONTROL!$C$13, $C$13, 100%, $E$13) + CHOOSE(CONTROL!$C$32, 0.0021, 0)</f>
        <v>31.5778</v>
      </c>
      <c r="E164" s="4">
        <f>137.177908129826 * CHOOSE(CONTROL!$C$13, $C$13, 100%, $E$13) + CHOOSE(CONTROL!$C$32, 0.0021, 0)</f>
        <v>137.18000812982601</v>
      </c>
    </row>
    <row r="165" spans="1:5" ht="15">
      <c r="A165" s="13">
        <v>46143</v>
      </c>
      <c r="B165" s="4">
        <f>22.4007 * CHOOSE(CONTROL!$C$13, $C$13, 100%, $E$13) + CHOOSE(CONTROL!$C$32, 0.0272, 0)</f>
        <v>22.427900000000001</v>
      </c>
      <c r="C165" s="4">
        <f>22.0375 * CHOOSE(CONTROL!$C$13, $C$13, 100%, $E$13) + CHOOSE(CONTROL!$C$32, 0.0272, 0)</f>
        <v>22.064700000000002</v>
      </c>
      <c r="D165" s="4">
        <f>31.2426 * CHOOSE(CONTROL!$C$13, $C$13, 100%, $E$13) + CHOOSE(CONTROL!$C$32, 0.0021, 0)</f>
        <v>31.244699999999998</v>
      </c>
      <c r="E165" s="4">
        <f>140.462678415296 * CHOOSE(CONTROL!$C$13, $C$13, 100%, $E$13) + CHOOSE(CONTROL!$C$32, 0.0021, 0)</f>
        <v>140.46477841529602</v>
      </c>
    </row>
    <row r="166" spans="1:5" ht="15">
      <c r="A166" s="13">
        <v>46174</v>
      </c>
      <c r="B166" s="4">
        <f>22.4692 * CHOOSE(CONTROL!$C$13, $C$13, 100%, $E$13) + CHOOSE(CONTROL!$C$32, 0.0272, 0)</f>
        <v>22.496400000000001</v>
      </c>
      <c r="C166" s="4">
        <f>22.1059 * CHOOSE(CONTROL!$C$13, $C$13, 100%, $E$13) + CHOOSE(CONTROL!$C$32, 0.0272, 0)</f>
        <v>22.133099999999999</v>
      </c>
      <c r="D166" s="4">
        <f>31.5139 * CHOOSE(CONTROL!$C$13, $C$13, 100%, $E$13) + CHOOSE(CONTROL!$C$32, 0.0021, 0)</f>
        <v>31.515999999999998</v>
      </c>
      <c r="E166" s="4">
        <f>140.907121466997 * CHOOSE(CONTROL!$C$13, $C$13, 100%, $E$13) + CHOOSE(CONTROL!$C$32, 0.0021, 0)</f>
        <v>140.90922146699702</v>
      </c>
    </row>
    <row r="167" spans="1:5" ht="15">
      <c r="A167" s="13">
        <v>46204</v>
      </c>
      <c r="B167" s="4">
        <f>22.4623 * CHOOSE(CONTROL!$C$13, $C$13, 100%, $E$13) + CHOOSE(CONTROL!$C$32, 0.0272, 0)</f>
        <v>22.4895</v>
      </c>
      <c r="C167" s="4">
        <f>22.099 * CHOOSE(CONTROL!$C$13, $C$13, 100%, $E$13) + CHOOSE(CONTROL!$C$32, 0.0272, 0)</f>
        <v>22.126200000000001</v>
      </c>
      <c r="D167" s="4">
        <f>32.0033 * CHOOSE(CONTROL!$C$13, $C$13, 100%, $E$13) + CHOOSE(CONTROL!$C$32, 0.0021, 0)</f>
        <v>32.005400000000002</v>
      </c>
      <c r="E167" s="4">
        <f>140.862303680271 * CHOOSE(CONTROL!$C$13, $C$13, 100%, $E$13) + CHOOSE(CONTROL!$C$32, 0.0021, 0)</f>
        <v>140.86440368027101</v>
      </c>
    </row>
    <row r="168" spans="1:5" ht="15">
      <c r="A168" s="13">
        <v>46235</v>
      </c>
      <c r="B168" s="4">
        <f>22.9816 * CHOOSE(CONTROL!$C$13, $C$13, 100%, $E$13) + CHOOSE(CONTROL!$C$32, 0.0272, 0)</f>
        <v>23.008800000000001</v>
      </c>
      <c r="C168" s="4">
        <f>22.6183 * CHOOSE(CONTROL!$C$13, $C$13, 100%, $E$13) + CHOOSE(CONTROL!$C$32, 0.0272, 0)</f>
        <v>22.645500000000002</v>
      </c>
      <c r="D168" s="4">
        <f>31.6801 * CHOOSE(CONTROL!$C$13, $C$13, 100%, $E$13) + CHOOSE(CONTROL!$C$32, 0.0021, 0)</f>
        <v>31.682199999999998</v>
      </c>
      <c r="E168" s="4">
        <f>144.234842131413 * CHOOSE(CONTROL!$C$13, $C$13, 100%, $E$13) + CHOOSE(CONTROL!$C$32, 0.0021, 0)</f>
        <v>144.236942131413</v>
      </c>
    </row>
    <row r="169" spans="1:5" ht="15">
      <c r="A169" s="13">
        <v>46266</v>
      </c>
      <c r="B169" s="4">
        <f>22.0965 * CHOOSE(CONTROL!$C$13, $C$13, 100%, $E$13) + CHOOSE(CONTROL!$C$32, 0.0272, 0)</f>
        <v>22.123699999999999</v>
      </c>
      <c r="C169" s="4">
        <f>21.7333 * CHOOSE(CONTROL!$C$13, $C$13, 100%, $E$13) + CHOOSE(CONTROL!$C$32, 0.0272, 0)</f>
        <v>21.7605</v>
      </c>
      <c r="D169" s="4">
        <f>31.5274 * CHOOSE(CONTROL!$C$13, $C$13, 100%, $E$13) + CHOOSE(CONTROL!$C$32, 0.0021, 0)</f>
        <v>31.529499999999999</v>
      </c>
      <c r="E169" s="4">
        <f>138.486960983785 * CHOOSE(CONTROL!$C$13, $C$13, 100%, $E$13) + CHOOSE(CONTROL!$C$32, 0.0021, 0)</f>
        <v>138.48906098378501</v>
      </c>
    </row>
    <row r="170" spans="1:5" ht="15">
      <c r="A170" s="13">
        <v>46296</v>
      </c>
      <c r="B170" s="4">
        <f>21.3881 * CHOOSE(CONTROL!$C$13, $C$13, 100%, $E$13) + CHOOSE(CONTROL!$C$32, 0.0272, 0)</f>
        <v>21.415300000000002</v>
      </c>
      <c r="C170" s="4">
        <f>21.0248 * CHOOSE(CONTROL!$C$13, $C$13, 100%, $E$13) + CHOOSE(CONTROL!$C$32, 0.0272, 0)</f>
        <v>21.052</v>
      </c>
      <c r="D170" s="4">
        <f>31.1185 * CHOOSE(CONTROL!$C$13, $C$13, 100%, $E$13) + CHOOSE(CONTROL!$C$32, 0.0021, 0)</f>
        <v>31.1206</v>
      </c>
      <c r="E170" s="4">
        <f>133.885668213234 * CHOOSE(CONTROL!$C$13, $C$13, 100%, $E$13) + CHOOSE(CONTROL!$C$32, 0.0021, 0)</f>
        <v>133.88776821323401</v>
      </c>
    </row>
    <row r="171" spans="1:5" ht="15">
      <c r="A171" s="13">
        <v>46327</v>
      </c>
      <c r="B171" s="4">
        <f>20.9318 * CHOOSE(CONTROL!$C$13, $C$13, 100%, $E$13) + CHOOSE(CONTROL!$C$32, 0.0272, 0)</f>
        <v>20.959</v>
      </c>
      <c r="C171" s="4">
        <f>20.5685 * CHOOSE(CONTROL!$C$13, $C$13, 100%, $E$13) + CHOOSE(CONTROL!$C$32, 0.0272, 0)</f>
        <v>20.595700000000001</v>
      </c>
      <c r="D171" s="4">
        <f>30.9779 * CHOOSE(CONTROL!$C$13, $C$13, 100%, $E$13) + CHOOSE(CONTROL!$C$32, 0.0021, 0)</f>
        <v>30.98</v>
      </c>
      <c r="E171" s="4">
        <f>130.922092065968 * CHOOSE(CONTROL!$C$13, $C$13, 100%, $E$13) + CHOOSE(CONTROL!$C$32, 0.0021, 0)</f>
        <v>130.92419206596801</v>
      </c>
    </row>
    <row r="172" spans="1:5" ht="15">
      <c r="A172" s="13">
        <v>46357</v>
      </c>
      <c r="B172" s="4">
        <f>20.6161 * CHOOSE(CONTROL!$C$13, $C$13, 100%, $E$13) + CHOOSE(CONTROL!$C$32, 0.0272, 0)</f>
        <v>20.6433</v>
      </c>
      <c r="C172" s="4">
        <f>20.2528 * CHOOSE(CONTROL!$C$13, $C$13, 100%, $E$13) + CHOOSE(CONTROL!$C$32, 0.0272, 0)</f>
        <v>20.28</v>
      </c>
      <c r="D172" s="4">
        <f>29.9429 * CHOOSE(CONTROL!$C$13, $C$13, 100%, $E$13) + CHOOSE(CONTROL!$C$32, 0.0021, 0)</f>
        <v>29.945</v>
      </c>
      <c r="E172" s="4">
        <f>128.871678323247 * CHOOSE(CONTROL!$C$13, $C$13, 100%, $E$13) + CHOOSE(CONTROL!$C$32, 0.0021, 0)</f>
        <v>128.87377832324702</v>
      </c>
    </row>
    <row r="173" spans="1:5" ht="15">
      <c r="A173" s="13">
        <v>46388</v>
      </c>
      <c r="B173" s="4">
        <f>20.2278 * CHOOSE(CONTROL!$C$13, $C$13, 100%, $E$13) + CHOOSE(CONTROL!$C$32, 0.0272, 0)</f>
        <v>20.254999999999999</v>
      </c>
      <c r="C173" s="4">
        <f>19.8645 * CHOOSE(CONTROL!$C$13, $C$13, 100%, $E$13) + CHOOSE(CONTROL!$C$32, 0.0272, 0)</f>
        <v>19.8917</v>
      </c>
      <c r="D173" s="4">
        <f>29.2998 * CHOOSE(CONTROL!$C$13, $C$13, 100%, $E$13) + CHOOSE(CONTROL!$C$32, 0.0021, 0)</f>
        <v>29.3019</v>
      </c>
      <c r="E173" s="4">
        <f>126.340166571441 * CHOOSE(CONTROL!$C$13, $C$13, 100%, $E$13) + CHOOSE(CONTROL!$C$32, 0.0021, 0)</f>
        <v>126.342266571441</v>
      </c>
    </row>
    <row r="174" spans="1:5" ht="15">
      <c r="A174" s="13">
        <v>46419</v>
      </c>
      <c r="B174" s="4">
        <f>20.6897 * CHOOSE(CONTROL!$C$13, $C$13, 100%, $E$13) + CHOOSE(CONTROL!$C$32, 0.0272, 0)</f>
        <v>20.716899999999999</v>
      </c>
      <c r="C174" s="4">
        <f>20.3264 * CHOOSE(CONTROL!$C$13, $C$13, 100%, $E$13) + CHOOSE(CONTROL!$C$32, 0.0272, 0)</f>
        <v>20.3536</v>
      </c>
      <c r="D174" s="4">
        <f>30.2685 * CHOOSE(CONTROL!$C$13, $C$13, 100%, $E$13) + CHOOSE(CONTROL!$C$32, 0.0021, 0)</f>
        <v>30.270599999999998</v>
      </c>
      <c r="E174" s="4">
        <f>129.339980021002 * CHOOSE(CONTROL!$C$13, $C$13, 100%, $E$13) + CHOOSE(CONTROL!$C$32, 0.0021, 0)</f>
        <v>129.342080021002</v>
      </c>
    </row>
    <row r="175" spans="1:5" ht="15">
      <c r="A175" s="13">
        <v>46447</v>
      </c>
      <c r="B175" s="4">
        <f>21.9027 * CHOOSE(CONTROL!$C$13, $C$13, 100%, $E$13) + CHOOSE(CONTROL!$C$32, 0.0272, 0)</f>
        <v>21.9299</v>
      </c>
      <c r="C175" s="4">
        <f>21.5394 * CHOOSE(CONTROL!$C$13, $C$13, 100%, $E$13) + CHOOSE(CONTROL!$C$32, 0.0272, 0)</f>
        <v>21.566600000000001</v>
      </c>
      <c r="D175" s="4">
        <f>31.785 * CHOOSE(CONTROL!$C$13, $C$13, 100%, $E$13) + CHOOSE(CONTROL!$C$32, 0.0021, 0)</f>
        <v>31.787099999999999</v>
      </c>
      <c r="E175" s="4">
        <f>137.217649559318 * CHOOSE(CONTROL!$C$13, $C$13, 100%, $E$13) + CHOOSE(CONTROL!$C$32, 0.0021, 0)</f>
        <v>137.21974955931802</v>
      </c>
    </row>
    <row r="176" spans="1:5" ht="15">
      <c r="A176" s="13">
        <v>46478</v>
      </c>
      <c r="B176" s="4">
        <f>22.7646 * CHOOSE(CONTROL!$C$13, $C$13, 100%, $E$13) + CHOOSE(CONTROL!$C$32, 0.0272, 0)</f>
        <v>22.791800000000002</v>
      </c>
      <c r="C176" s="4">
        <f>22.4013 * CHOOSE(CONTROL!$C$13, $C$13, 100%, $E$13) + CHOOSE(CONTROL!$C$32, 0.0272, 0)</f>
        <v>22.4285</v>
      </c>
      <c r="D176" s="4">
        <f>32.6586 * CHOOSE(CONTROL!$C$13, $C$13, 100%, $E$13) + CHOOSE(CONTROL!$C$32, 0.0021, 0)</f>
        <v>32.660699999999999</v>
      </c>
      <c r="E176" s="4">
        <f>142.814838750042 * CHOOSE(CONTROL!$C$13, $C$13, 100%, $E$13) + CHOOSE(CONTROL!$C$32, 0.0021, 0)</f>
        <v>142.816938750042</v>
      </c>
    </row>
    <row r="177" spans="1:5" ht="15">
      <c r="A177" s="13">
        <v>46508</v>
      </c>
      <c r="B177" s="4">
        <f>23.2912 * CHOOSE(CONTROL!$C$13, $C$13, 100%, $E$13) + CHOOSE(CONTROL!$C$32, 0.0272, 0)</f>
        <v>23.3184</v>
      </c>
      <c r="C177" s="4">
        <f>22.9279 * CHOOSE(CONTROL!$C$13, $C$13, 100%, $E$13) + CHOOSE(CONTROL!$C$32, 0.0272, 0)</f>
        <v>22.955100000000002</v>
      </c>
      <c r="D177" s="4">
        <f>32.3134 * CHOOSE(CONTROL!$C$13, $C$13, 100%, $E$13) + CHOOSE(CONTROL!$C$32, 0.0021, 0)</f>
        <v>32.3155</v>
      </c>
      <c r="E177" s="4">
        <f>146.234587199671 * CHOOSE(CONTROL!$C$13, $C$13, 100%, $E$13) + CHOOSE(CONTROL!$C$32, 0.0021, 0)</f>
        <v>146.23668719967102</v>
      </c>
    </row>
    <row r="178" spans="1:5" ht="15">
      <c r="A178" s="13">
        <v>46539</v>
      </c>
      <c r="B178" s="4">
        <f>23.3624 * CHOOSE(CONTROL!$C$13, $C$13, 100%, $E$13) + CHOOSE(CONTROL!$C$32, 0.0272, 0)</f>
        <v>23.389600000000002</v>
      </c>
      <c r="C178" s="4">
        <f>22.9991 * CHOOSE(CONTROL!$C$13, $C$13, 100%, $E$13) + CHOOSE(CONTROL!$C$32, 0.0272, 0)</f>
        <v>23.026299999999999</v>
      </c>
      <c r="D178" s="4">
        <f>32.5945 * CHOOSE(CONTROL!$C$13, $C$13, 100%, $E$13) + CHOOSE(CONTROL!$C$32, 0.0021, 0)</f>
        <v>32.596599999999995</v>
      </c>
      <c r="E178" s="4">
        <f>146.697293357154 * CHOOSE(CONTROL!$C$13, $C$13, 100%, $E$13) + CHOOSE(CONTROL!$C$32, 0.0021, 0)</f>
        <v>146.69939335715401</v>
      </c>
    </row>
    <row r="179" spans="1:5" ht="15">
      <c r="A179" s="13">
        <v>46569</v>
      </c>
      <c r="B179" s="4">
        <f>23.3552 * CHOOSE(CONTROL!$C$13, $C$13, 100%, $E$13) + CHOOSE(CONTROL!$C$32, 0.0272, 0)</f>
        <v>23.382400000000001</v>
      </c>
      <c r="C179" s="4">
        <f>22.992 * CHOOSE(CONTROL!$C$13, $C$13, 100%, $E$13) + CHOOSE(CONTROL!$C$32, 0.0272, 0)</f>
        <v>23.019200000000001</v>
      </c>
      <c r="D179" s="4">
        <f>33.1018 * CHOOSE(CONTROL!$C$13, $C$13, 100%, $E$13) + CHOOSE(CONTROL!$C$32, 0.0021, 0)</f>
        <v>33.103899999999996</v>
      </c>
      <c r="E179" s="4">
        <f>146.650633912702 * CHOOSE(CONTROL!$C$13, $C$13, 100%, $E$13) + CHOOSE(CONTROL!$C$32, 0.0021, 0)</f>
        <v>146.65273391270202</v>
      </c>
    </row>
    <row r="180" spans="1:5" ht="15">
      <c r="A180" s="13">
        <v>46600</v>
      </c>
      <c r="B180" s="4">
        <f>23.8959 * CHOOSE(CONTROL!$C$13, $C$13, 100%, $E$13) + CHOOSE(CONTROL!$C$32, 0.0272, 0)</f>
        <v>23.923100000000002</v>
      </c>
      <c r="C180" s="4">
        <f>23.5326 * CHOOSE(CONTROL!$C$13, $C$13, 100%, $E$13) + CHOOSE(CONTROL!$C$32, 0.0272, 0)</f>
        <v>23.559799999999999</v>
      </c>
      <c r="D180" s="4">
        <f>32.7668 * CHOOSE(CONTROL!$C$13, $C$13, 100%, $E$13) + CHOOSE(CONTROL!$C$32, 0.0021, 0)</f>
        <v>32.768900000000002</v>
      </c>
      <c r="E180" s="4">
        <f>150.161757107716 * CHOOSE(CONTROL!$C$13, $C$13, 100%, $E$13) + CHOOSE(CONTROL!$C$32, 0.0021, 0)</f>
        <v>150.16385710771601</v>
      </c>
    </row>
    <row r="181" spans="1:5" ht="15">
      <c r="A181" s="13">
        <v>46631</v>
      </c>
      <c r="B181" s="4">
        <f>22.9744 * CHOOSE(CONTROL!$C$13, $C$13, 100%, $E$13) + CHOOSE(CONTROL!$C$32, 0.0272, 0)</f>
        <v>23.0016</v>
      </c>
      <c r="C181" s="4">
        <f>22.6112 * CHOOSE(CONTROL!$C$13, $C$13, 100%, $E$13) + CHOOSE(CONTROL!$C$32, 0.0272, 0)</f>
        <v>22.638400000000001</v>
      </c>
      <c r="D181" s="4">
        <f>32.6085 * CHOOSE(CONTROL!$C$13, $C$13, 100%, $E$13) + CHOOSE(CONTROL!$C$32, 0.0021, 0)</f>
        <v>32.610599999999998</v>
      </c>
      <c r="E181" s="4">
        <f>144.177683356745 * CHOOSE(CONTROL!$C$13, $C$13, 100%, $E$13) + CHOOSE(CONTROL!$C$32, 0.0021, 0)</f>
        <v>144.17978335674502</v>
      </c>
    </row>
    <row r="182" spans="1:5" ht="15">
      <c r="A182" s="13">
        <v>46661</v>
      </c>
      <c r="B182" s="4">
        <f>22.2368 * CHOOSE(CONTROL!$C$13, $C$13, 100%, $E$13) + CHOOSE(CONTROL!$C$32, 0.0272, 0)</f>
        <v>22.263999999999999</v>
      </c>
      <c r="C182" s="4">
        <f>21.8735 * CHOOSE(CONTROL!$C$13, $C$13, 100%, $E$13) + CHOOSE(CONTROL!$C$32, 0.0272, 0)</f>
        <v>21.900700000000001</v>
      </c>
      <c r="D182" s="4">
        <f>32.1847 * CHOOSE(CONTROL!$C$13, $C$13, 100%, $E$13) + CHOOSE(CONTROL!$C$32, 0.0021, 0)</f>
        <v>32.186799999999998</v>
      </c>
      <c r="E182" s="4">
        <f>139.387313726337 * CHOOSE(CONTROL!$C$13, $C$13, 100%, $E$13) + CHOOSE(CONTROL!$C$32, 0.0021, 0)</f>
        <v>139.38941372633701</v>
      </c>
    </row>
    <row r="183" spans="1:5" ht="15">
      <c r="A183" s="13">
        <v>46692</v>
      </c>
      <c r="B183" s="4">
        <f>21.7617 * CHOOSE(CONTROL!$C$13, $C$13, 100%, $E$13) + CHOOSE(CONTROL!$C$32, 0.0272, 0)</f>
        <v>21.788900000000002</v>
      </c>
      <c r="C183" s="4">
        <f>21.3984 * CHOOSE(CONTROL!$C$13, $C$13, 100%, $E$13) + CHOOSE(CONTROL!$C$32, 0.0272, 0)</f>
        <v>21.425599999999999</v>
      </c>
      <c r="D183" s="4">
        <f>32.039 * CHOOSE(CONTROL!$C$13, $C$13, 100%, $E$13) + CHOOSE(CONTROL!$C$32, 0.0021, 0)</f>
        <v>32.0411</v>
      </c>
      <c r="E183" s="4">
        <f>136.301957961947 * CHOOSE(CONTROL!$C$13, $C$13, 100%, $E$13) + CHOOSE(CONTROL!$C$32, 0.0021, 0)</f>
        <v>136.30405796194702</v>
      </c>
    </row>
    <row r="184" spans="1:5" ht="15">
      <c r="A184" s="13">
        <v>46722</v>
      </c>
      <c r="B184" s="4">
        <f>21.433 * CHOOSE(CONTROL!$C$13, $C$13, 100%, $E$13) + CHOOSE(CONTROL!$C$32, 0.0272, 0)</f>
        <v>21.4602</v>
      </c>
      <c r="C184" s="4">
        <f>21.0697 * CHOOSE(CONTROL!$C$13, $C$13, 100%, $E$13) + CHOOSE(CONTROL!$C$32, 0.0272, 0)</f>
        <v>21.096900000000002</v>
      </c>
      <c r="D184" s="4">
        <f>30.9664 * CHOOSE(CONTROL!$C$13, $C$13, 100%, $E$13) + CHOOSE(CONTROL!$C$32, 0.0021, 0)</f>
        <v>30.968499999999999</v>
      </c>
      <c r="E184" s="4">
        <f>134.167288378267 * CHOOSE(CONTROL!$C$13, $C$13, 100%, $E$13) + CHOOSE(CONTROL!$C$32, 0.0021, 0)</f>
        <v>134.169388378267</v>
      </c>
    </row>
    <row r="185" spans="1:5" ht="15">
      <c r="A185" s="13">
        <v>46753</v>
      </c>
      <c r="B185" s="4">
        <f>21.0009 * CHOOSE(CONTROL!$C$13, $C$13, 100%, $E$13) + CHOOSE(CONTROL!$C$32, 0.0272, 0)</f>
        <v>21.028100000000002</v>
      </c>
      <c r="C185" s="4">
        <f>20.6376 * CHOOSE(CONTROL!$C$13, $C$13, 100%, $E$13) + CHOOSE(CONTROL!$C$32, 0.0272, 0)</f>
        <v>20.6648</v>
      </c>
      <c r="D185" s="4">
        <f>30.261 * CHOOSE(CONTROL!$C$13, $C$13, 100%, $E$13) + CHOOSE(CONTROL!$C$32, 0.0021, 0)</f>
        <v>30.263099999999998</v>
      </c>
      <c r="E185" s="4">
        <f>131.532045939637 * CHOOSE(CONTROL!$C$13, $C$13, 100%, $E$13) + CHOOSE(CONTROL!$C$32, 0.0021, 0)</f>
        <v>131.534145939637</v>
      </c>
    </row>
    <row r="186" spans="1:5" ht="15">
      <c r="A186" s="13">
        <v>46784</v>
      </c>
      <c r="B186" s="4">
        <f>21.4812 * CHOOSE(CONTROL!$C$13, $C$13, 100%, $E$13) + CHOOSE(CONTROL!$C$32, 0.0272, 0)</f>
        <v>21.508400000000002</v>
      </c>
      <c r="C186" s="4">
        <f>21.1179 * CHOOSE(CONTROL!$C$13, $C$13, 100%, $E$13) + CHOOSE(CONTROL!$C$32, 0.0272, 0)</f>
        <v>21.145099999999999</v>
      </c>
      <c r="D186" s="4">
        <f>31.2637 * CHOOSE(CONTROL!$C$13, $C$13, 100%, $E$13) + CHOOSE(CONTROL!$C$32, 0.0021, 0)</f>
        <v>31.265799999999999</v>
      </c>
      <c r="E186" s="4">
        <f>134.655135066125 * CHOOSE(CONTROL!$C$13, $C$13, 100%, $E$13) + CHOOSE(CONTROL!$C$32, 0.0021, 0)</f>
        <v>134.65723506612503</v>
      </c>
    </row>
    <row r="187" spans="1:5" ht="15">
      <c r="A187" s="13">
        <v>46813</v>
      </c>
      <c r="B187" s="4">
        <f>22.7424 * CHOOSE(CONTROL!$C$13, $C$13, 100%, $E$13) + CHOOSE(CONTROL!$C$32, 0.0272, 0)</f>
        <v>22.769600000000001</v>
      </c>
      <c r="C187" s="4">
        <f>22.3792 * CHOOSE(CONTROL!$C$13, $C$13, 100%, $E$13) + CHOOSE(CONTROL!$C$32, 0.0272, 0)</f>
        <v>22.406400000000001</v>
      </c>
      <c r="D187" s="4">
        <f>32.8333 * CHOOSE(CONTROL!$C$13, $C$13, 100%, $E$13) + CHOOSE(CONTROL!$C$32, 0.0021, 0)</f>
        <v>32.8354</v>
      </c>
      <c r="E187" s="4">
        <f>142.85653308332 * CHOOSE(CONTROL!$C$13, $C$13, 100%, $E$13) + CHOOSE(CONTROL!$C$32, 0.0021, 0)</f>
        <v>142.85863308332</v>
      </c>
    </row>
    <row r="188" spans="1:5" ht="15">
      <c r="A188" s="13">
        <v>46844</v>
      </c>
      <c r="B188" s="4">
        <f>23.6386 * CHOOSE(CONTROL!$C$13, $C$13, 100%, $E$13) + CHOOSE(CONTROL!$C$32, 0.0272, 0)</f>
        <v>23.665800000000001</v>
      </c>
      <c r="C188" s="4">
        <f>23.2753 * CHOOSE(CONTROL!$C$13, $C$13, 100%, $E$13) + CHOOSE(CONTROL!$C$32, 0.0272, 0)</f>
        <v>23.302500000000002</v>
      </c>
      <c r="D188" s="4">
        <f>33.7375 * CHOOSE(CONTROL!$C$13, $C$13, 100%, $E$13) + CHOOSE(CONTROL!$C$32, 0.0021, 0)</f>
        <v>33.739599999999996</v>
      </c>
      <c r="E188" s="4">
        <f>148.683735672536 * CHOOSE(CONTROL!$C$13, $C$13, 100%, $E$13) + CHOOSE(CONTROL!$C$32, 0.0021, 0)</f>
        <v>148.685835672536</v>
      </c>
    </row>
    <row r="189" spans="1:5" ht="15">
      <c r="A189" s="13">
        <v>46874</v>
      </c>
      <c r="B189" s="4">
        <f>24.1861 * CHOOSE(CONTROL!$C$13, $C$13, 100%, $E$13) + CHOOSE(CONTROL!$C$32, 0.0272, 0)</f>
        <v>24.2133</v>
      </c>
      <c r="C189" s="4">
        <f>23.8228 * CHOOSE(CONTROL!$C$13, $C$13, 100%, $E$13) + CHOOSE(CONTROL!$C$32, 0.0272, 0)</f>
        <v>23.85</v>
      </c>
      <c r="D189" s="4">
        <f>33.3802 * CHOOSE(CONTROL!$C$13, $C$13, 100%, $E$13) + CHOOSE(CONTROL!$C$32, 0.0021, 0)</f>
        <v>33.382300000000001</v>
      </c>
      <c r="E189" s="4">
        <f>152.244016795993 * CHOOSE(CONTROL!$C$13, $C$13, 100%, $E$13) + CHOOSE(CONTROL!$C$32, 0.0021, 0)</f>
        <v>152.246116795993</v>
      </c>
    </row>
    <row r="190" spans="1:5" ht="15">
      <c r="A190" s="13">
        <v>46905</v>
      </c>
      <c r="B190" s="4">
        <f>24.2602 * CHOOSE(CONTROL!$C$13, $C$13, 100%, $E$13) + CHOOSE(CONTROL!$C$32, 0.0272, 0)</f>
        <v>24.287400000000002</v>
      </c>
      <c r="C190" s="4">
        <f>23.8969 * CHOOSE(CONTROL!$C$13, $C$13, 100%, $E$13) + CHOOSE(CONTROL!$C$32, 0.0272, 0)</f>
        <v>23.924099999999999</v>
      </c>
      <c r="D190" s="4">
        <f>33.6712 * CHOOSE(CONTROL!$C$13, $C$13, 100%, $E$13) + CHOOSE(CONTROL!$C$32, 0.0021, 0)</f>
        <v>33.673299999999998</v>
      </c>
      <c r="E190" s="4">
        <f>152.725737607467 * CHOOSE(CONTROL!$C$13, $C$13, 100%, $E$13) + CHOOSE(CONTROL!$C$32, 0.0021, 0)</f>
        <v>152.72783760746702</v>
      </c>
    </row>
    <row r="191" spans="1:5" ht="15">
      <c r="A191" s="13">
        <v>46935</v>
      </c>
      <c r="B191" s="4">
        <f>24.2527 * CHOOSE(CONTROL!$C$13, $C$13, 100%, $E$13) + CHOOSE(CONTROL!$C$32, 0.0272, 0)</f>
        <v>24.279900000000001</v>
      </c>
      <c r="C191" s="4">
        <f>23.8894 * CHOOSE(CONTROL!$C$13, $C$13, 100%, $E$13) + CHOOSE(CONTROL!$C$32, 0.0272, 0)</f>
        <v>23.916599999999999</v>
      </c>
      <c r="D191" s="4">
        <f>34.1962 * CHOOSE(CONTROL!$C$13, $C$13, 100%, $E$13) + CHOOSE(CONTROL!$C$32, 0.0021, 0)</f>
        <v>34.198299999999996</v>
      </c>
      <c r="E191" s="4">
        <f>152.677160718915 * CHOOSE(CONTROL!$C$13, $C$13, 100%, $E$13) + CHOOSE(CONTROL!$C$32, 0.0021, 0)</f>
        <v>152.679260718915</v>
      </c>
    </row>
    <row r="192" spans="1:5" ht="15">
      <c r="A192" s="13">
        <v>46966</v>
      </c>
      <c r="B192" s="4">
        <f>24.8148 * CHOOSE(CONTROL!$C$13, $C$13, 100%, $E$13) + CHOOSE(CONTROL!$C$32, 0.0272, 0)</f>
        <v>24.842000000000002</v>
      </c>
      <c r="C192" s="4">
        <f>24.4515 * CHOOSE(CONTROL!$C$13, $C$13, 100%, $E$13) + CHOOSE(CONTROL!$C$32, 0.0272, 0)</f>
        <v>24.4787</v>
      </c>
      <c r="D192" s="4">
        <f>33.8495 * CHOOSE(CONTROL!$C$13, $C$13, 100%, $E$13) + CHOOSE(CONTROL!$C$32, 0.0021, 0)</f>
        <v>33.851599999999998</v>
      </c>
      <c r="E192" s="4">
        <f>156.332571582452 * CHOOSE(CONTROL!$C$13, $C$13, 100%, $E$13) + CHOOSE(CONTROL!$C$32, 0.0021, 0)</f>
        <v>156.33467158245202</v>
      </c>
    </row>
    <row r="193" spans="1:5" ht="15">
      <c r="A193" s="13">
        <v>46997</v>
      </c>
      <c r="B193" s="4">
        <f>23.8568 * CHOOSE(CONTROL!$C$13, $C$13, 100%, $E$13) + CHOOSE(CONTROL!$C$32, 0.0272, 0)</f>
        <v>23.884</v>
      </c>
      <c r="C193" s="4">
        <f>23.4935 * CHOOSE(CONTROL!$C$13, $C$13, 100%, $E$13) + CHOOSE(CONTROL!$C$32, 0.0272, 0)</f>
        <v>23.520700000000001</v>
      </c>
      <c r="D193" s="4">
        <f>33.6856 * CHOOSE(CONTROL!$C$13, $C$13, 100%, $E$13) + CHOOSE(CONTROL!$C$32, 0.0021, 0)</f>
        <v>33.6877</v>
      </c>
      <c r="E193" s="4">
        <f>150.102585625659 * CHOOSE(CONTROL!$C$13, $C$13, 100%, $E$13) + CHOOSE(CONTROL!$C$32, 0.0021, 0)</f>
        <v>150.10468562565902</v>
      </c>
    </row>
    <row r="194" spans="1:5" ht="15">
      <c r="A194" s="13">
        <v>47027</v>
      </c>
      <c r="B194" s="4">
        <f>23.0898 * CHOOSE(CONTROL!$C$13, $C$13, 100%, $E$13) + CHOOSE(CONTROL!$C$32, 0.0272, 0)</f>
        <v>23.117000000000001</v>
      </c>
      <c r="C194" s="4">
        <f>22.7265 * CHOOSE(CONTROL!$C$13, $C$13, 100%, $E$13) + CHOOSE(CONTROL!$C$32, 0.0272, 0)</f>
        <v>22.753700000000002</v>
      </c>
      <c r="D194" s="4">
        <f>33.247 * CHOOSE(CONTROL!$C$13, $C$13, 100%, $E$13) + CHOOSE(CONTROL!$C$32, 0.0021, 0)</f>
        <v>33.249099999999999</v>
      </c>
      <c r="E194" s="4">
        <f>145.115358400988 * CHOOSE(CONTROL!$C$13, $C$13, 100%, $E$13) + CHOOSE(CONTROL!$C$32, 0.0021, 0)</f>
        <v>145.117458400988</v>
      </c>
    </row>
    <row r="195" spans="1:5" ht="15">
      <c r="A195" s="13">
        <v>47058</v>
      </c>
      <c r="B195" s="4">
        <f>22.5958 * CHOOSE(CONTROL!$C$13, $C$13, 100%, $E$13) + CHOOSE(CONTROL!$C$32, 0.0272, 0)</f>
        <v>22.623000000000001</v>
      </c>
      <c r="C195" s="4">
        <f>22.2325 * CHOOSE(CONTROL!$C$13, $C$13, 100%, $E$13) + CHOOSE(CONTROL!$C$32, 0.0272, 0)</f>
        <v>22.259700000000002</v>
      </c>
      <c r="D195" s="4">
        <f>33.0962 * CHOOSE(CONTROL!$C$13, $C$13, 100%, $E$13) + CHOOSE(CONTROL!$C$32, 0.0021, 0)</f>
        <v>33.098300000000002</v>
      </c>
      <c r="E195" s="4">
        <f>141.903211645487 * CHOOSE(CONTROL!$C$13, $C$13, 100%, $E$13) + CHOOSE(CONTROL!$C$32, 0.0021, 0)</f>
        <v>141.90531164548702</v>
      </c>
    </row>
    <row r="196" spans="1:5" ht="15">
      <c r="A196" s="13">
        <v>47088</v>
      </c>
      <c r="B196" s="4">
        <f>22.2541 * CHOOSE(CONTROL!$C$13, $C$13, 100%, $E$13) + CHOOSE(CONTROL!$C$32, 0.0272, 0)</f>
        <v>22.281300000000002</v>
      </c>
      <c r="C196" s="4">
        <f>21.8908 * CHOOSE(CONTROL!$C$13, $C$13, 100%, $E$13) + CHOOSE(CONTROL!$C$32, 0.0272, 0)</f>
        <v>21.917999999999999</v>
      </c>
      <c r="D196" s="4">
        <f>31.986 * CHOOSE(CONTROL!$C$13, $C$13, 100%, $E$13) + CHOOSE(CONTROL!$C$32, 0.0021, 0)</f>
        <v>31.988099999999999</v>
      </c>
      <c r="E196" s="4">
        <f>139.680818994234 * CHOOSE(CONTROL!$C$13, $C$13, 100%, $E$13) + CHOOSE(CONTROL!$C$32, 0.0021, 0)</f>
        <v>139.682918994234</v>
      </c>
    </row>
    <row r="197" spans="1:5" ht="15">
      <c r="A197" s="13">
        <v>47119</v>
      </c>
      <c r="B197" s="4">
        <f>21.8497 * CHOOSE(CONTROL!$C$13, $C$13, 100%, $E$13) + CHOOSE(CONTROL!$C$32, 0.0272, 0)</f>
        <v>21.876899999999999</v>
      </c>
      <c r="C197" s="4">
        <f>21.4864 * CHOOSE(CONTROL!$C$13, $C$13, 100%, $E$13) + CHOOSE(CONTROL!$C$32, 0.0272, 0)</f>
        <v>21.5136</v>
      </c>
      <c r="D197" s="4">
        <f>31.2594 * CHOOSE(CONTROL!$C$13, $C$13, 100%, $E$13) + CHOOSE(CONTROL!$C$32, 0.0021, 0)</f>
        <v>31.261499999999998</v>
      </c>
      <c r="E197" s="4">
        <f>136.937410973111 * CHOOSE(CONTROL!$C$13, $C$13, 100%, $E$13) + CHOOSE(CONTROL!$C$32, 0.0021, 0)</f>
        <v>136.93951097311103</v>
      </c>
    </row>
    <row r="198" spans="1:5" ht="15">
      <c r="A198" s="13">
        <v>47150</v>
      </c>
      <c r="B198" s="4">
        <f>22.3502 * CHOOSE(CONTROL!$C$13, $C$13, 100%, $E$13) + CHOOSE(CONTROL!$C$32, 0.0272, 0)</f>
        <v>22.377400000000002</v>
      </c>
      <c r="C198" s="4">
        <f>21.9869 * CHOOSE(CONTROL!$C$13, $C$13, 100%, $E$13) + CHOOSE(CONTROL!$C$32, 0.0272, 0)</f>
        <v>22.014099999999999</v>
      </c>
      <c r="D198" s="4">
        <f>32.2973 * CHOOSE(CONTROL!$C$13, $C$13, 100%, $E$13) + CHOOSE(CONTROL!$C$32, 0.0021, 0)</f>
        <v>32.299399999999999</v>
      </c>
      <c r="E198" s="4">
        <f>140.188844767548 * CHOOSE(CONTROL!$C$13, $C$13, 100%, $E$13) + CHOOSE(CONTROL!$C$32, 0.0021, 0)</f>
        <v>140.19094476754802</v>
      </c>
    </row>
    <row r="199" spans="1:5" ht="15">
      <c r="A199" s="13">
        <v>47178</v>
      </c>
      <c r="B199" s="4">
        <f>23.6643 * CHOOSE(CONTROL!$C$13, $C$13, 100%, $E$13) + CHOOSE(CONTROL!$C$32, 0.0272, 0)</f>
        <v>23.691500000000001</v>
      </c>
      <c r="C199" s="4">
        <f>23.301 * CHOOSE(CONTROL!$C$13, $C$13, 100%, $E$13) + CHOOSE(CONTROL!$C$32, 0.0272, 0)</f>
        <v>23.328199999999999</v>
      </c>
      <c r="D199" s="4">
        <f>33.9221 * CHOOSE(CONTROL!$C$13, $C$13, 100%, $E$13) + CHOOSE(CONTROL!$C$32, 0.0021, 0)</f>
        <v>33.924199999999999</v>
      </c>
      <c r="E199" s="4">
        <f>148.727282703426 * CHOOSE(CONTROL!$C$13, $C$13, 100%, $E$13) + CHOOSE(CONTROL!$C$32, 0.0021, 0)</f>
        <v>148.72938270342601</v>
      </c>
    </row>
    <row r="200" spans="1:5" ht="15">
      <c r="A200" s="13">
        <v>47209</v>
      </c>
      <c r="B200" s="4">
        <f>24.5981 * CHOOSE(CONTROL!$C$13, $C$13, 100%, $E$13) + CHOOSE(CONTROL!$C$32, 0.0272, 0)</f>
        <v>24.625299999999999</v>
      </c>
      <c r="C200" s="4">
        <f>24.2348 * CHOOSE(CONTROL!$C$13, $C$13, 100%, $E$13) + CHOOSE(CONTROL!$C$32, 0.0272, 0)</f>
        <v>24.262</v>
      </c>
      <c r="D200" s="4">
        <f>34.858 * CHOOSE(CONTROL!$C$13, $C$13, 100%, $E$13) + CHOOSE(CONTROL!$C$32, 0.0021, 0)</f>
        <v>34.860099999999996</v>
      </c>
      <c r="E200" s="4">
        <f>154.793956646514 * CHOOSE(CONTROL!$C$13, $C$13, 100%, $E$13) + CHOOSE(CONTROL!$C$32, 0.0021, 0)</f>
        <v>154.79605664651402</v>
      </c>
    </row>
    <row r="201" spans="1:5" ht="15">
      <c r="A201" s="13">
        <v>47239</v>
      </c>
      <c r="B201" s="4">
        <f>25.1686 * CHOOSE(CONTROL!$C$13, $C$13, 100%, $E$13) + CHOOSE(CONTROL!$C$32, 0.0272, 0)</f>
        <v>25.195800000000002</v>
      </c>
      <c r="C201" s="4">
        <f>24.8053 * CHOOSE(CONTROL!$C$13, $C$13, 100%, $E$13) + CHOOSE(CONTROL!$C$32, 0.0272, 0)</f>
        <v>24.8325</v>
      </c>
      <c r="D201" s="4">
        <f>34.4882 * CHOOSE(CONTROL!$C$13, $C$13, 100%, $E$13) + CHOOSE(CONTROL!$C$32, 0.0021, 0)</f>
        <v>34.490299999999998</v>
      </c>
      <c r="E201" s="4">
        <f>158.500549027859 * CHOOSE(CONTROL!$C$13, $C$13, 100%, $E$13) + CHOOSE(CONTROL!$C$32, 0.0021, 0)</f>
        <v>158.50264902785901</v>
      </c>
    </row>
    <row r="202" spans="1:5" ht="15">
      <c r="A202" s="13">
        <v>47270</v>
      </c>
      <c r="B202" s="4">
        <f>25.2457 * CHOOSE(CONTROL!$C$13, $C$13, 100%, $E$13) + CHOOSE(CONTROL!$C$32, 0.0272, 0)</f>
        <v>25.2729</v>
      </c>
      <c r="C202" s="4">
        <f>24.8825 * CHOOSE(CONTROL!$C$13, $C$13, 100%, $E$13) + CHOOSE(CONTROL!$C$32, 0.0272, 0)</f>
        <v>24.909700000000001</v>
      </c>
      <c r="D202" s="4">
        <f>34.7894 * CHOOSE(CONTROL!$C$13, $C$13, 100%, $E$13) + CHOOSE(CONTROL!$C$32, 0.0021, 0)</f>
        <v>34.791499999999999</v>
      </c>
      <c r="E202" s="4">
        <f>159.00206635973 * CHOOSE(CONTROL!$C$13, $C$13, 100%, $E$13) + CHOOSE(CONTROL!$C$32, 0.0021, 0)</f>
        <v>159.00416635973002</v>
      </c>
    </row>
    <row r="203" spans="1:5" ht="15">
      <c r="A203" s="13">
        <v>47300</v>
      </c>
      <c r="B203" s="4">
        <f>25.238 * CHOOSE(CONTROL!$C$13, $C$13, 100%, $E$13) + CHOOSE(CONTROL!$C$32, 0.0272, 0)</f>
        <v>25.2652</v>
      </c>
      <c r="C203" s="4">
        <f>24.8747 * CHOOSE(CONTROL!$C$13, $C$13, 100%, $E$13) + CHOOSE(CONTROL!$C$32, 0.0272, 0)</f>
        <v>24.901900000000001</v>
      </c>
      <c r="D203" s="4">
        <f>35.3328 * CHOOSE(CONTROL!$C$13, $C$13, 100%, $E$13) + CHOOSE(CONTROL!$C$32, 0.0021, 0)</f>
        <v>35.334899999999998</v>
      </c>
      <c r="E203" s="4">
        <f>158.951493183407 * CHOOSE(CONTROL!$C$13, $C$13, 100%, $E$13) + CHOOSE(CONTROL!$C$32, 0.0021, 0)</f>
        <v>158.95359318340701</v>
      </c>
    </row>
    <row r="204" spans="1:5" ht="15">
      <c r="A204" s="13">
        <v>47331</v>
      </c>
      <c r="B204" s="4">
        <f>25.8237 * CHOOSE(CONTROL!$C$13, $C$13, 100%, $E$13) + CHOOSE(CONTROL!$C$32, 0.0272, 0)</f>
        <v>25.850899999999999</v>
      </c>
      <c r="C204" s="4">
        <f>25.4604 * CHOOSE(CONTROL!$C$13, $C$13, 100%, $E$13) + CHOOSE(CONTROL!$C$32, 0.0272, 0)</f>
        <v>25.4876</v>
      </c>
      <c r="D204" s="4">
        <f>34.9739 * CHOOSE(CONTROL!$C$13, $C$13, 100%, $E$13) + CHOOSE(CONTROL!$C$32, 0.0021, 0)</f>
        <v>34.975999999999999</v>
      </c>
      <c r="E204" s="4">
        <f>162.757124701718 * CHOOSE(CONTROL!$C$13, $C$13, 100%, $E$13) + CHOOSE(CONTROL!$C$32, 0.0021, 0)</f>
        <v>162.75922470171801</v>
      </c>
    </row>
    <row r="205" spans="1:5" ht="15">
      <c r="A205" s="13">
        <v>47362</v>
      </c>
      <c r="B205" s="4">
        <f>24.8254 * CHOOSE(CONTROL!$C$13, $C$13, 100%, $E$13) + CHOOSE(CONTROL!$C$32, 0.0272, 0)</f>
        <v>24.852599999999999</v>
      </c>
      <c r="C205" s="4">
        <f>24.4621 * CHOOSE(CONTROL!$C$13, $C$13, 100%, $E$13) + CHOOSE(CONTROL!$C$32, 0.0272, 0)</f>
        <v>24.4893</v>
      </c>
      <c r="D205" s="4">
        <f>34.8043 * CHOOSE(CONTROL!$C$13, $C$13, 100%, $E$13) + CHOOSE(CONTROL!$C$32, 0.0021, 0)</f>
        <v>34.806399999999996</v>
      </c>
      <c r="E205" s="4">
        <f>156.271114838284 * CHOOSE(CONTROL!$C$13, $C$13, 100%, $E$13) + CHOOSE(CONTROL!$C$32, 0.0021, 0)</f>
        <v>156.27321483828402</v>
      </c>
    </row>
    <row r="206" spans="1:5" ht="15">
      <c r="A206" s="13">
        <v>47392</v>
      </c>
      <c r="B206" s="4">
        <f>24.0263 * CHOOSE(CONTROL!$C$13, $C$13, 100%, $E$13) + CHOOSE(CONTROL!$C$32, 0.0272, 0)</f>
        <v>24.0535</v>
      </c>
      <c r="C206" s="4">
        <f>23.663 * CHOOSE(CONTROL!$C$13, $C$13, 100%, $E$13) + CHOOSE(CONTROL!$C$32, 0.0272, 0)</f>
        <v>23.690200000000001</v>
      </c>
      <c r="D206" s="4">
        <f>34.3503 * CHOOSE(CONTROL!$C$13, $C$13, 100%, $E$13) + CHOOSE(CONTROL!$C$32, 0.0021, 0)</f>
        <v>34.352399999999996</v>
      </c>
      <c r="E206" s="4">
        <f>151.078935402449 * CHOOSE(CONTROL!$C$13, $C$13, 100%, $E$13) + CHOOSE(CONTROL!$C$32, 0.0021, 0)</f>
        <v>151.081035402449</v>
      </c>
    </row>
    <row r="207" spans="1:5" ht="15">
      <c r="A207" s="13">
        <v>47423</v>
      </c>
      <c r="B207" s="4">
        <f>23.5116 * CHOOSE(CONTROL!$C$13, $C$13, 100%, $E$13) + CHOOSE(CONTROL!$C$32, 0.0272, 0)</f>
        <v>23.538800000000002</v>
      </c>
      <c r="C207" s="4">
        <f>23.1483 * CHOOSE(CONTROL!$C$13, $C$13, 100%, $E$13) + CHOOSE(CONTROL!$C$32, 0.0272, 0)</f>
        <v>23.1755</v>
      </c>
      <c r="D207" s="4">
        <f>34.1942 * CHOOSE(CONTROL!$C$13, $C$13, 100%, $E$13) + CHOOSE(CONTROL!$C$32, 0.0021, 0)</f>
        <v>34.196300000000001</v>
      </c>
      <c r="E207" s="4">
        <f>147.734784118086 * CHOOSE(CONTROL!$C$13, $C$13, 100%, $E$13) + CHOOSE(CONTROL!$C$32, 0.0021, 0)</f>
        <v>147.73688411808601</v>
      </c>
    </row>
    <row r="208" spans="1:5" ht="15">
      <c r="A208" s="13">
        <v>47453</v>
      </c>
      <c r="B208" s="4">
        <f>23.1555 * CHOOSE(CONTROL!$C$13, $C$13, 100%, $E$13) + CHOOSE(CONTROL!$C$32, 0.0272, 0)</f>
        <v>23.182700000000001</v>
      </c>
      <c r="C208" s="4">
        <f>22.7922 * CHOOSE(CONTROL!$C$13, $C$13, 100%, $E$13) + CHOOSE(CONTROL!$C$32, 0.0272, 0)</f>
        <v>22.819400000000002</v>
      </c>
      <c r="D208" s="4">
        <f>33.045 * CHOOSE(CONTROL!$C$13, $C$13, 100%, $E$13) + CHOOSE(CONTROL!$C$32, 0.0021, 0)</f>
        <v>33.0471</v>
      </c>
      <c r="E208" s="4">
        <f>145.421061301306 * CHOOSE(CONTROL!$C$13, $C$13, 100%, $E$13) + CHOOSE(CONTROL!$C$32, 0.0021, 0)</f>
        <v>145.42316130130601</v>
      </c>
    </row>
    <row r="209" spans="1:5" ht="15">
      <c r="A209" s="13">
        <v>47484</v>
      </c>
      <c r="B209" s="4">
        <f>22.7353 * CHOOSE(CONTROL!$C$13, $C$13, 100%, $E$13) + CHOOSE(CONTROL!$C$32, 0.0272, 0)</f>
        <v>22.762499999999999</v>
      </c>
      <c r="C209" s="4">
        <f>22.372 * CHOOSE(CONTROL!$C$13, $C$13, 100%, $E$13) + CHOOSE(CONTROL!$C$32, 0.0272, 0)</f>
        <v>22.3992</v>
      </c>
      <c r="D209" s="4">
        <f>32.2986 * CHOOSE(CONTROL!$C$13, $C$13, 100%, $E$13) + CHOOSE(CONTROL!$C$32, 0.0021, 0)</f>
        <v>32.300699999999999</v>
      </c>
      <c r="E209" s="4">
        <f>142.578038614685 * CHOOSE(CONTROL!$C$13, $C$13, 100%, $E$13) + CHOOSE(CONTROL!$C$32, 0.0021, 0)</f>
        <v>142.58013861468501</v>
      </c>
    </row>
    <row r="210" spans="1:5" ht="15">
      <c r="A210" s="13">
        <v>47515</v>
      </c>
      <c r="B210" s="4">
        <f>23.2568 * CHOOSE(CONTROL!$C$13, $C$13, 100%, $E$13) + CHOOSE(CONTROL!$C$32, 0.0272, 0)</f>
        <v>23.283999999999999</v>
      </c>
      <c r="C210" s="4">
        <f>22.8935 * CHOOSE(CONTROL!$C$13, $C$13, 100%, $E$13) + CHOOSE(CONTROL!$C$32, 0.0272, 0)</f>
        <v>22.9207</v>
      </c>
      <c r="D210" s="4">
        <f>33.3732 * CHOOSE(CONTROL!$C$13, $C$13, 100%, $E$13) + CHOOSE(CONTROL!$C$32, 0.0021, 0)</f>
        <v>33.375299999999996</v>
      </c>
      <c r="E210" s="4">
        <f>145.963403138536 * CHOOSE(CONTROL!$C$13, $C$13, 100%, $E$13) + CHOOSE(CONTROL!$C$32, 0.0021, 0)</f>
        <v>145.96550313853601</v>
      </c>
    </row>
    <row r="211" spans="1:5" ht="15">
      <c r="A211" s="13">
        <v>47543</v>
      </c>
      <c r="B211" s="4">
        <f>24.6262 * CHOOSE(CONTROL!$C$13, $C$13, 100%, $E$13) + CHOOSE(CONTROL!$C$32, 0.0272, 0)</f>
        <v>24.653400000000001</v>
      </c>
      <c r="C211" s="4">
        <f>24.2629 * CHOOSE(CONTROL!$C$13, $C$13, 100%, $E$13) + CHOOSE(CONTROL!$C$32, 0.0272, 0)</f>
        <v>24.290099999999999</v>
      </c>
      <c r="D211" s="4">
        <f>35.0554 * CHOOSE(CONTROL!$C$13, $C$13, 100%, $E$13) + CHOOSE(CONTROL!$C$32, 0.0021, 0)</f>
        <v>35.057499999999997</v>
      </c>
      <c r="E211" s="4">
        <f>154.853550287366 * CHOOSE(CONTROL!$C$13, $C$13, 100%, $E$13) + CHOOSE(CONTROL!$C$32, 0.0021, 0)</f>
        <v>154.85565028736602</v>
      </c>
    </row>
    <row r="212" spans="1:5" ht="15">
      <c r="A212" s="13">
        <v>47574</v>
      </c>
      <c r="B212" s="4">
        <f>25.5991 * CHOOSE(CONTROL!$C$13, $C$13, 100%, $E$13) + CHOOSE(CONTROL!$C$32, 0.0272, 0)</f>
        <v>25.626300000000001</v>
      </c>
      <c r="C212" s="4">
        <f>25.2358 * CHOOSE(CONTROL!$C$13, $C$13, 100%, $E$13) + CHOOSE(CONTROL!$C$32, 0.0272, 0)</f>
        <v>25.263000000000002</v>
      </c>
      <c r="D212" s="4">
        <f>36.0244 * CHOOSE(CONTROL!$C$13, $C$13, 100%, $E$13) + CHOOSE(CONTROL!$C$32, 0.0021, 0)</f>
        <v>36.026499999999999</v>
      </c>
      <c r="E212" s="4">
        <f>161.170118313398 * CHOOSE(CONTROL!$C$13, $C$13, 100%, $E$13) + CHOOSE(CONTROL!$C$32, 0.0021, 0)</f>
        <v>161.17221831339802</v>
      </c>
    </row>
    <row r="213" spans="1:5" ht="15">
      <c r="A213" s="13">
        <v>47604</v>
      </c>
      <c r="B213" s="4">
        <f>26.1936 * CHOOSE(CONTROL!$C$13, $C$13, 100%, $E$13) + CHOOSE(CONTROL!$C$32, 0.0272, 0)</f>
        <v>26.220800000000001</v>
      </c>
      <c r="C213" s="4">
        <f>25.8303 * CHOOSE(CONTROL!$C$13, $C$13, 100%, $E$13) + CHOOSE(CONTROL!$C$32, 0.0272, 0)</f>
        <v>25.857500000000002</v>
      </c>
      <c r="D213" s="4">
        <f>35.6415 * CHOOSE(CONTROL!$C$13, $C$13, 100%, $E$13) + CHOOSE(CONTROL!$C$32, 0.0021, 0)</f>
        <v>35.643599999999999</v>
      </c>
      <c r="E213" s="4">
        <f>165.029389990296 * CHOOSE(CONTROL!$C$13, $C$13, 100%, $E$13) + CHOOSE(CONTROL!$C$32, 0.0021, 0)</f>
        <v>165.03148999029602</v>
      </c>
    </row>
    <row r="214" spans="1:5" ht="15">
      <c r="A214" s="13">
        <v>47635</v>
      </c>
      <c r="B214" s="4">
        <f>26.274 * CHOOSE(CONTROL!$C$13, $C$13, 100%, $E$13) + CHOOSE(CONTROL!$C$32, 0.0272, 0)</f>
        <v>26.301200000000001</v>
      </c>
      <c r="C214" s="4">
        <f>25.9107 * CHOOSE(CONTROL!$C$13, $C$13, 100%, $E$13) + CHOOSE(CONTROL!$C$32, 0.0272, 0)</f>
        <v>25.937899999999999</v>
      </c>
      <c r="D214" s="4">
        <f>35.9533 * CHOOSE(CONTROL!$C$13, $C$13, 100%, $E$13) + CHOOSE(CONTROL!$C$32, 0.0021, 0)</f>
        <v>35.955399999999997</v>
      </c>
      <c r="E214" s="4">
        <f>165.551565464487 * CHOOSE(CONTROL!$C$13, $C$13, 100%, $E$13) + CHOOSE(CONTROL!$C$32, 0.0021, 0)</f>
        <v>165.55366546448701</v>
      </c>
    </row>
    <row r="215" spans="1:5" ht="15">
      <c r="A215" s="13">
        <v>47665</v>
      </c>
      <c r="B215" s="4">
        <f>26.2659 * CHOOSE(CONTROL!$C$13, $C$13, 100%, $E$13) + CHOOSE(CONTROL!$C$32, 0.0272, 0)</f>
        <v>26.293099999999999</v>
      </c>
      <c r="C215" s="4">
        <f>25.9026 * CHOOSE(CONTROL!$C$13, $C$13, 100%, $E$13) + CHOOSE(CONTROL!$C$32, 0.0272, 0)</f>
        <v>25.9298</v>
      </c>
      <c r="D215" s="4">
        <f>36.516 * CHOOSE(CONTROL!$C$13, $C$13, 100%, $E$13) + CHOOSE(CONTROL!$C$32, 0.0021, 0)</f>
        <v>36.518099999999997</v>
      </c>
      <c r="E215" s="4">
        <f>165.498909114149 * CHOOSE(CONTROL!$C$13, $C$13, 100%, $E$13) + CHOOSE(CONTROL!$C$32, 0.0021, 0)</f>
        <v>165.50100911414901</v>
      </c>
    </row>
    <row r="216" spans="1:5" ht="15">
      <c r="A216" s="13">
        <v>47696</v>
      </c>
      <c r="B216" s="4">
        <f>26.8762 * CHOOSE(CONTROL!$C$13, $C$13, 100%, $E$13) + CHOOSE(CONTROL!$C$32, 0.0272, 0)</f>
        <v>26.903400000000001</v>
      </c>
      <c r="C216" s="4">
        <f>26.513 * CHOOSE(CONTROL!$C$13, $C$13, 100%, $E$13) + CHOOSE(CONTROL!$C$32, 0.0272, 0)</f>
        <v>26.540200000000002</v>
      </c>
      <c r="D216" s="4">
        <f>36.1444 * CHOOSE(CONTROL!$C$13, $C$13, 100%, $E$13) + CHOOSE(CONTROL!$C$32, 0.0021, 0)</f>
        <v>36.146499999999996</v>
      </c>
      <c r="E216" s="4">
        <f>169.461299477127 * CHOOSE(CONTROL!$C$13, $C$13, 100%, $E$13) + CHOOSE(CONTROL!$C$32, 0.0021, 0)</f>
        <v>169.46339947712701</v>
      </c>
    </row>
    <row r="217" spans="1:5" ht="15">
      <c r="A217" s="13">
        <v>47727</v>
      </c>
      <c r="B217" s="4">
        <f>25.836 * CHOOSE(CONTROL!$C$13, $C$13, 100%, $E$13) + CHOOSE(CONTROL!$C$32, 0.0272, 0)</f>
        <v>25.863199999999999</v>
      </c>
      <c r="C217" s="4">
        <f>25.4727 * CHOOSE(CONTROL!$C$13, $C$13, 100%, $E$13) + CHOOSE(CONTROL!$C$32, 0.0272, 0)</f>
        <v>25.4999</v>
      </c>
      <c r="D217" s="4">
        <f>35.9688 * CHOOSE(CONTROL!$C$13, $C$13, 100%, $E$13) + CHOOSE(CONTROL!$C$32, 0.0021, 0)</f>
        <v>35.9709</v>
      </c>
      <c r="E217" s="4">
        <f>162.708122546204 * CHOOSE(CONTROL!$C$13, $C$13, 100%, $E$13) + CHOOSE(CONTROL!$C$32, 0.0021, 0)</f>
        <v>162.71022254620402</v>
      </c>
    </row>
    <row r="218" spans="1:5" ht="15">
      <c r="A218" s="13">
        <v>47757</v>
      </c>
      <c r="B218" s="4">
        <f>25.0033 * CHOOSE(CONTROL!$C$13, $C$13, 100%, $E$13) + CHOOSE(CONTROL!$C$32, 0.0272, 0)</f>
        <v>25.0305</v>
      </c>
      <c r="C218" s="4">
        <f>24.64 * CHOOSE(CONTROL!$C$13, $C$13, 100%, $E$13) + CHOOSE(CONTROL!$C$32, 0.0272, 0)</f>
        <v>24.667200000000001</v>
      </c>
      <c r="D218" s="4">
        <f>35.4987 * CHOOSE(CONTROL!$C$13, $C$13, 100%, $E$13) + CHOOSE(CONTROL!$C$32, 0.0021, 0)</f>
        <v>35.500799999999998</v>
      </c>
      <c r="E218" s="4">
        <f>157.30207057811 * CHOOSE(CONTROL!$C$13, $C$13, 100%, $E$13) + CHOOSE(CONTROL!$C$32, 0.0021, 0)</f>
        <v>157.30417057811002</v>
      </c>
    </row>
    <row r="219" spans="1:5" ht="15">
      <c r="A219" s="13">
        <v>47788</v>
      </c>
      <c r="B219" s="4">
        <f>24.467 * CHOOSE(CONTROL!$C$13, $C$13, 100%, $E$13) + CHOOSE(CONTROL!$C$32, 0.0272, 0)</f>
        <v>24.494199999999999</v>
      </c>
      <c r="C219" s="4">
        <f>24.1037 * CHOOSE(CONTROL!$C$13, $C$13, 100%, $E$13) + CHOOSE(CONTROL!$C$32, 0.0272, 0)</f>
        <v>24.1309</v>
      </c>
      <c r="D219" s="4">
        <f>35.3371 * CHOOSE(CONTROL!$C$13, $C$13, 100%, $E$13) + CHOOSE(CONTROL!$C$32, 0.0021, 0)</f>
        <v>35.339199999999998</v>
      </c>
      <c r="E219" s="4">
        <f>153.820169411972 * CHOOSE(CONTROL!$C$13, $C$13, 100%, $E$13) + CHOOSE(CONTROL!$C$32, 0.0021, 0)</f>
        <v>153.822269411972</v>
      </c>
    </row>
    <row r="220" spans="1:5" ht="15">
      <c r="A220" s="13">
        <v>47818</v>
      </c>
      <c r="B220" s="4">
        <f>24.0959 * CHOOSE(CONTROL!$C$13, $C$13, 100%, $E$13) + CHOOSE(CONTROL!$C$32, 0.0272, 0)</f>
        <v>24.123100000000001</v>
      </c>
      <c r="C220" s="4">
        <f>23.7326 * CHOOSE(CONTROL!$C$13, $C$13, 100%, $E$13) + CHOOSE(CONTROL!$C$32, 0.0272, 0)</f>
        <v>23.759800000000002</v>
      </c>
      <c r="D220" s="4">
        <f>34.1473 * CHOOSE(CONTROL!$C$13, $C$13, 100%, $E$13) + CHOOSE(CONTROL!$C$32, 0.0021, 0)</f>
        <v>34.1494</v>
      </c>
      <c r="E220" s="4">
        <f>151.411141383982 * CHOOSE(CONTROL!$C$13, $C$13, 100%, $E$13) + CHOOSE(CONTROL!$C$32, 0.0021, 0)</f>
        <v>151.41324138398201</v>
      </c>
    </row>
    <row r="221" spans="1:5" ht="15">
      <c r="A221" s="13">
        <v>47849</v>
      </c>
      <c r="B221" s="4">
        <f>23.1233 * CHOOSE(CONTROL!$C$13, $C$13, 100%, $E$13) + CHOOSE(CONTROL!$C$32, 0.0272, 0)</f>
        <v>23.150500000000001</v>
      </c>
      <c r="C221" s="4">
        <f>22.7601 * CHOOSE(CONTROL!$C$13, $C$13, 100%, $E$13) + CHOOSE(CONTROL!$C$32, 0.0272, 0)</f>
        <v>22.787300000000002</v>
      </c>
      <c r="D221" s="4">
        <f>32.7774 * CHOOSE(CONTROL!$C$13, $C$13, 100%, $E$13) + CHOOSE(CONTROL!$C$32, 0.0021, 0)</f>
        <v>32.779499999999999</v>
      </c>
      <c r="E221" s="4">
        <f>145.104252099775 * CHOOSE(CONTROL!$C$13, $C$13, 100%, $E$13) + CHOOSE(CONTROL!$C$32, 0.0021, 0)</f>
        <v>145.10635209977502</v>
      </c>
    </row>
    <row r="222" spans="1:5" ht="15">
      <c r="A222" s="13">
        <v>47880</v>
      </c>
      <c r="B222" s="4">
        <f>23.654 * CHOOSE(CONTROL!$C$13, $C$13, 100%, $E$13) + CHOOSE(CONTROL!$C$32, 0.0272, 0)</f>
        <v>23.6812</v>
      </c>
      <c r="C222" s="4">
        <f>23.2907 * CHOOSE(CONTROL!$C$13, $C$13, 100%, $E$13) + CHOOSE(CONTROL!$C$32, 0.0272, 0)</f>
        <v>23.317900000000002</v>
      </c>
      <c r="D222" s="4">
        <f>33.8689 * CHOOSE(CONTROL!$C$13, $C$13, 100%, $E$13) + CHOOSE(CONTROL!$C$32, 0.0021, 0)</f>
        <v>33.870999999999995</v>
      </c>
      <c r="E222" s="4">
        <f>148.54959888734 * CHOOSE(CONTROL!$C$13, $C$13, 100%, $E$13) + CHOOSE(CONTROL!$C$32, 0.0021, 0)</f>
        <v>148.55169888734002</v>
      </c>
    </row>
    <row r="223" spans="1:5" ht="15">
      <c r="A223" s="13">
        <v>47908</v>
      </c>
      <c r="B223" s="4">
        <f>25.0476 * CHOOSE(CONTROL!$C$13, $C$13, 100%, $E$13) + CHOOSE(CONTROL!$C$32, 0.0272, 0)</f>
        <v>25.0748</v>
      </c>
      <c r="C223" s="4">
        <f>24.6843 * CHOOSE(CONTROL!$C$13, $C$13, 100%, $E$13) + CHOOSE(CONTROL!$C$32, 0.0272, 0)</f>
        <v>24.711500000000001</v>
      </c>
      <c r="D223" s="4">
        <f>35.5775 * CHOOSE(CONTROL!$C$13, $C$13, 100%, $E$13) + CHOOSE(CONTROL!$C$32, 0.0021, 0)</f>
        <v>35.579599999999999</v>
      </c>
      <c r="E223" s="4">
        <f>157.597262648336 * CHOOSE(CONTROL!$C$13, $C$13, 100%, $E$13) + CHOOSE(CONTROL!$C$32, 0.0021, 0)</f>
        <v>157.59936264833601</v>
      </c>
    </row>
    <row r="224" spans="1:5" ht="15">
      <c r="A224" s="13">
        <v>47939</v>
      </c>
      <c r="B224" s="4">
        <f>26.0377 * CHOOSE(CONTROL!$C$13, $C$13, 100%, $E$13) + CHOOSE(CONTROL!$C$32, 0.0272, 0)</f>
        <v>26.064900000000002</v>
      </c>
      <c r="C224" s="4">
        <f>25.6745 * CHOOSE(CONTROL!$C$13, $C$13, 100%, $E$13) + CHOOSE(CONTROL!$C$32, 0.0272, 0)</f>
        <v>25.701699999999999</v>
      </c>
      <c r="D224" s="4">
        <f>36.5617 * CHOOSE(CONTROL!$C$13, $C$13, 100%, $E$13) + CHOOSE(CONTROL!$C$32, 0.0021, 0)</f>
        <v>36.563800000000001</v>
      </c>
      <c r="E224" s="4">
        <f>164.025748326496 * CHOOSE(CONTROL!$C$13, $C$13, 100%, $E$13) + CHOOSE(CONTROL!$C$32, 0.0021, 0)</f>
        <v>164.02784832649601</v>
      </c>
    </row>
    <row r="225" spans="1:5" ht="15">
      <c r="A225" s="13">
        <v>47969</v>
      </c>
      <c r="B225" s="4">
        <f>26.6427 * CHOOSE(CONTROL!$C$13, $C$13, 100%, $E$13) + CHOOSE(CONTROL!$C$32, 0.0272, 0)</f>
        <v>26.669900000000002</v>
      </c>
      <c r="C225" s="4">
        <f>26.2794 * CHOOSE(CONTROL!$C$13, $C$13, 100%, $E$13) + CHOOSE(CONTROL!$C$32, 0.0272, 0)</f>
        <v>26.3066</v>
      </c>
      <c r="D225" s="4">
        <f>36.1728 * CHOOSE(CONTROL!$C$13, $C$13, 100%, $E$13) + CHOOSE(CONTROL!$C$32, 0.0021, 0)</f>
        <v>36.174900000000001</v>
      </c>
      <c r="E225" s="4">
        <f>167.953399006553 * CHOOSE(CONTROL!$C$13, $C$13, 100%, $E$13) + CHOOSE(CONTROL!$C$32, 0.0021, 0)</f>
        <v>167.95549900655303</v>
      </c>
    </row>
    <row r="226" spans="1:5" ht="15">
      <c r="A226" s="13">
        <v>48000</v>
      </c>
      <c r="B226" s="4">
        <f>26.7246 * CHOOSE(CONTROL!$C$13, $C$13, 100%, $E$13) + CHOOSE(CONTROL!$C$32, 0.0272, 0)</f>
        <v>26.751799999999999</v>
      </c>
      <c r="C226" s="4">
        <f>26.3613 * CHOOSE(CONTROL!$C$13, $C$13, 100%, $E$13) + CHOOSE(CONTROL!$C$32, 0.0272, 0)</f>
        <v>26.388500000000001</v>
      </c>
      <c r="D226" s="4">
        <f>36.4895 * CHOOSE(CONTROL!$C$13, $C$13, 100%, $E$13) + CHOOSE(CONTROL!$C$32, 0.0021, 0)</f>
        <v>36.491599999999998</v>
      </c>
      <c r="E226" s="4">
        <f>168.48482644365 * CHOOSE(CONTROL!$C$13, $C$13, 100%, $E$13) + CHOOSE(CONTROL!$C$32, 0.0021, 0)</f>
        <v>168.48692644365002</v>
      </c>
    </row>
    <row r="227" spans="1:5" ht="15">
      <c r="A227" s="13">
        <v>48030</v>
      </c>
      <c r="B227" s="4">
        <f>26.7163 * CHOOSE(CONTROL!$C$13, $C$13, 100%, $E$13) + CHOOSE(CONTROL!$C$32, 0.0272, 0)</f>
        <v>26.743500000000001</v>
      </c>
      <c r="C227" s="4">
        <f>26.353 * CHOOSE(CONTROL!$C$13, $C$13, 100%, $E$13) + CHOOSE(CONTROL!$C$32, 0.0272, 0)</f>
        <v>26.380200000000002</v>
      </c>
      <c r="D227" s="4">
        <f>37.0611 * CHOOSE(CONTROL!$C$13, $C$13, 100%, $E$13) + CHOOSE(CONTROL!$C$32, 0.0021, 0)</f>
        <v>37.063200000000002</v>
      </c>
      <c r="E227" s="4">
        <f>168.431237122262 * CHOOSE(CONTROL!$C$13, $C$13, 100%, $E$13) + CHOOSE(CONTROL!$C$32, 0.0021, 0)</f>
        <v>168.433337122262</v>
      </c>
    </row>
    <row r="228" spans="1:5" ht="15">
      <c r="A228" s="13">
        <v>48061</v>
      </c>
      <c r="B228" s="4">
        <f>27.3374 * CHOOSE(CONTROL!$C$13, $C$13, 100%, $E$13) + CHOOSE(CONTROL!$C$32, 0.0272, 0)</f>
        <v>27.364599999999999</v>
      </c>
      <c r="C228" s="4">
        <f>26.9742 * CHOOSE(CONTROL!$C$13, $C$13, 100%, $E$13) + CHOOSE(CONTROL!$C$32, 0.0272, 0)</f>
        <v>27.0014</v>
      </c>
      <c r="D228" s="4">
        <f>36.6836 * CHOOSE(CONTROL!$C$13, $C$13, 100%, $E$13) + CHOOSE(CONTROL!$C$32, 0.0021, 0)</f>
        <v>36.685699999999997</v>
      </c>
      <c r="E228" s="4">
        <f>172.463833556704 * CHOOSE(CONTROL!$C$13, $C$13, 100%, $E$13) + CHOOSE(CONTROL!$C$32, 0.0021, 0)</f>
        <v>172.46593355670402</v>
      </c>
    </row>
    <row r="229" spans="1:5" ht="15">
      <c r="A229" s="13">
        <v>48092</v>
      </c>
      <c r="B229" s="4">
        <f>26.2788 * CHOOSE(CONTROL!$C$13, $C$13, 100%, $E$13) + CHOOSE(CONTROL!$C$32, 0.0272, 0)</f>
        <v>26.306000000000001</v>
      </c>
      <c r="C229" s="4">
        <f>25.9156 * CHOOSE(CONTROL!$C$13, $C$13, 100%, $E$13) + CHOOSE(CONTROL!$C$32, 0.0272, 0)</f>
        <v>25.942800000000002</v>
      </c>
      <c r="D229" s="4">
        <f>36.5053 * CHOOSE(CONTROL!$C$13, $C$13, 100%, $E$13) + CHOOSE(CONTROL!$C$32, 0.0021, 0)</f>
        <v>36.507399999999997</v>
      </c>
      <c r="E229" s="4">
        <f>165.591003088702 * CHOOSE(CONTROL!$C$13, $C$13, 100%, $E$13) + CHOOSE(CONTROL!$C$32, 0.0021, 0)</f>
        <v>165.59310308870201</v>
      </c>
    </row>
    <row r="230" spans="1:5" ht="15">
      <c r="A230" s="13">
        <v>48122</v>
      </c>
      <c r="B230" s="4">
        <f>25.4314 * CHOOSE(CONTROL!$C$13, $C$13, 100%, $E$13) + CHOOSE(CONTROL!$C$32, 0.0272, 0)</f>
        <v>25.458600000000001</v>
      </c>
      <c r="C230" s="4">
        <f>25.0681 * CHOOSE(CONTROL!$C$13, $C$13, 100%, $E$13) + CHOOSE(CONTROL!$C$32, 0.0272, 0)</f>
        <v>25.095300000000002</v>
      </c>
      <c r="D230" s="4">
        <f>36.0278 * CHOOSE(CONTROL!$C$13, $C$13, 100%, $E$13) + CHOOSE(CONTROL!$C$32, 0.0021, 0)</f>
        <v>36.029899999999998</v>
      </c>
      <c r="E230" s="4">
        <f>160.089166092874 * CHOOSE(CONTROL!$C$13, $C$13, 100%, $E$13) + CHOOSE(CONTROL!$C$32, 0.0021, 0)</f>
        <v>160.09126609287401</v>
      </c>
    </row>
    <row r="231" spans="1:5" ht="15">
      <c r="A231" s="13">
        <v>48153</v>
      </c>
      <c r="B231" s="4">
        <f>24.8856 * CHOOSE(CONTROL!$C$13, $C$13, 100%, $E$13) + CHOOSE(CONTROL!$C$32, 0.0272, 0)</f>
        <v>24.912800000000001</v>
      </c>
      <c r="C231" s="4">
        <f>24.5223 * CHOOSE(CONTROL!$C$13, $C$13, 100%, $E$13) + CHOOSE(CONTROL!$C$32, 0.0272, 0)</f>
        <v>24.549500000000002</v>
      </c>
      <c r="D231" s="4">
        <f>35.8637 * CHOOSE(CONTROL!$C$13, $C$13, 100%, $E$13) + CHOOSE(CONTROL!$C$32, 0.0021, 0)</f>
        <v>35.8658</v>
      </c>
      <c r="E231" s="4">
        <f>156.545572216098 * CHOOSE(CONTROL!$C$13, $C$13, 100%, $E$13) + CHOOSE(CONTROL!$C$32, 0.0021, 0)</f>
        <v>156.54767221609802</v>
      </c>
    </row>
    <row r="232" spans="1:5" ht="15">
      <c r="A232" s="13">
        <v>48183</v>
      </c>
      <c r="B232" s="4">
        <f>24.508 * CHOOSE(CONTROL!$C$13, $C$13, 100%, $E$13) + CHOOSE(CONTROL!$C$32, 0.0272, 0)</f>
        <v>24.5352</v>
      </c>
      <c r="C232" s="4">
        <f>24.1447 * CHOOSE(CONTROL!$C$13, $C$13, 100%, $E$13) + CHOOSE(CONTROL!$C$32, 0.0272, 0)</f>
        <v>24.171900000000001</v>
      </c>
      <c r="D232" s="4">
        <f>34.6551 * CHOOSE(CONTROL!$C$13, $C$13, 100%, $E$13) + CHOOSE(CONTROL!$C$32, 0.0021, 0)</f>
        <v>34.657199999999996</v>
      </c>
      <c r="E232" s="4">
        <f>154.0938607626 * CHOOSE(CONTROL!$C$13, $C$13, 100%, $E$13) + CHOOSE(CONTROL!$C$32, 0.0021, 0)</f>
        <v>154.09596076260001</v>
      </c>
    </row>
    <row r="233" spans="1:5" ht="15">
      <c r="A233" s="13">
        <v>48214</v>
      </c>
      <c r="B233" s="4">
        <f>23.5182 * CHOOSE(CONTROL!$C$13, $C$13, 100%, $E$13) + CHOOSE(CONTROL!$C$32, 0.0272, 0)</f>
        <v>23.545400000000001</v>
      </c>
      <c r="C233" s="4">
        <f>23.1549 * CHOOSE(CONTROL!$C$13, $C$13, 100%, $E$13) + CHOOSE(CONTROL!$C$32, 0.0272, 0)</f>
        <v>23.182100000000002</v>
      </c>
      <c r="D233" s="4">
        <f>33.2637 * CHOOSE(CONTROL!$C$13, $C$13, 100%, $E$13) + CHOOSE(CONTROL!$C$32, 0.0021, 0)</f>
        <v>33.265799999999999</v>
      </c>
      <c r="E233" s="4">
        <f>147.675225315284 * CHOOSE(CONTROL!$C$13, $C$13, 100%, $E$13) + CHOOSE(CONTROL!$C$32, 0.0021, 0)</f>
        <v>147.67732531528401</v>
      </c>
    </row>
    <row r="234" spans="1:5" ht="15">
      <c r="A234" s="13">
        <v>48245</v>
      </c>
      <c r="B234" s="4">
        <f>24.0583 * CHOOSE(CONTROL!$C$13, $C$13, 100%, $E$13) + CHOOSE(CONTROL!$C$32, 0.0272, 0)</f>
        <v>24.0855</v>
      </c>
      <c r="C234" s="4">
        <f>23.695 * CHOOSE(CONTROL!$C$13, $C$13, 100%, $E$13) + CHOOSE(CONTROL!$C$32, 0.0272, 0)</f>
        <v>23.722200000000001</v>
      </c>
      <c r="D234" s="4">
        <f>34.3723 * CHOOSE(CONTROL!$C$13, $C$13, 100%, $E$13) + CHOOSE(CONTROL!$C$32, 0.0021, 0)</f>
        <v>34.374400000000001</v>
      </c>
      <c r="E234" s="4">
        <f>151.181617138959 * CHOOSE(CONTROL!$C$13, $C$13, 100%, $E$13) + CHOOSE(CONTROL!$C$32, 0.0021, 0)</f>
        <v>151.18371713895903</v>
      </c>
    </row>
    <row r="235" spans="1:5" ht="15">
      <c r="A235" s="13">
        <v>48274</v>
      </c>
      <c r="B235" s="4">
        <f>25.4765 * CHOOSE(CONTROL!$C$13, $C$13, 100%, $E$13) + CHOOSE(CONTROL!$C$32, 0.0272, 0)</f>
        <v>25.503700000000002</v>
      </c>
      <c r="C235" s="4">
        <f>25.1132 * CHOOSE(CONTROL!$C$13, $C$13, 100%, $E$13) + CHOOSE(CONTROL!$C$32, 0.0272, 0)</f>
        <v>25.1404</v>
      </c>
      <c r="D235" s="4">
        <f>36.1078 * CHOOSE(CONTROL!$C$13, $C$13, 100%, $E$13) + CHOOSE(CONTROL!$C$32, 0.0021, 0)</f>
        <v>36.109899999999996</v>
      </c>
      <c r="E235" s="4">
        <f>160.389588408906 * CHOOSE(CONTROL!$C$13, $C$13, 100%, $E$13) + CHOOSE(CONTROL!$C$32, 0.0021, 0)</f>
        <v>160.39168840890602</v>
      </c>
    </row>
    <row r="236" spans="1:5" ht="15">
      <c r="A236" s="13">
        <v>48305</v>
      </c>
      <c r="B236" s="4">
        <f>26.4841 * CHOOSE(CONTROL!$C$13, $C$13, 100%, $E$13) + CHOOSE(CONTROL!$C$32, 0.0272, 0)</f>
        <v>26.511300000000002</v>
      </c>
      <c r="C236" s="4">
        <f>26.1208 * CHOOSE(CONTROL!$C$13, $C$13, 100%, $E$13) + CHOOSE(CONTROL!$C$32, 0.0272, 0)</f>
        <v>26.148</v>
      </c>
      <c r="D236" s="4">
        <f>37.1075 * CHOOSE(CONTROL!$C$13, $C$13, 100%, $E$13) + CHOOSE(CONTROL!$C$32, 0.0021, 0)</f>
        <v>37.1096</v>
      </c>
      <c r="E236" s="4">
        <f>166.931974708555 * CHOOSE(CONTROL!$C$13, $C$13, 100%, $E$13) + CHOOSE(CONTROL!$C$32, 0.0021, 0)</f>
        <v>166.93407470855502</v>
      </c>
    </row>
    <row r="237" spans="1:5" ht="15">
      <c r="A237" s="13">
        <v>48335</v>
      </c>
      <c r="B237" s="4">
        <f>27.0998 * CHOOSE(CONTROL!$C$13, $C$13, 100%, $E$13) + CHOOSE(CONTROL!$C$32, 0.0272, 0)</f>
        <v>27.126999999999999</v>
      </c>
      <c r="C237" s="4">
        <f>26.7365 * CHOOSE(CONTROL!$C$13, $C$13, 100%, $E$13) + CHOOSE(CONTROL!$C$32, 0.0272, 0)</f>
        <v>26.7637</v>
      </c>
      <c r="D237" s="4">
        <f>36.7125 * CHOOSE(CONTROL!$C$13, $C$13, 100%, $E$13) + CHOOSE(CONTROL!$C$32, 0.0021, 0)</f>
        <v>36.714599999999997</v>
      </c>
      <c r="E237" s="4">
        <f>170.929215938525 * CHOOSE(CONTROL!$C$13, $C$13, 100%, $E$13) + CHOOSE(CONTROL!$C$32, 0.0021, 0)</f>
        <v>170.93131593852502</v>
      </c>
    </row>
    <row r="238" spans="1:5" ht="15">
      <c r="A238" s="13">
        <v>48366</v>
      </c>
      <c r="B238" s="4">
        <f>27.1831 * CHOOSE(CONTROL!$C$13, $C$13, 100%, $E$13) + CHOOSE(CONTROL!$C$32, 0.0272, 0)</f>
        <v>27.2103</v>
      </c>
      <c r="C238" s="4">
        <f>26.8198 * CHOOSE(CONTROL!$C$13, $C$13, 100%, $E$13) + CHOOSE(CONTROL!$C$32, 0.0272, 0)</f>
        <v>26.847000000000001</v>
      </c>
      <c r="D238" s="4">
        <f>37.0342 * CHOOSE(CONTROL!$C$13, $C$13, 100%, $E$13) + CHOOSE(CONTROL!$C$32, 0.0021, 0)</f>
        <v>37.036299999999997</v>
      </c>
      <c r="E238" s="4">
        <f>171.470059265832 * CHOOSE(CONTROL!$C$13, $C$13, 100%, $E$13) + CHOOSE(CONTROL!$C$32, 0.0021, 0)</f>
        <v>171.472159265832</v>
      </c>
    </row>
    <row r="239" spans="1:5" ht="15">
      <c r="A239" s="13">
        <v>48396</v>
      </c>
      <c r="B239" s="4">
        <f>27.1747 * CHOOSE(CONTROL!$C$13, $C$13, 100%, $E$13) + CHOOSE(CONTROL!$C$32, 0.0272, 0)</f>
        <v>27.201900000000002</v>
      </c>
      <c r="C239" s="4">
        <f>26.8114 * CHOOSE(CONTROL!$C$13, $C$13, 100%, $E$13) + CHOOSE(CONTROL!$C$32, 0.0272, 0)</f>
        <v>26.8386</v>
      </c>
      <c r="D239" s="4">
        <f>37.6147 * CHOOSE(CONTROL!$C$13, $C$13, 100%, $E$13) + CHOOSE(CONTROL!$C$32, 0.0021, 0)</f>
        <v>37.616799999999998</v>
      </c>
      <c r="E239" s="4">
        <f>171.41552044291 * CHOOSE(CONTROL!$C$13, $C$13, 100%, $E$13) + CHOOSE(CONTROL!$C$32, 0.0021, 0)</f>
        <v>171.41762044291002</v>
      </c>
    </row>
    <row r="240" spans="1:5" ht="15">
      <c r="A240" s="13">
        <v>48427</v>
      </c>
      <c r="B240" s="4">
        <f>27.8068 * CHOOSE(CONTROL!$C$13, $C$13, 100%, $E$13) + CHOOSE(CONTROL!$C$32, 0.0272, 0)</f>
        <v>27.834</v>
      </c>
      <c r="C240" s="4">
        <f>27.4435 * CHOOSE(CONTROL!$C$13, $C$13, 100%, $E$13) + CHOOSE(CONTROL!$C$32, 0.0272, 0)</f>
        <v>27.470700000000001</v>
      </c>
      <c r="D240" s="4">
        <f>37.2314 * CHOOSE(CONTROL!$C$13, $C$13, 100%, $E$13) + CHOOSE(CONTROL!$C$32, 0.0021, 0)</f>
        <v>37.233499999999999</v>
      </c>
      <c r="E240" s="4">
        <f>175.519566867768 * CHOOSE(CONTROL!$C$13, $C$13, 100%, $E$13) + CHOOSE(CONTROL!$C$32, 0.0021, 0)</f>
        <v>175.521666867768</v>
      </c>
    </row>
    <row r="241" spans="1:5" ht="15">
      <c r="A241" s="13">
        <v>48458</v>
      </c>
      <c r="B241" s="4">
        <f>26.7295 * CHOOSE(CONTROL!$C$13, $C$13, 100%, $E$13) + CHOOSE(CONTROL!$C$32, 0.0272, 0)</f>
        <v>26.756700000000002</v>
      </c>
      <c r="C241" s="4">
        <f>26.3662 * CHOOSE(CONTROL!$C$13, $C$13, 100%, $E$13) + CHOOSE(CONTROL!$C$32, 0.0272, 0)</f>
        <v>26.3934</v>
      </c>
      <c r="D241" s="4">
        <f>37.0502 * CHOOSE(CONTROL!$C$13, $C$13, 100%, $E$13) + CHOOSE(CONTROL!$C$32, 0.0021, 0)</f>
        <v>37.052299999999995</v>
      </c>
      <c r="E241" s="4">
        <f>168.52496282806 * CHOOSE(CONTROL!$C$13, $C$13, 100%, $E$13) + CHOOSE(CONTROL!$C$32, 0.0021, 0)</f>
        <v>168.52706282806002</v>
      </c>
    </row>
    <row r="242" spans="1:5" ht="15">
      <c r="A242" s="13">
        <v>48488</v>
      </c>
      <c r="B242" s="4">
        <f>25.8671 * CHOOSE(CONTROL!$C$13, $C$13, 100%, $E$13) + CHOOSE(CONTROL!$C$32, 0.0272, 0)</f>
        <v>25.894300000000001</v>
      </c>
      <c r="C242" s="4">
        <f>25.5038 * CHOOSE(CONTROL!$C$13, $C$13, 100%, $E$13) + CHOOSE(CONTROL!$C$32, 0.0272, 0)</f>
        <v>25.530999999999999</v>
      </c>
      <c r="D242" s="4">
        <f>36.5652 * CHOOSE(CONTROL!$C$13, $C$13, 100%, $E$13) + CHOOSE(CONTROL!$C$32, 0.0021, 0)</f>
        <v>36.567299999999996</v>
      </c>
      <c r="E242" s="4">
        <f>162.925643674765 * CHOOSE(CONTROL!$C$13, $C$13, 100%, $E$13) + CHOOSE(CONTROL!$C$32, 0.0021, 0)</f>
        <v>162.92774367476503</v>
      </c>
    </row>
    <row r="243" spans="1:5" ht="15">
      <c r="A243" s="13">
        <v>48519</v>
      </c>
      <c r="B243" s="4">
        <f>25.3116 * CHOOSE(CONTROL!$C$13, $C$13, 100%, $E$13) + CHOOSE(CONTROL!$C$32, 0.0272, 0)</f>
        <v>25.338799999999999</v>
      </c>
      <c r="C243" s="4">
        <f>24.9483 * CHOOSE(CONTROL!$C$13, $C$13, 100%, $E$13) + CHOOSE(CONTROL!$C$32, 0.0272, 0)</f>
        <v>24.9755</v>
      </c>
      <c r="D243" s="4">
        <f>36.3985 * CHOOSE(CONTROL!$C$13, $C$13, 100%, $E$13) + CHOOSE(CONTROL!$C$32, 0.0021, 0)</f>
        <v>36.400599999999997</v>
      </c>
      <c r="E243" s="4">
        <f>159.319264009068 * CHOOSE(CONTROL!$C$13, $C$13, 100%, $E$13) + CHOOSE(CONTROL!$C$32, 0.0021, 0)</f>
        <v>159.32136400906802</v>
      </c>
    </row>
    <row r="244" spans="1:5" ht="15">
      <c r="A244" s="13">
        <v>48549</v>
      </c>
      <c r="B244" s="4">
        <f>24.9273 * CHOOSE(CONTROL!$C$13, $C$13, 100%, $E$13) + CHOOSE(CONTROL!$C$32, 0.0272, 0)</f>
        <v>24.954499999999999</v>
      </c>
      <c r="C244" s="4">
        <f>24.564 * CHOOSE(CONTROL!$C$13, $C$13, 100%, $E$13) + CHOOSE(CONTROL!$C$32, 0.0272, 0)</f>
        <v>24.591200000000001</v>
      </c>
      <c r="D244" s="4">
        <f>35.1709 * CHOOSE(CONTROL!$C$13, $C$13, 100%, $E$13) + CHOOSE(CONTROL!$C$32, 0.0021, 0)</f>
        <v>35.173000000000002</v>
      </c>
      <c r="E244" s="4">
        <f>156.8241128604 * CHOOSE(CONTROL!$C$13, $C$13, 100%, $E$13) + CHOOSE(CONTROL!$C$32, 0.0021, 0)</f>
        <v>156.82621286040001</v>
      </c>
    </row>
    <row r="245" spans="1:5" ht="15">
      <c r="A245" s="13">
        <v>48580</v>
      </c>
      <c r="B245" s="4">
        <f>23.9201 * CHOOSE(CONTROL!$C$13, $C$13, 100%, $E$13) + CHOOSE(CONTROL!$C$32, 0.0272, 0)</f>
        <v>23.947300000000002</v>
      </c>
      <c r="C245" s="4">
        <f>23.5568 * CHOOSE(CONTROL!$C$13, $C$13, 100%, $E$13) + CHOOSE(CONTROL!$C$32, 0.0272, 0)</f>
        <v>23.584</v>
      </c>
      <c r="D245" s="4">
        <f>33.7576 * CHOOSE(CONTROL!$C$13, $C$13, 100%, $E$13) + CHOOSE(CONTROL!$C$32, 0.0021, 0)</f>
        <v>33.759699999999995</v>
      </c>
      <c r="E245" s="4">
        <f>150.291751319077 * CHOOSE(CONTROL!$C$13, $C$13, 100%, $E$13) + CHOOSE(CONTROL!$C$32, 0.0021, 0)</f>
        <v>150.29385131907702</v>
      </c>
    </row>
    <row r="246" spans="1:5" ht="15">
      <c r="A246" s="13">
        <v>48611</v>
      </c>
      <c r="B246" s="4">
        <f>24.4697 * CHOOSE(CONTROL!$C$13, $C$13, 100%, $E$13) + CHOOSE(CONTROL!$C$32, 0.0272, 0)</f>
        <v>24.4969</v>
      </c>
      <c r="C246" s="4">
        <f>24.1064 * CHOOSE(CONTROL!$C$13, $C$13, 100%, $E$13) + CHOOSE(CONTROL!$C$32, 0.0272, 0)</f>
        <v>24.133600000000001</v>
      </c>
      <c r="D246" s="4">
        <f>34.8837 * CHOOSE(CONTROL!$C$13, $C$13, 100%, $E$13) + CHOOSE(CONTROL!$C$32, 0.0021, 0)</f>
        <v>34.885799999999996</v>
      </c>
      <c r="E246" s="4">
        <f>153.860269781573 * CHOOSE(CONTROL!$C$13, $C$13, 100%, $E$13) + CHOOSE(CONTROL!$C$32, 0.0021, 0)</f>
        <v>153.86236978157302</v>
      </c>
    </row>
    <row r="247" spans="1:5" ht="15">
      <c r="A247" s="13">
        <v>48639</v>
      </c>
      <c r="B247" s="4">
        <f>25.9129 * CHOOSE(CONTROL!$C$13, $C$13, 100%, $E$13) + CHOOSE(CONTROL!$C$32, 0.0272, 0)</f>
        <v>25.940100000000001</v>
      </c>
      <c r="C247" s="4">
        <f>25.5497 * CHOOSE(CONTROL!$C$13, $C$13, 100%, $E$13) + CHOOSE(CONTROL!$C$32, 0.0272, 0)</f>
        <v>25.576900000000002</v>
      </c>
      <c r="D247" s="4">
        <f>36.6465 * CHOOSE(CONTROL!$C$13, $C$13, 100%, $E$13) + CHOOSE(CONTROL!$C$32, 0.0021, 0)</f>
        <v>36.648600000000002</v>
      </c>
      <c r="E247" s="4">
        <f>163.231388906677 * CHOOSE(CONTROL!$C$13, $C$13, 100%, $E$13) + CHOOSE(CONTROL!$C$32, 0.0021, 0)</f>
        <v>163.23348890667702</v>
      </c>
    </row>
    <row r="248" spans="1:5" ht="15">
      <c r="A248" s="13">
        <v>48670</v>
      </c>
      <c r="B248" s="4">
        <f>26.9384 * CHOOSE(CONTROL!$C$13, $C$13, 100%, $E$13) + CHOOSE(CONTROL!$C$32, 0.0272, 0)</f>
        <v>26.965600000000002</v>
      </c>
      <c r="C248" s="4">
        <f>26.5751 * CHOOSE(CONTROL!$C$13, $C$13, 100%, $E$13) + CHOOSE(CONTROL!$C$32, 0.0272, 0)</f>
        <v>26.6023</v>
      </c>
      <c r="D248" s="4">
        <f>37.6619 * CHOOSE(CONTROL!$C$13, $C$13, 100%, $E$13) + CHOOSE(CONTROL!$C$32, 0.0021, 0)</f>
        <v>37.664000000000001</v>
      </c>
      <c r="E248" s="4">
        <f>169.889693931647 * CHOOSE(CONTROL!$C$13, $C$13, 100%, $E$13) + CHOOSE(CONTROL!$C$32, 0.0021, 0)</f>
        <v>169.89179393164702</v>
      </c>
    </row>
    <row r="249" spans="1:5" ht="15">
      <c r="A249" s="13">
        <v>48700</v>
      </c>
      <c r="B249" s="4">
        <f>27.5649 * CHOOSE(CONTROL!$C$13, $C$13, 100%, $E$13) + CHOOSE(CONTROL!$C$32, 0.0272, 0)</f>
        <v>27.592100000000002</v>
      </c>
      <c r="C249" s="4">
        <f>27.2016 * CHOOSE(CONTROL!$C$13, $C$13, 100%, $E$13) + CHOOSE(CONTROL!$C$32, 0.0272, 0)</f>
        <v>27.2288</v>
      </c>
      <c r="D249" s="4">
        <f>37.2607 * CHOOSE(CONTROL!$C$13, $C$13, 100%, $E$13) + CHOOSE(CONTROL!$C$32, 0.0021, 0)</f>
        <v>37.262799999999999</v>
      </c>
      <c r="E249" s="4">
        <f>173.957758724603 * CHOOSE(CONTROL!$C$13, $C$13, 100%, $E$13) + CHOOSE(CONTROL!$C$32, 0.0021, 0)</f>
        <v>173.95985872460301</v>
      </c>
    </row>
    <row r="250" spans="1:5" ht="15">
      <c r="A250" s="13">
        <v>48731</v>
      </c>
      <c r="B250" s="4">
        <f>27.6497 * CHOOSE(CONTROL!$C$13, $C$13, 100%, $E$13) + CHOOSE(CONTROL!$C$32, 0.0272, 0)</f>
        <v>27.6769</v>
      </c>
      <c r="C250" s="4">
        <f>27.2864 * CHOOSE(CONTROL!$C$13, $C$13, 100%, $E$13) + CHOOSE(CONTROL!$C$32, 0.0272, 0)</f>
        <v>27.313600000000001</v>
      </c>
      <c r="D250" s="4">
        <f>37.5875 * CHOOSE(CONTROL!$C$13, $C$13, 100%, $E$13) + CHOOSE(CONTROL!$C$32, 0.0021, 0)</f>
        <v>37.589599999999997</v>
      </c>
      <c r="E250" s="4">
        <f>174.508184773906 * CHOOSE(CONTROL!$C$13, $C$13, 100%, $E$13) + CHOOSE(CONTROL!$C$32, 0.0021, 0)</f>
        <v>174.51028477390602</v>
      </c>
    </row>
    <row r="251" spans="1:5" ht="15">
      <c r="A251" s="13">
        <v>48761</v>
      </c>
      <c r="B251" s="4">
        <f>27.6411 * CHOOSE(CONTROL!$C$13, $C$13, 100%, $E$13) + CHOOSE(CONTROL!$C$32, 0.0272, 0)</f>
        <v>27.668300000000002</v>
      </c>
      <c r="C251" s="4">
        <f>27.2779 * CHOOSE(CONTROL!$C$13, $C$13, 100%, $E$13) + CHOOSE(CONTROL!$C$32, 0.0272, 0)</f>
        <v>27.305099999999999</v>
      </c>
      <c r="D251" s="4">
        <f>38.1771 * CHOOSE(CONTROL!$C$13, $C$13, 100%, $E$13) + CHOOSE(CONTROL!$C$32, 0.0021, 0)</f>
        <v>38.179200000000002</v>
      </c>
      <c r="E251" s="4">
        <f>174.452679626077 * CHOOSE(CONTROL!$C$13, $C$13, 100%, $E$13) + CHOOSE(CONTROL!$C$32, 0.0021, 0)</f>
        <v>174.45477962607703</v>
      </c>
    </row>
    <row r="252" spans="1:5" ht="15">
      <c r="A252" s="13">
        <v>48792</v>
      </c>
      <c r="B252" s="4">
        <f>28.2844 * CHOOSE(CONTROL!$C$13, $C$13, 100%, $E$13) + CHOOSE(CONTROL!$C$32, 0.0272, 0)</f>
        <v>28.311600000000002</v>
      </c>
      <c r="C252" s="4">
        <f>27.9211 * CHOOSE(CONTROL!$C$13, $C$13, 100%, $E$13) + CHOOSE(CONTROL!$C$32, 0.0272, 0)</f>
        <v>27.9483</v>
      </c>
      <c r="D252" s="4">
        <f>37.7877 * CHOOSE(CONTROL!$C$13, $C$13, 100%, $E$13) + CHOOSE(CONTROL!$C$32, 0.0021, 0)</f>
        <v>37.7898</v>
      </c>
      <c r="E252" s="4">
        <f>178.629442000198 * CHOOSE(CONTROL!$C$13, $C$13, 100%, $E$13) + CHOOSE(CONTROL!$C$32, 0.0021, 0)</f>
        <v>178.63154200019801</v>
      </c>
    </row>
    <row r="253" spans="1:5" ht="15">
      <c r="A253" s="13">
        <v>48823</v>
      </c>
      <c r="B253" s="4">
        <f>27.1881 * CHOOSE(CONTROL!$C$13, $C$13, 100%, $E$13) + CHOOSE(CONTROL!$C$32, 0.0272, 0)</f>
        <v>27.215299999999999</v>
      </c>
      <c r="C253" s="4">
        <f>26.8248 * CHOOSE(CONTROL!$C$13, $C$13, 100%, $E$13) + CHOOSE(CONTROL!$C$32, 0.0272, 0)</f>
        <v>26.852</v>
      </c>
      <c r="D253" s="4">
        <f>37.6037 * CHOOSE(CONTROL!$C$13, $C$13, 100%, $E$13) + CHOOSE(CONTROL!$C$32, 0.0021, 0)</f>
        <v>37.605800000000002</v>
      </c>
      <c r="E253" s="4">
        <f>171.510906791148 * CHOOSE(CONTROL!$C$13, $C$13, 100%, $E$13) + CHOOSE(CONTROL!$C$32, 0.0021, 0)</f>
        <v>171.513006791148</v>
      </c>
    </row>
    <row r="254" spans="1:5" ht="15">
      <c r="A254" s="13">
        <v>48853</v>
      </c>
      <c r="B254" s="4">
        <f>26.3104 * CHOOSE(CONTROL!$C$13, $C$13, 100%, $E$13) + CHOOSE(CONTROL!$C$32, 0.0272, 0)</f>
        <v>26.337600000000002</v>
      </c>
      <c r="C254" s="4">
        <f>25.9472 * CHOOSE(CONTROL!$C$13, $C$13, 100%, $E$13) + CHOOSE(CONTROL!$C$32, 0.0272, 0)</f>
        <v>25.974399999999999</v>
      </c>
      <c r="D254" s="4">
        <f>37.1111 * CHOOSE(CONTROL!$C$13, $C$13, 100%, $E$13) + CHOOSE(CONTROL!$C$32, 0.0021, 0)</f>
        <v>37.113199999999999</v>
      </c>
      <c r="E254" s="4">
        <f>165.812378280719 * CHOOSE(CONTROL!$C$13, $C$13, 100%, $E$13) + CHOOSE(CONTROL!$C$32, 0.0021, 0)</f>
        <v>165.81447828071902</v>
      </c>
    </row>
    <row r="255" spans="1:5" ht="15">
      <c r="A255" s="13">
        <v>48884</v>
      </c>
      <c r="B255" s="4">
        <f>25.7452 * CHOOSE(CONTROL!$C$13, $C$13, 100%, $E$13) + CHOOSE(CONTROL!$C$32, 0.0272, 0)</f>
        <v>25.772400000000001</v>
      </c>
      <c r="C255" s="4">
        <f>25.3819 * CHOOSE(CONTROL!$C$13, $C$13, 100%, $E$13) + CHOOSE(CONTROL!$C$32, 0.0272, 0)</f>
        <v>25.409100000000002</v>
      </c>
      <c r="D255" s="4">
        <f>36.9417 * CHOOSE(CONTROL!$C$13, $C$13, 100%, $E$13) + CHOOSE(CONTROL!$C$32, 0.0021, 0)</f>
        <v>36.943799999999996</v>
      </c>
      <c r="E255" s="4">
        <f>162.142100380536 * CHOOSE(CONTROL!$C$13, $C$13, 100%, $E$13) + CHOOSE(CONTROL!$C$32, 0.0021, 0)</f>
        <v>162.14420038053601</v>
      </c>
    </row>
    <row r="256" spans="1:5" ht="15">
      <c r="A256" s="13">
        <v>48914</v>
      </c>
      <c r="B256" s="4">
        <f>25.3541 * CHOOSE(CONTROL!$C$13, $C$13, 100%, $E$13) + CHOOSE(CONTROL!$C$32, 0.0272, 0)</f>
        <v>25.3813</v>
      </c>
      <c r="C256" s="4">
        <f>24.9908 * CHOOSE(CONTROL!$C$13, $C$13, 100%, $E$13) + CHOOSE(CONTROL!$C$32, 0.0272, 0)</f>
        <v>25.018000000000001</v>
      </c>
      <c r="D256" s="4">
        <f>35.6949 * CHOOSE(CONTROL!$C$13, $C$13, 100%, $E$13) + CHOOSE(CONTROL!$C$32, 0.0021, 0)</f>
        <v>35.696999999999996</v>
      </c>
      <c r="E256" s="4">
        <f>159.602739867366 * CHOOSE(CONTROL!$C$13, $C$13, 100%, $E$13) + CHOOSE(CONTROL!$C$32, 0.0021, 0)</f>
        <v>159.60483986736602</v>
      </c>
    </row>
    <row r="257" spans="1:5" ht="15">
      <c r="A257" s="13">
        <v>48945</v>
      </c>
      <c r="B257" s="4">
        <f>24.329 * CHOOSE(CONTROL!$C$13, $C$13, 100%, $E$13) + CHOOSE(CONTROL!$C$32, 0.0272, 0)</f>
        <v>24.356200000000001</v>
      </c>
      <c r="C257" s="4">
        <f>23.9658 * CHOOSE(CONTROL!$C$13, $C$13, 100%, $E$13) + CHOOSE(CONTROL!$C$32, 0.0272, 0)</f>
        <v>23.993000000000002</v>
      </c>
      <c r="D257" s="4">
        <f>34.2593 * CHOOSE(CONTROL!$C$13, $C$13, 100%, $E$13) + CHOOSE(CONTROL!$C$32, 0.0021, 0)</f>
        <v>34.261400000000002</v>
      </c>
      <c r="E257" s="4">
        <f>152.954637220502 * CHOOSE(CONTROL!$C$13, $C$13, 100%, $E$13) + CHOOSE(CONTROL!$C$32, 0.0021, 0)</f>
        <v>152.95673722050202</v>
      </c>
    </row>
    <row r="258" spans="1:5" ht="15">
      <c r="A258" s="13">
        <v>48976</v>
      </c>
      <c r="B258" s="4">
        <f>24.8883 * CHOOSE(CONTROL!$C$13, $C$13, 100%, $E$13) + CHOOSE(CONTROL!$C$32, 0.0272, 0)</f>
        <v>24.915500000000002</v>
      </c>
      <c r="C258" s="4">
        <f>24.5251 * CHOOSE(CONTROL!$C$13, $C$13, 100%, $E$13) + CHOOSE(CONTROL!$C$32, 0.0272, 0)</f>
        <v>24.552299999999999</v>
      </c>
      <c r="D258" s="4">
        <f>35.4031 * CHOOSE(CONTROL!$C$13, $C$13, 100%, $E$13) + CHOOSE(CONTROL!$C$32, 0.0021, 0)</f>
        <v>35.405200000000001</v>
      </c>
      <c r="E258" s="4">
        <f>156.586383088491 * CHOOSE(CONTROL!$C$13, $C$13, 100%, $E$13) + CHOOSE(CONTROL!$C$32, 0.0021, 0)</f>
        <v>156.58848308849102</v>
      </c>
    </row>
    <row r="259" spans="1:5" ht="15">
      <c r="A259" s="13">
        <v>49004</v>
      </c>
      <c r="B259" s="4">
        <f>26.3571 * CHOOSE(CONTROL!$C$13, $C$13, 100%, $E$13) + CHOOSE(CONTROL!$C$32, 0.0272, 0)</f>
        <v>26.3843</v>
      </c>
      <c r="C259" s="4">
        <f>25.9938 * CHOOSE(CONTROL!$C$13, $C$13, 100%, $E$13) + CHOOSE(CONTROL!$C$32, 0.0272, 0)</f>
        <v>26.021000000000001</v>
      </c>
      <c r="D259" s="4">
        <f>37.1936 * CHOOSE(CONTROL!$C$13, $C$13, 100%, $E$13) + CHOOSE(CONTROL!$C$32, 0.0021, 0)</f>
        <v>37.195700000000002</v>
      </c>
      <c r="E259" s="4">
        <f>166.123540740525 * CHOOSE(CONTROL!$C$13, $C$13, 100%, $E$13) + CHOOSE(CONTROL!$C$32, 0.0021, 0)</f>
        <v>166.125640740525</v>
      </c>
    </row>
    <row r="260" spans="1:5" ht="15">
      <c r="A260" s="13">
        <v>49035</v>
      </c>
      <c r="B260" s="4">
        <f>27.4007 * CHOOSE(CONTROL!$C$13, $C$13, 100%, $E$13) + CHOOSE(CONTROL!$C$32, 0.0272, 0)</f>
        <v>27.427900000000001</v>
      </c>
      <c r="C260" s="4">
        <f>27.0374 * CHOOSE(CONTROL!$C$13, $C$13, 100%, $E$13) + CHOOSE(CONTROL!$C$32, 0.0272, 0)</f>
        <v>27.064600000000002</v>
      </c>
      <c r="D260" s="4">
        <f>38.225 * CHOOSE(CONTROL!$C$13, $C$13, 100%, $E$13) + CHOOSE(CONTROL!$C$32, 0.0021, 0)</f>
        <v>38.2271</v>
      </c>
      <c r="E260" s="4">
        <f>172.899818351633 * CHOOSE(CONTROL!$C$13, $C$13, 100%, $E$13) + CHOOSE(CONTROL!$C$32, 0.0021, 0)</f>
        <v>172.90191835163301</v>
      </c>
    </row>
    <row r="261" spans="1:5" ht="15">
      <c r="A261" s="13">
        <v>49065</v>
      </c>
      <c r="B261" s="4">
        <f>28.0383 * CHOOSE(CONTROL!$C$13, $C$13, 100%, $E$13) + CHOOSE(CONTROL!$C$32, 0.0272, 0)</f>
        <v>28.0655</v>
      </c>
      <c r="C261" s="4">
        <f>27.675 * CHOOSE(CONTROL!$C$13, $C$13, 100%, $E$13) + CHOOSE(CONTROL!$C$32, 0.0272, 0)</f>
        <v>27.702200000000001</v>
      </c>
      <c r="D261" s="4">
        <f>37.8175 * CHOOSE(CONTROL!$C$13, $C$13, 100%, $E$13) + CHOOSE(CONTROL!$C$32, 0.0021, 0)</f>
        <v>37.819600000000001</v>
      </c>
      <c r="E261" s="4">
        <f>177.039961567311 * CHOOSE(CONTROL!$C$13, $C$13, 100%, $E$13) + CHOOSE(CONTROL!$C$32, 0.0021, 0)</f>
        <v>177.04206156731101</v>
      </c>
    </row>
    <row r="262" spans="1:5" ht="15">
      <c r="A262" s="13">
        <v>49096</v>
      </c>
      <c r="B262" s="4">
        <f>28.1245 * CHOOSE(CONTROL!$C$13, $C$13, 100%, $E$13) + CHOOSE(CONTROL!$C$32, 0.0272, 0)</f>
        <v>28.151700000000002</v>
      </c>
      <c r="C262" s="4">
        <f>27.7613 * CHOOSE(CONTROL!$C$13, $C$13, 100%, $E$13) + CHOOSE(CONTROL!$C$32, 0.0272, 0)</f>
        <v>27.788499999999999</v>
      </c>
      <c r="D262" s="4">
        <f>38.1494 * CHOOSE(CONTROL!$C$13, $C$13, 100%, $E$13) + CHOOSE(CONTROL!$C$32, 0.0021, 0)</f>
        <v>38.151499999999999</v>
      </c>
      <c r="E262" s="4">
        <f>177.60014012634 * CHOOSE(CONTROL!$C$13, $C$13, 100%, $E$13) + CHOOSE(CONTROL!$C$32, 0.0021, 0)</f>
        <v>177.60224012634001</v>
      </c>
    </row>
    <row r="263" spans="1:5" ht="15">
      <c r="A263" s="13">
        <v>49126</v>
      </c>
      <c r="B263" s="4">
        <f>28.1158 * CHOOSE(CONTROL!$C$13, $C$13, 100%, $E$13) + CHOOSE(CONTROL!$C$32, 0.0272, 0)</f>
        <v>28.143000000000001</v>
      </c>
      <c r="C263" s="4">
        <f>27.7526 * CHOOSE(CONTROL!$C$13, $C$13, 100%, $E$13) + CHOOSE(CONTROL!$C$32, 0.0272, 0)</f>
        <v>27.779800000000002</v>
      </c>
      <c r="D263" s="4">
        <f>38.7483 * CHOOSE(CONTROL!$C$13, $C$13, 100%, $E$13) + CHOOSE(CONTROL!$C$32, 0.0021, 0)</f>
        <v>38.750399999999999</v>
      </c>
      <c r="E263" s="4">
        <f>177.543651532152 * CHOOSE(CONTROL!$C$13, $C$13, 100%, $E$13) + CHOOSE(CONTROL!$C$32, 0.0021, 0)</f>
        <v>177.54575153215202</v>
      </c>
    </row>
    <row r="264" spans="1:5" ht="15">
      <c r="A264" s="13">
        <v>49157</v>
      </c>
      <c r="B264" s="4">
        <f>28.7705 * CHOOSE(CONTROL!$C$13, $C$13, 100%, $E$13) + CHOOSE(CONTROL!$C$32, 0.0272, 0)</f>
        <v>28.797699999999999</v>
      </c>
      <c r="C264" s="4">
        <f>28.4072 * CHOOSE(CONTROL!$C$13, $C$13, 100%, $E$13) + CHOOSE(CONTROL!$C$32, 0.0272, 0)</f>
        <v>28.4344</v>
      </c>
      <c r="D264" s="4">
        <f>38.3528 * CHOOSE(CONTROL!$C$13, $C$13, 100%, $E$13) + CHOOSE(CONTROL!$C$32, 0.0021, 0)</f>
        <v>38.354900000000001</v>
      </c>
      <c r="E264" s="4">
        <f>181.794418244782 * CHOOSE(CONTROL!$C$13, $C$13, 100%, $E$13) + CHOOSE(CONTROL!$C$32, 0.0021, 0)</f>
        <v>181.79651824478202</v>
      </c>
    </row>
    <row r="265" spans="1:5" ht="15">
      <c r="A265" s="13">
        <v>49188</v>
      </c>
      <c r="B265" s="4">
        <f>27.6548 * CHOOSE(CONTROL!$C$13, $C$13, 100%, $E$13) + CHOOSE(CONTROL!$C$32, 0.0272, 0)</f>
        <v>27.682000000000002</v>
      </c>
      <c r="C265" s="4">
        <f>27.2915 * CHOOSE(CONTROL!$C$13, $C$13, 100%, $E$13) + CHOOSE(CONTROL!$C$32, 0.0272, 0)</f>
        <v>27.3187</v>
      </c>
      <c r="D265" s="4">
        <f>38.1659 * CHOOSE(CONTROL!$C$13, $C$13, 100%, $E$13) + CHOOSE(CONTROL!$C$32, 0.0021, 0)</f>
        <v>38.167999999999999</v>
      </c>
      <c r="E265" s="4">
        <f>174.549756040201 * CHOOSE(CONTROL!$C$13, $C$13, 100%, $E$13) + CHOOSE(CONTROL!$C$32, 0.0021, 0)</f>
        <v>174.55185604020102</v>
      </c>
    </row>
    <row r="266" spans="1:5" ht="15">
      <c r="A266" s="13">
        <v>49218</v>
      </c>
      <c r="B266" s="4">
        <f>26.7616 * CHOOSE(CONTROL!$C$13, $C$13, 100%, $E$13) + CHOOSE(CONTROL!$C$32, 0.0272, 0)</f>
        <v>26.788800000000002</v>
      </c>
      <c r="C266" s="4">
        <f>26.3984 * CHOOSE(CONTROL!$C$13, $C$13, 100%, $E$13) + CHOOSE(CONTROL!$C$32, 0.0272, 0)</f>
        <v>26.425599999999999</v>
      </c>
      <c r="D266" s="4">
        <f>37.6656 * CHOOSE(CONTROL!$C$13, $C$13, 100%, $E$13) + CHOOSE(CONTROL!$C$32, 0.0021, 0)</f>
        <v>37.667699999999996</v>
      </c>
      <c r="E266" s="4">
        <f>168.750260370257 * CHOOSE(CONTROL!$C$13, $C$13, 100%, $E$13) + CHOOSE(CONTROL!$C$32, 0.0021, 0)</f>
        <v>168.75236037025701</v>
      </c>
    </row>
    <row r="267" spans="1:5" ht="15">
      <c r="A267" s="13">
        <v>49249</v>
      </c>
      <c r="B267" s="4">
        <f>26.1864 * CHOOSE(CONTROL!$C$13, $C$13, 100%, $E$13) + CHOOSE(CONTROL!$C$32, 0.0272, 0)</f>
        <v>26.2136</v>
      </c>
      <c r="C267" s="4">
        <f>25.8231 * CHOOSE(CONTROL!$C$13, $C$13, 100%, $E$13) + CHOOSE(CONTROL!$C$32, 0.0272, 0)</f>
        <v>25.850300000000001</v>
      </c>
      <c r="D267" s="4">
        <f>37.4935 * CHOOSE(CONTROL!$C$13, $C$13, 100%, $E$13) + CHOOSE(CONTROL!$C$32, 0.0021, 0)</f>
        <v>37.495599999999996</v>
      </c>
      <c r="E267" s="4">
        <f>165.01495207959 * CHOOSE(CONTROL!$C$13, $C$13, 100%, $E$13) + CHOOSE(CONTROL!$C$32, 0.0021, 0)</f>
        <v>165.01705207959</v>
      </c>
    </row>
    <row r="268" spans="1:5" ht="15">
      <c r="A268" s="13">
        <v>49279</v>
      </c>
      <c r="B268" s="4">
        <f>25.7884 * CHOOSE(CONTROL!$C$13, $C$13, 100%, $E$13) + CHOOSE(CONTROL!$C$32, 0.0272, 0)</f>
        <v>25.8156</v>
      </c>
      <c r="C268" s="4">
        <f>25.4251 * CHOOSE(CONTROL!$C$13, $C$13, 100%, $E$13) + CHOOSE(CONTROL!$C$32, 0.0272, 0)</f>
        <v>25.452300000000001</v>
      </c>
      <c r="D268" s="4">
        <f>36.2271 * CHOOSE(CONTROL!$C$13, $C$13, 100%, $E$13) + CHOOSE(CONTROL!$C$32, 0.0021, 0)</f>
        <v>36.229199999999999</v>
      </c>
      <c r="E268" s="4">
        <f>162.4305988955 * CHOOSE(CONTROL!$C$13, $C$13, 100%, $E$13) + CHOOSE(CONTROL!$C$32, 0.0021, 0)</f>
        <v>162.43269889550001</v>
      </c>
    </row>
    <row r="269" spans="1:5" ht="15">
      <c r="A269" s="13">
        <v>49310</v>
      </c>
      <c r="B269" s="4">
        <f>24.7452 * CHOOSE(CONTROL!$C$13, $C$13, 100%, $E$13) + CHOOSE(CONTROL!$C$32, 0.0272, 0)</f>
        <v>24.772400000000001</v>
      </c>
      <c r="C269" s="4">
        <f>24.382 * CHOOSE(CONTROL!$C$13, $C$13, 100%, $E$13) + CHOOSE(CONTROL!$C$32, 0.0272, 0)</f>
        <v>24.409200000000002</v>
      </c>
      <c r="D269" s="4">
        <f>34.7689 * CHOOSE(CONTROL!$C$13, $C$13, 100%, $E$13) + CHOOSE(CONTROL!$C$32, 0.0021, 0)</f>
        <v>34.771000000000001</v>
      </c>
      <c r="E269" s="4">
        <f>155.664704429363 * CHOOSE(CONTROL!$C$13, $C$13, 100%, $E$13) + CHOOSE(CONTROL!$C$32, 0.0021, 0)</f>
        <v>155.66680442936303</v>
      </c>
    </row>
    <row r="270" spans="1:5" ht="15">
      <c r="A270" s="13">
        <v>49341</v>
      </c>
      <c r="B270" s="4">
        <f>25.3144 * CHOOSE(CONTROL!$C$13, $C$13, 100%, $E$13) + CHOOSE(CONTROL!$C$32, 0.0272, 0)</f>
        <v>25.3416</v>
      </c>
      <c r="C270" s="4">
        <f>24.9511 * CHOOSE(CONTROL!$C$13, $C$13, 100%, $E$13) + CHOOSE(CONTROL!$C$32, 0.0272, 0)</f>
        <v>24.978300000000001</v>
      </c>
      <c r="D270" s="4">
        <f>35.9307 * CHOOSE(CONTROL!$C$13, $C$13, 100%, $E$13) + CHOOSE(CONTROL!$C$32, 0.0021, 0)</f>
        <v>35.9328</v>
      </c>
      <c r="E270" s="4">
        <f>159.360797973019 * CHOOSE(CONTROL!$C$13, $C$13, 100%, $E$13) + CHOOSE(CONTROL!$C$32, 0.0021, 0)</f>
        <v>159.36289797301902</v>
      </c>
    </row>
    <row r="271" spans="1:5" ht="15">
      <c r="A271" s="13">
        <v>49369</v>
      </c>
      <c r="B271" s="4">
        <f>26.8091 * CHOOSE(CONTROL!$C$13, $C$13, 100%, $E$13) + CHOOSE(CONTROL!$C$32, 0.0272, 0)</f>
        <v>26.836300000000001</v>
      </c>
      <c r="C271" s="4">
        <f>26.4458 * CHOOSE(CONTROL!$C$13, $C$13, 100%, $E$13) + CHOOSE(CONTROL!$C$32, 0.0272, 0)</f>
        <v>26.472999999999999</v>
      </c>
      <c r="D271" s="4">
        <f>37.7494 * CHOOSE(CONTROL!$C$13, $C$13, 100%, $E$13) + CHOOSE(CONTROL!$C$32, 0.0021, 0)</f>
        <v>37.7515</v>
      </c>
      <c r="E271" s="4">
        <f>169.066936041001 * CHOOSE(CONTROL!$C$13, $C$13, 100%, $E$13) + CHOOSE(CONTROL!$C$32, 0.0021, 0)</f>
        <v>169.069036041001</v>
      </c>
    </row>
    <row r="272" spans="1:5" ht="15">
      <c r="A272" s="13">
        <v>49400</v>
      </c>
      <c r="B272" s="4">
        <f>27.8711 * CHOOSE(CONTROL!$C$13, $C$13, 100%, $E$13) + CHOOSE(CONTROL!$C$32, 0.0272, 0)</f>
        <v>27.898299999999999</v>
      </c>
      <c r="C272" s="4">
        <f>27.5079 * CHOOSE(CONTROL!$C$13, $C$13, 100%, $E$13) + CHOOSE(CONTROL!$C$32, 0.0272, 0)</f>
        <v>27.5351</v>
      </c>
      <c r="D272" s="4">
        <f>38.797 * CHOOSE(CONTROL!$C$13, $C$13, 100%, $E$13) + CHOOSE(CONTROL!$C$32, 0.0021, 0)</f>
        <v>38.799099999999996</v>
      </c>
      <c r="E272" s="4">
        <f>175.963276489599 * CHOOSE(CONTROL!$C$13, $C$13, 100%, $E$13) + CHOOSE(CONTROL!$C$32, 0.0021, 0)</f>
        <v>175.96537648959901</v>
      </c>
    </row>
    <row r="273" spans="1:5" ht="15">
      <c r="A273" s="13">
        <v>49430</v>
      </c>
      <c r="B273" s="4">
        <f>28.52 * CHOOSE(CONTROL!$C$13, $C$13, 100%, $E$13) + CHOOSE(CONTROL!$C$32, 0.0272, 0)</f>
        <v>28.5472</v>
      </c>
      <c r="C273" s="4">
        <f>28.1567 * CHOOSE(CONTROL!$C$13, $C$13, 100%, $E$13) + CHOOSE(CONTROL!$C$32, 0.0272, 0)</f>
        <v>28.183900000000001</v>
      </c>
      <c r="D273" s="4">
        <f>38.383 * CHOOSE(CONTROL!$C$13, $C$13, 100%, $E$13) + CHOOSE(CONTROL!$C$32, 0.0021, 0)</f>
        <v>38.385100000000001</v>
      </c>
      <c r="E273" s="4">
        <f>180.176775221479 * CHOOSE(CONTROL!$C$13, $C$13, 100%, $E$13) + CHOOSE(CONTROL!$C$32, 0.0021, 0)</f>
        <v>180.17887522147902</v>
      </c>
    </row>
    <row r="274" spans="1:5" ht="15">
      <c r="A274" s="14">
        <v>49461</v>
      </c>
      <c r="B274" s="4">
        <f>28.6078 * CHOOSE(CONTROL!$C$13, $C$13, 100%, $E$13) + CHOOSE(CONTROL!$C$32, 0.0272, 0)</f>
        <v>28.635000000000002</v>
      </c>
      <c r="C274" s="4">
        <f>28.2445 * CHOOSE(CONTROL!$C$13, $C$13, 100%, $E$13) + CHOOSE(CONTROL!$C$32, 0.0272, 0)</f>
        <v>28.271699999999999</v>
      </c>
      <c r="D274" s="4">
        <f>38.7202 * CHOOSE(CONTROL!$C$13, $C$13, 100%, $E$13) + CHOOSE(CONTROL!$C$32, 0.0021, 0)</f>
        <v>38.722299999999997</v>
      </c>
      <c r="E274" s="4">
        <f>180.746879086282 * CHOOSE(CONTROL!$C$13, $C$13, 100%, $E$13) + CHOOSE(CONTROL!$C$32, 0.0021, 0)</f>
        <v>180.74897908628202</v>
      </c>
    </row>
    <row r="275" spans="1:5" ht="15">
      <c r="A275" s="14">
        <v>49491</v>
      </c>
      <c r="B275" s="4">
        <f>28.5989 * CHOOSE(CONTROL!$C$13, $C$13, 100%, $E$13) + CHOOSE(CONTROL!$C$32, 0.0272, 0)</f>
        <v>28.626100000000001</v>
      </c>
      <c r="C275" s="4">
        <f>28.2357 * CHOOSE(CONTROL!$C$13, $C$13, 100%, $E$13) + CHOOSE(CONTROL!$C$32, 0.0272, 0)</f>
        <v>28.262900000000002</v>
      </c>
      <c r="D275" s="4">
        <f>39.3285 * CHOOSE(CONTROL!$C$13, $C$13, 100%, $E$13) + CHOOSE(CONTROL!$C$32, 0.0021, 0)</f>
        <v>39.330599999999997</v>
      </c>
      <c r="E275" s="4">
        <f>180.689389620924 * CHOOSE(CONTROL!$C$13, $C$13, 100%, $E$13) + CHOOSE(CONTROL!$C$32, 0.0021, 0)</f>
        <v>180.69148962092402</v>
      </c>
    </row>
    <row r="276" spans="1:5" ht="15">
      <c r="A276" s="14">
        <v>49522</v>
      </c>
      <c r="B276" s="4">
        <f>29.2651 * CHOOSE(CONTROL!$C$13, $C$13, 100%, $E$13) + CHOOSE(CONTROL!$C$32, 0.0272, 0)</f>
        <v>29.292300000000001</v>
      </c>
      <c r="C276" s="4">
        <f>28.9019 * CHOOSE(CONTROL!$C$13, $C$13, 100%, $E$13) + CHOOSE(CONTROL!$C$32, 0.0272, 0)</f>
        <v>28.929100000000002</v>
      </c>
      <c r="D276" s="4">
        <f>38.9268 * CHOOSE(CONTROL!$C$13, $C$13, 100%, $E$13) + CHOOSE(CONTROL!$C$32, 0.0021, 0)</f>
        <v>38.928899999999999</v>
      </c>
      <c r="E276" s="4">
        <f>185.01547188913 * CHOOSE(CONTROL!$C$13, $C$13, 100%, $E$13) + CHOOSE(CONTROL!$C$32, 0.0021, 0)</f>
        <v>185.01757188913001</v>
      </c>
    </row>
    <row r="277" spans="1:5" ht="15">
      <c r="A277" s="14">
        <v>49553</v>
      </c>
      <c r="B277" s="4">
        <f>28.1297 * CHOOSE(CONTROL!$C$13, $C$13, 100%, $E$13) + CHOOSE(CONTROL!$C$32, 0.0272, 0)</f>
        <v>28.1569</v>
      </c>
      <c r="C277" s="4">
        <f>27.7664 * CHOOSE(CONTROL!$C$13, $C$13, 100%, $E$13) + CHOOSE(CONTROL!$C$32, 0.0272, 0)</f>
        <v>27.793600000000001</v>
      </c>
      <c r="D277" s="4">
        <f>38.737 * CHOOSE(CONTROL!$C$13, $C$13, 100%, $E$13) + CHOOSE(CONTROL!$C$32, 0.0021, 0)</f>
        <v>38.739100000000001</v>
      </c>
      <c r="E277" s="4">
        <f>177.642447956937 * CHOOSE(CONTROL!$C$13, $C$13, 100%, $E$13) + CHOOSE(CONTROL!$C$32, 0.0021, 0)</f>
        <v>177.644547956937</v>
      </c>
    </row>
    <row r="278" spans="1:5" ht="15">
      <c r="A278" s="14">
        <v>49583</v>
      </c>
      <c r="B278" s="4">
        <f>27.2208 * CHOOSE(CONTROL!$C$13, $C$13, 100%, $E$13) + CHOOSE(CONTROL!$C$32, 0.0272, 0)</f>
        <v>27.248000000000001</v>
      </c>
      <c r="C278" s="4">
        <f>26.8575 * CHOOSE(CONTROL!$C$13, $C$13, 100%, $E$13) + CHOOSE(CONTROL!$C$32, 0.0272, 0)</f>
        <v>26.884700000000002</v>
      </c>
      <c r="D278" s="4">
        <f>38.2287 * CHOOSE(CONTROL!$C$13, $C$13, 100%, $E$13) + CHOOSE(CONTROL!$C$32, 0.0021, 0)</f>
        <v>38.230800000000002</v>
      </c>
      <c r="E278" s="4">
        <f>171.740196180159 * CHOOSE(CONTROL!$C$13, $C$13, 100%, $E$13) + CHOOSE(CONTROL!$C$32, 0.0021, 0)</f>
        <v>171.742296180159</v>
      </c>
    </row>
    <row r="279" spans="1:5" ht="15">
      <c r="A279" s="14">
        <v>49614</v>
      </c>
      <c r="B279" s="4">
        <f>26.6354 * CHOOSE(CONTROL!$C$13, $C$13, 100%, $E$13) + CHOOSE(CONTROL!$C$32, 0.0272, 0)</f>
        <v>26.662600000000001</v>
      </c>
      <c r="C279" s="4">
        <f>26.2721 * CHOOSE(CONTROL!$C$13, $C$13, 100%, $E$13) + CHOOSE(CONTROL!$C$32, 0.0272, 0)</f>
        <v>26.299299999999999</v>
      </c>
      <c r="D279" s="4">
        <f>38.054 * CHOOSE(CONTROL!$C$13, $C$13, 100%, $E$13) + CHOOSE(CONTROL!$C$32, 0.0021, 0)</f>
        <v>38.056100000000001</v>
      </c>
      <c r="E279" s="4">
        <f>167.938705283346 * CHOOSE(CONTROL!$C$13, $C$13, 100%, $E$13) + CHOOSE(CONTROL!$C$32, 0.0021, 0)</f>
        <v>167.94080528334601</v>
      </c>
    </row>
    <row r="280" spans="1:5" ht="15">
      <c r="A280" s="14">
        <v>49644</v>
      </c>
      <c r="B280" s="4">
        <f>26.2304 * CHOOSE(CONTROL!$C$13, $C$13, 100%, $E$13) + CHOOSE(CONTROL!$C$32, 0.0272, 0)</f>
        <v>26.2576</v>
      </c>
      <c r="C280" s="4">
        <f>25.8671 * CHOOSE(CONTROL!$C$13, $C$13, 100%, $E$13) + CHOOSE(CONTROL!$C$32, 0.0272, 0)</f>
        <v>25.894300000000001</v>
      </c>
      <c r="D280" s="4">
        <f>36.7676 * CHOOSE(CONTROL!$C$13, $C$13, 100%, $E$13) + CHOOSE(CONTROL!$C$32, 0.0021, 0)</f>
        <v>36.7697</v>
      </c>
      <c r="E280" s="4">
        <f>165.308562243206 * CHOOSE(CONTROL!$C$13, $C$13, 100%, $E$13) + CHOOSE(CONTROL!$C$32, 0.0021, 0)</f>
        <v>165.31066224320602</v>
      </c>
    </row>
    <row r="281" spans="1:5" ht="15">
      <c r="A281" s="14">
        <v>49675</v>
      </c>
      <c r="B281" s="4">
        <f>25.1688 * CHOOSE(CONTROL!$C$13, $C$13, 100%, $E$13) + CHOOSE(CONTROL!$C$32, 0.0272, 0)</f>
        <v>25.196000000000002</v>
      </c>
      <c r="C281" s="4">
        <f>24.8055 * CHOOSE(CONTROL!$C$13, $C$13, 100%, $E$13) + CHOOSE(CONTROL!$C$32, 0.0272, 0)</f>
        <v>24.832699999999999</v>
      </c>
      <c r="D281" s="4">
        <f>35.2866 * CHOOSE(CONTROL!$C$13, $C$13, 100%, $E$13) + CHOOSE(CONTROL!$C$32, 0.0021, 0)</f>
        <v>35.288699999999999</v>
      </c>
      <c r="E281" s="4">
        <f>158.422788909292 * CHOOSE(CONTROL!$C$13, $C$13, 100%, $E$13) + CHOOSE(CONTROL!$C$32, 0.0021, 0)</f>
        <v>158.42488890929201</v>
      </c>
    </row>
    <row r="282" spans="1:5" ht="15">
      <c r="A282" s="14">
        <v>49706</v>
      </c>
      <c r="B282" s="4">
        <f>25.748 * CHOOSE(CONTROL!$C$13, $C$13, 100%, $E$13) + CHOOSE(CONTROL!$C$32, 0.0272, 0)</f>
        <v>25.775200000000002</v>
      </c>
      <c r="C282" s="4">
        <f>25.3847 * CHOOSE(CONTROL!$C$13, $C$13, 100%, $E$13) + CHOOSE(CONTROL!$C$32, 0.0272, 0)</f>
        <v>25.411899999999999</v>
      </c>
      <c r="D282" s="4">
        <f>36.4666 * CHOOSE(CONTROL!$C$13, $C$13, 100%, $E$13) + CHOOSE(CONTROL!$C$32, 0.0021, 0)</f>
        <v>36.468699999999998</v>
      </c>
      <c r="E282" s="4">
        <f>162.184370247863 * CHOOSE(CONTROL!$C$13, $C$13, 100%, $E$13) + CHOOSE(CONTROL!$C$32, 0.0021, 0)</f>
        <v>162.18647024786301</v>
      </c>
    </row>
    <row r="283" spans="1:5" ht="15">
      <c r="A283" s="14">
        <v>49735</v>
      </c>
      <c r="B283" s="4">
        <f>27.2691 * CHOOSE(CONTROL!$C$13, $C$13, 100%, $E$13) + CHOOSE(CONTROL!$C$32, 0.0272, 0)</f>
        <v>27.296300000000002</v>
      </c>
      <c r="C283" s="4">
        <f>26.9059 * CHOOSE(CONTROL!$C$13, $C$13, 100%, $E$13) + CHOOSE(CONTROL!$C$32, 0.0272, 0)</f>
        <v>26.9331</v>
      </c>
      <c r="D283" s="4">
        <f>38.3139 * CHOOSE(CONTROL!$C$13, $C$13, 100%, $E$13) + CHOOSE(CONTROL!$C$32, 0.0021, 0)</f>
        <v>38.315999999999995</v>
      </c>
      <c r="E283" s="4">
        <f>172.062482745523 * CHOOSE(CONTROL!$C$13, $C$13, 100%, $E$13) + CHOOSE(CONTROL!$C$32, 0.0021, 0)</f>
        <v>172.06458274552301</v>
      </c>
    </row>
    <row r="284" spans="1:5" ht="15">
      <c r="A284" s="14">
        <v>49766</v>
      </c>
      <c r="B284" s="4">
        <f>28.3499 * CHOOSE(CONTROL!$C$13, $C$13, 100%, $E$13) + CHOOSE(CONTROL!$C$32, 0.0272, 0)</f>
        <v>28.377100000000002</v>
      </c>
      <c r="C284" s="4">
        <f>27.9866 * CHOOSE(CONTROL!$C$13, $C$13, 100%, $E$13) + CHOOSE(CONTROL!$C$32, 0.0272, 0)</f>
        <v>28.0138</v>
      </c>
      <c r="D284" s="4">
        <f>39.378 * CHOOSE(CONTROL!$C$13, $C$13, 100%, $E$13) + CHOOSE(CONTROL!$C$32, 0.0021, 0)</f>
        <v>39.380099999999999</v>
      </c>
      <c r="E284" s="4">
        <f>179.081013318269 * CHOOSE(CONTROL!$C$13, $C$13, 100%, $E$13) + CHOOSE(CONTROL!$C$32, 0.0021, 0)</f>
        <v>179.083113318269</v>
      </c>
    </row>
    <row r="285" spans="1:5" ht="15">
      <c r="A285" s="14">
        <v>49796</v>
      </c>
      <c r="B285" s="4">
        <f>29.0102 * CHOOSE(CONTROL!$C$13, $C$13, 100%, $E$13) + CHOOSE(CONTROL!$C$32, 0.0272, 0)</f>
        <v>29.037400000000002</v>
      </c>
      <c r="C285" s="4">
        <f>28.647 * CHOOSE(CONTROL!$C$13, $C$13, 100%, $E$13) + CHOOSE(CONTROL!$C$32, 0.0272, 0)</f>
        <v>28.674199999999999</v>
      </c>
      <c r="D285" s="4">
        <f>38.9575 * CHOOSE(CONTROL!$C$13, $C$13, 100%, $E$13) + CHOOSE(CONTROL!$C$32, 0.0021, 0)</f>
        <v>38.959600000000002</v>
      </c>
      <c r="E285" s="4">
        <f>183.369167287515 * CHOOSE(CONTROL!$C$13, $C$13, 100%, $E$13) + CHOOSE(CONTROL!$C$32, 0.0021, 0)</f>
        <v>183.37126728751502</v>
      </c>
    </row>
    <row r="286" spans="1:5" ht="15">
      <c r="A286" s="14">
        <v>49827</v>
      </c>
      <c r="B286" s="4">
        <f>29.0996 * CHOOSE(CONTROL!$C$13, $C$13, 100%, $E$13) + CHOOSE(CONTROL!$C$32, 0.0272, 0)</f>
        <v>29.126799999999999</v>
      </c>
      <c r="C286" s="4">
        <f>28.7363 * CHOOSE(CONTROL!$C$13, $C$13, 100%, $E$13) + CHOOSE(CONTROL!$C$32, 0.0272, 0)</f>
        <v>28.763500000000001</v>
      </c>
      <c r="D286" s="4">
        <f>39.2999 * CHOOSE(CONTROL!$C$13, $C$13, 100%, $E$13) + CHOOSE(CONTROL!$C$32, 0.0021, 0)</f>
        <v>39.302</v>
      </c>
      <c r="E286" s="4">
        <f>183.949372315758 * CHOOSE(CONTROL!$C$13, $C$13, 100%, $E$13) + CHOOSE(CONTROL!$C$32, 0.0021, 0)</f>
        <v>183.95147231575802</v>
      </c>
    </row>
    <row r="287" spans="1:5" ht="15">
      <c r="A287" s="14">
        <v>49857</v>
      </c>
      <c r="B287" s="4">
        <f>29.0906 * CHOOSE(CONTROL!$C$13, $C$13, 100%, $E$13) + CHOOSE(CONTROL!$C$32, 0.0272, 0)</f>
        <v>29.117799999999999</v>
      </c>
      <c r="C287" s="4">
        <f>28.7273 * CHOOSE(CONTROL!$C$13, $C$13, 100%, $E$13) + CHOOSE(CONTROL!$C$32, 0.0272, 0)</f>
        <v>28.7545</v>
      </c>
      <c r="D287" s="4">
        <f>39.9178 * CHOOSE(CONTROL!$C$13, $C$13, 100%, $E$13) + CHOOSE(CONTROL!$C$32, 0.0021, 0)</f>
        <v>39.919899999999998</v>
      </c>
      <c r="E287" s="4">
        <f>183.890864245683 * CHOOSE(CONTROL!$C$13, $C$13, 100%, $E$13) + CHOOSE(CONTROL!$C$32, 0.0021, 0)</f>
        <v>183.892964245683</v>
      </c>
    </row>
    <row r="288" spans="1:5" ht="15">
      <c r="A288" s="14">
        <v>49888</v>
      </c>
      <c r="B288" s="4">
        <f>29.7685 * CHOOSE(CONTROL!$C$13, $C$13, 100%, $E$13) + CHOOSE(CONTROL!$C$32, 0.0272, 0)</f>
        <v>29.7957</v>
      </c>
      <c r="C288" s="4">
        <f>29.4053 * CHOOSE(CONTROL!$C$13, $C$13, 100%, $E$13) + CHOOSE(CONTROL!$C$32, 0.0272, 0)</f>
        <v>29.432500000000001</v>
      </c>
      <c r="D288" s="4">
        <f>39.5098 * CHOOSE(CONTROL!$C$13, $C$13, 100%, $E$13) + CHOOSE(CONTROL!$C$32, 0.0021, 0)</f>
        <v>39.511899999999997</v>
      </c>
      <c r="E288" s="4">
        <f>188.293596518826 * CHOOSE(CONTROL!$C$13, $C$13, 100%, $E$13) + CHOOSE(CONTROL!$C$32, 0.0021, 0)</f>
        <v>188.29569651882602</v>
      </c>
    </row>
    <row r="289" spans="1:5" ht="15">
      <c r="A289" s="14">
        <v>49919</v>
      </c>
      <c r="B289" s="4">
        <f>28.6131 * CHOOSE(CONTROL!$C$13, $C$13, 100%, $E$13) + CHOOSE(CONTROL!$C$32, 0.0272, 0)</f>
        <v>28.6403</v>
      </c>
      <c r="C289" s="4">
        <f>28.2498 * CHOOSE(CONTROL!$C$13, $C$13, 100%, $E$13) + CHOOSE(CONTROL!$C$32, 0.0272, 0)</f>
        <v>28.277000000000001</v>
      </c>
      <c r="D289" s="4">
        <f>39.317 * CHOOSE(CONTROL!$C$13, $C$13, 100%, $E$13) + CHOOSE(CONTROL!$C$32, 0.0021, 0)</f>
        <v>39.319099999999999</v>
      </c>
      <c r="E289" s="4">
        <f>180.789936531709 * CHOOSE(CONTROL!$C$13, $C$13, 100%, $E$13) + CHOOSE(CONTROL!$C$32, 0.0021, 0)</f>
        <v>180.79203653170902</v>
      </c>
    </row>
    <row r="290" spans="1:5" ht="15">
      <c r="A290" s="14">
        <v>49949</v>
      </c>
      <c r="B290" s="4">
        <f>27.6881 * CHOOSE(CONTROL!$C$13, $C$13, 100%, $E$13) + CHOOSE(CONTROL!$C$32, 0.0272, 0)</f>
        <v>27.715299999999999</v>
      </c>
      <c r="C290" s="4">
        <f>27.3248 * CHOOSE(CONTROL!$C$13, $C$13, 100%, $E$13) + CHOOSE(CONTROL!$C$32, 0.0272, 0)</f>
        <v>27.352</v>
      </c>
      <c r="D290" s="4">
        <f>38.8007 * CHOOSE(CONTROL!$C$13, $C$13, 100%, $E$13) + CHOOSE(CONTROL!$C$32, 0.0021, 0)</f>
        <v>38.802799999999998</v>
      </c>
      <c r="E290" s="4">
        <f>174.78310800401 * CHOOSE(CONTROL!$C$13, $C$13, 100%, $E$13) + CHOOSE(CONTROL!$C$32, 0.0021, 0)</f>
        <v>174.78520800401</v>
      </c>
    </row>
    <row r="291" spans="1:5" ht="15">
      <c r="A291" s="14">
        <v>49980</v>
      </c>
      <c r="B291" s="4">
        <f>27.0923 * CHOOSE(CONTROL!$C$13, $C$13, 100%, $E$13) + CHOOSE(CONTROL!$C$32, 0.0272, 0)</f>
        <v>27.119500000000002</v>
      </c>
      <c r="C291" s="4">
        <f>26.729 * CHOOSE(CONTROL!$C$13, $C$13, 100%, $E$13) + CHOOSE(CONTROL!$C$32, 0.0272, 0)</f>
        <v>26.7562</v>
      </c>
      <c r="D291" s="4">
        <f>38.6233 * CHOOSE(CONTROL!$C$13, $C$13, 100%, $E$13) + CHOOSE(CONTROL!$C$32, 0.0021, 0)</f>
        <v>38.625399999999999</v>
      </c>
      <c r="E291" s="4">
        <f>170.914261870302 * CHOOSE(CONTROL!$C$13, $C$13, 100%, $E$13) + CHOOSE(CONTROL!$C$32, 0.0021, 0)</f>
        <v>170.91636187030201</v>
      </c>
    </row>
    <row r="292" spans="1:5" ht="15">
      <c r="A292" s="14">
        <v>50010</v>
      </c>
      <c r="B292" s="4">
        <f>26.6801 * CHOOSE(CONTROL!$C$13, $C$13, 100%, $E$13) + CHOOSE(CONTROL!$C$32, 0.0272, 0)</f>
        <v>26.7073</v>
      </c>
      <c r="C292" s="4">
        <f>26.3168 * CHOOSE(CONTROL!$C$13, $C$13, 100%, $E$13) + CHOOSE(CONTROL!$C$32, 0.0272, 0)</f>
        <v>26.344000000000001</v>
      </c>
      <c r="D292" s="4">
        <f>37.3166 * CHOOSE(CONTROL!$C$13, $C$13, 100%, $E$13) + CHOOSE(CONTROL!$C$32, 0.0021, 0)</f>
        <v>37.3187</v>
      </c>
      <c r="E292" s="4">
        <f>168.237517664371 * CHOOSE(CONTROL!$C$13, $C$13, 100%, $E$13) + CHOOSE(CONTROL!$C$32, 0.0021, 0)</f>
        <v>168.23961766437102</v>
      </c>
    </row>
    <row r="293" spans="1:5" ht="15">
      <c r="A293" s="14">
        <v>50041</v>
      </c>
      <c r="B293" s="4">
        <f>25.5998 * CHOOSE(CONTROL!$C$13, $C$13, 100%, $E$13) + CHOOSE(CONTROL!$C$32, 0.0272, 0)</f>
        <v>25.626999999999999</v>
      </c>
      <c r="C293" s="4">
        <f>25.2365 * CHOOSE(CONTROL!$C$13, $C$13, 100%, $E$13) + CHOOSE(CONTROL!$C$32, 0.0272, 0)</f>
        <v>25.2637</v>
      </c>
      <c r="D293" s="4">
        <f>35.8123 * CHOOSE(CONTROL!$C$13, $C$13, 100%, $E$13) + CHOOSE(CONTROL!$C$32, 0.0021, 0)</f>
        <v>35.814399999999999</v>
      </c>
      <c r="E293" s="4">
        <f>161.229741435618 * CHOOSE(CONTROL!$C$13, $C$13, 100%, $E$13) + CHOOSE(CONTROL!$C$32, 0.0021, 0)</f>
        <v>161.23184143561801</v>
      </c>
    </row>
    <row r="294" spans="1:5" ht="15">
      <c r="A294" s="14">
        <v>50072</v>
      </c>
      <c r="B294" s="4">
        <f>26.1893 * CHOOSE(CONTROL!$C$13, $C$13, 100%, $E$13) + CHOOSE(CONTROL!$C$32, 0.0272, 0)</f>
        <v>26.2165</v>
      </c>
      <c r="C294" s="4">
        <f>25.826 * CHOOSE(CONTROL!$C$13, $C$13, 100%, $E$13) + CHOOSE(CONTROL!$C$32, 0.0272, 0)</f>
        <v>25.853200000000001</v>
      </c>
      <c r="D294" s="4">
        <f>37.0109 * CHOOSE(CONTROL!$C$13, $C$13, 100%, $E$13) + CHOOSE(CONTROL!$C$32, 0.0021, 0)</f>
        <v>37.012999999999998</v>
      </c>
      <c r="E294" s="4">
        <f>165.05797088911 * CHOOSE(CONTROL!$C$13, $C$13, 100%, $E$13) + CHOOSE(CONTROL!$C$32, 0.0021, 0)</f>
        <v>165.06007088911002</v>
      </c>
    </row>
    <row r="295" spans="1:5" ht="15">
      <c r="A295" s="14">
        <v>50100</v>
      </c>
      <c r="B295" s="4">
        <f>27.7373 * CHOOSE(CONTROL!$C$13, $C$13, 100%, $E$13) + CHOOSE(CONTROL!$C$32, 0.0272, 0)</f>
        <v>27.764500000000002</v>
      </c>
      <c r="C295" s="4">
        <f>27.374 * CHOOSE(CONTROL!$C$13, $C$13, 100%, $E$13) + CHOOSE(CONTROL!$C$32, 0.0272, 0)</f>
        <v>27.401199999999999</v>
      </c>
      <c r="D295" s="4">
        <f>38.8872 * CHOOSE(CONTROL!$C$13, $C$13, 100%, $E$13) + CHOOSE(CONTROL!$C$32, 0.0021, 0)</f>
        <v>38.889299999999999</v>
      </c>
      <c r="E295" s="4">
        <f>175.111104878448 * CHOOSE(CONTROL!$C$13, $C$13, 100%, $E$13) + CHOOSE(CONTROL!$C$32, 0.0021, 0)</f>
        <v>175.11320487844802</v>
      </c>
    </row>
    <row r="296" spans="1:5" ht="15">
      <c r="A296" s="14">
        <v>50131</v>
      </c>
      <c r="B296" s="4">
        <f>28.8371 * CHOOSE(CONTROL!$C$13, $C$13, 100%, $E$13) + CHOOSE(CONTROL!$C$32, 0.0272, 0)</f>
        <v>28.8643</v>
      </c>
      <c r="C296" s="4">
        <f>28.4739 * CHOOSE(CONTROL!$C$13, $C$13, 100%, $E$13) + CHOOSE(CONTROL!$C$32, 0.0272, 0)</f>
        <v>28.501100000000001</v>
      </c>
      <c r="D296" s="4">
        <f>39.9681 * CHOOSE(CONTROL!$C$13, $C$13, 100%, $E$13) + CHOOSE(CONTROL!$C$32, 0.0021, 0)</f>
        <v>39.970199999999998</v>
      </c>
      <c r="E296" s="4">
        <f>182.253990553498 * CHOOSE(CONTROL!$C$13, $C$13, 100%, $E$13) + CHOOSE(CONTROL!$C$32, 0.0021, 0)</f>
        <v>182.25609055349801</v>
      </c>
    </row>
    <row r="297" spans="1:5" ht="15">
      <c r="A297" s="14">
        <v>50161</v>
      </c>
      <c r="B297" s="4">
        <f>29.5091 * CHOOSE(CONTROL!$C$13, $C$13, 100%, $E$13) + CHOOSE(CONTROL!$C$32, 0.0272, 0)</f>
        <v>29.536300000000001</v>
      </c>
      <c r="C297" s="4">
        <f>29.1458 * CHOOSE(CONTROL!$C$13, $C$13, 100%, $E$13) + CHOOSE(CONTROL!$C$32, 0.0272, 0)</f>
        <v>29.173000000000002</v>
      </c>
      <c r="D297" s="4">
        <f>39.541 * CHOOSE(CONTROL!$C$13, $C$13, 100%, $E$13) + CHOOSE(CONTROL!$C$32, 0.0021, 0)</f>
        <v>39.543099999999995</v>
      </c>
      <c r="E297" s="4">
        <f>186.618122509877 * CHOOSE(CONTROL!$C$13, $C$13, 100%, $E$13) + CHOOSE(CONTROL!$C$32, 0.0021, 0)</f>
        <v>186.62022250987701</v>
      </c>
    </row>
    <row r="298" spans="1:5" ht="15">
      <c r="A298" s="14">
        <v>50192</v>
      </c>
      <c r="B298" s="4">
        <f>29.6001 * CHOOSE(CONTROL!$C$13, $C$13, 100%, $E$13) + CHOOSE(CONTROL!$C$32, 0.0272, 0)</f>
        <v>29.627300000000002</v>
      </c>
      <c r="C298" s="4">
        <f>29.2368 * CHOOSE(CONTROL!$C$13, $C$13, 100%, $E$13) + CHOOSE(CONTROL!$C$32, 0.0272, 0)</f>
        <v>29.263999999999999</v>
      </c>
      <c r="D298" s="4">
        <f>39.8888 * CHOOSE(CONTROL!$C$13, $C$13, 100%, $E$13) + CHOOSE(CONTROL!$C$32, 0.0021, 0)</f>
        <v>39.890900000000002</v>
      </c>
      <c r="E298" s="4">
        <f>187.208607675094 * CHOOSE(CONTROL!$C$13, $C$13, 100%, $E$13) + CHOOSE(CONTROL!$C$32, 0.0021, 0)</f>
        <v>187.210707675094</v>
      </c>
    </row>
    <row r="299" spans="1:5" ht="15">
      <c r="A299" s="14">
        <v>50222</v>
      </c>
      <c r="B299" s="4">
        <f>29.5909 * CHOOSE(CONTROL!$C$13, $C$13, 100%, $E$13) + CHOOSE(CONTROL!$C$32, 0.0272, 0)</f>
        <v>29.618100000000002</v>
      </c>
      <c r="C299" s="4">
        <f>29.2276 * CHOOSE(CONTROL!$C$13, $C$13, 100%, $E$13) + CHOOSE(CONTROL!$C$32, 0.0272, 0)</f>
        <v>29.254799999999999</v>
      </c>
      <c r="D299" s="4">
        <f>40.5164 * CHOOSE(CONTROL!$C$13, $C$13, 100%, $E$13) + CHOOSE(CONTROL!$C$32, 0.0021, 0)</f>
        <v>40.518499999999996</v>
      </c>
      <c r="E299" s="4">
        <f>187.149062952551 * CHOOSE(CONTROL!$C$13, $C$13, 100%, $E$13) + CHOOSE(CONTROL!$C$32, 0.0021, 0)</f>
        <v>187.151162952551</v>
      </c>
    </row>
    <row r="300" spans="1:5" ht="15">
      <c r="A300" s="14">
        <v>50253</v>
      </c>
      <c r="B300" s="4">
        <f>30.2808 * CHOOSE(CONTROL!$C$13, $C$13, 100%, $E$13) + CHOOSE(CONTROL!$C$32, 0.0272, 0)</f>
        <v>30.308</v>
      </c>
      <c r="C300" s="4">
        <f>29.9176 * CHOOSE(CONTROL!$C$13, $C$13, 100%, $E$13) + CHOOSE(CONTROL!$C$32, 0.0272, 0)</f>
        <v>29.944800000000001</v>
      </c>
      <c r="D300" s="4">
        <f>40.1019 * CHOOSE(CONTROL!$C$13, $C$13, 100%, $E$13) + CHOOSE(CONTROL!$C$32, 0.0021, 0)</f>
        <v>40.103999999999999</v>
      </c>
      <c r="E300" s="4">
        <f>191.62980332391 * CHOOSE(CONTROL!$C$13, $C$13, 100%, $E$13) + CHOOSE(CONTROL!$C$32, 0.0021, 0)</f>
        <v>191.63190332391002</v>
      </c>
    </row>
    <row r="301" spans="1:5" ht="15">
      <c r="A301" s="14">
        <v>50284</v>
      </c>
      <c r="B301" s="4">
        <f>29.1049 * CHOOSE(CONTROL!$C$13, $C$13, 100%, $E$13) + CHOOSE(CONTROL!$C$32, 0.0272, 0)</f>
        <v>29.132100000000001</v>
      </c>
      <c r="C301" s="4">
        <f>28.7417 * CHOOSE(CONTROL!$C$13, $C$13, 100%, $E$13) + CHOOSE(CONTROL!$C$32, 0.0272, 0)</f>
        <v>28.768900000000002</v>
      </c>
      <c r="D301" s="4">
        <f>39.9061 * CHOOSE(CONTROL!$C$13, $C$13, 100%, $E$13) + CHOOSE(CONTROL!$C$32, 0.0021, 0)</f>
        <v>39.908200000000001</v>
      </c>
      <c r="E301" s="4">
        <f>183.993192657774 * CHOOSE(CONTROL!$C$13, $C$13, 100%, $E$13) + CHOOSE(CONTROL!$C$32, 0.0021, 0)</f>
        <v>183.995292657774</v>
      </c>
    </row>
    <row r="302" spans="1:5" ht="15">
      <c r="A302" s="14">
        <v>50314</v>
      </c>
      <c r="B302" s="4">
        <f>28.1636 * CHOOSE(CONTROL!$C$13, $C$13, 100%, $E$13) + CHOOSE(CONTROL!$C$32, 0.0272, 0)</f>
        <v>28.190799999999999</v>
      </c>
      <c r="C302" s="4">
        <f>27.8003 * CHOOSE(CONTROL!$C$13, $C$13, 100%, $E$13) + CHOOSE(CONTROL!$C$32, 0.0272, 0)</f>
        <v>27.827500000000001</v>
      </c>
      <c r="D302" s="4">
        <f>39.3818 * CHOOSE(CONTROL!$C$13, $C$13, 100%, $E$13) + CHOOSE(CONTROL!$C$32, 0.0021, 0)</f>
        <v>39.383899999999997</v>
      </c>
      <c r="E302" s="4">
        <f>177.879934476696 * CHOOSE(CONTROL!$C$13, $C$13, 100%, $E$13) + CHOOSE(CONTROL!$C$32, 0.0021, 0)</f>
        <v>177.88203447669602</v>
      </c>
    </row>
    <row r="303" spans="1:5" ht="15">
      <c r="A303" s="14">
        <v>50345</v>
      </c>
      <c r="B303" s="4">
        <f>27.5573 * CHOOSE(CONTROL!$C$13, $C$13, 100%, $E$13) + CHOOSE(CONTROL!$C$32, 0.0272, 0)</f>
        <v>27.584500000000002</v>
      </c>
      <c r="C303" s="4">
        <f>27.194 * CHOOSE(CONTROL!$C$13, $C$13, 100%, $E$13) + CHOOSE(CONTROL!$C$32, 0.0272, 0)</f>
        <v>27.2212</v>
      </c>
      <c r="D303" s="4">
        <f>39.2015 * CHOOSE(CONTROL!$C$13, $C$13, 100%, $E$13) + CHOOSE(CONTROL!$C$32, 0.0021, 0)</f>
        <v>39.203600000000002</v>
      </c>
      <c r="E303" s="4">
        <f>173.942539698542 * CHOOSE(CONTROL!$C$13, $C$13, 100%, $E$13) + CHOOSE(CONTROL!$C$32, 0.0021, 0)</f>
        <v>173.94463969854201</v>
      </c>
    </row>
    <row r="304" spans="1:5" ht="15">
      <c r="A304" s="14">
        <v>50375</v>
      </c>
      <c r="B304" s="4">
        <f>27.1379 * CHOOSE(CONTROL!$C$13, $C$13, 100%, $E$13) + CHOOSE(CONTROL!$C$32, 0.0272, 0)</f>
        <v>27.165099999999999</v>
      </c>
      <c r="C304" s="4">
        <f>26.7746 * CHOOSE(CONTROL!$C$13, $C$13, 100%, $E$13) + CHOOSE(CONTROL!$C$32, 0.0272, 0)</f>
        <v>26.8018</v>
      </c>
      <c r="D304" s="4">
        <f>37.8743 * CHOOSE(CONTROL!$C$13, $C$13, 100%, $E$13) + CHOOSE(CONTROL!$C$32, 0.0021, 0)</f>
        <v>37.876399999999997</v>
      </c>
      <c r="E304" s="4">
        <f>171.218368642201 * CHOOSE(CONTROL!$C$13, $C$13, 100%, $E$13) + CHOOSE(CONTROL!$C$32, 0.0021, 0)</f>
        <v>171.22046864220101</v>
      </c>
    </row>
    <row r="305" spans="1:5" ht="15">
      <c r="A305" s="13">
        <v>50436</v>
      </c>
      <c r="B305" s="4">
        <f>26.0384 * CHOOSE(CONTROL!$C$13, $C$13, 100%, $E$13) + CHOOSE(CONTROL!$C$32, 0.0272, 0)</f>
        <v>26.0656</v>
      </c>
      <c r="C305" s="4">
        <f>25.6752 * CHOOSE(CONTROL!$C$13, $C$13, 100%, $E$13) + CHOOSE(CONTROL!$C$32, 0.0272, 0)</f>
        <v>25.702400000000001</v>
      </c>
      <c r="D305" s="4">
        <f>36.3464 * CHOOSE(CONTROL!$C$13, $C$13, 100%, $E$13) + CHOOSE(CONTROL!$C$32, 0.0021, 0)</f>
        <v>36.348500000000001</v>
      </c>
      <c r="E305" s="4">
        <f>164.086427857801 * CHOOSE(CONTROL!$C$13, $C$13, 100%, $E$13) + CHOOSE(CONTROL!$C$32, 0.0021, 0)</f>
        <v>164.08852785780101</v>
      </c>
    </row>
    <row r="306" spans="1:5" ht="15">
      <c r="A306" s="13">
        <v>50464</v>
      </c>
      <c r="B306" s="4">
        <f>26.6383 * CHOOSE(CONTROL!$C$13, $C$13, 100%, $E$13) + CHOOSE(CONTROL!$C$32, 0.0272, 0)</f>
        <v>26.665500000000002</v>
      </c>
      <c r="C306" s="4">
        <f>26.275 * CHOOSE(CONTROL!$C$13, $C$13, 100%, $E$13) + CHOOSE(CONTROL!$C$32, 0.0272, 0)</f>
        <v>26.302199999999999</v>
      </c>
      <c r="D306" s="4">
        <f>37.5638 * CHOOSE(CONTROL!$C$13, $C$13, 100%, $E$13) + CHOOSE(CONTROL!$C$32, 0.0021, 0)</f>
        <v>37.565899999999999</v>
      </c>
      <c r="E306" s="4">
        <f>167.982486304898 * CHOOSE(CONTROL!$C$13, $C$13, 100%, $E$13) + CHOOSE(CONTROL!$C$32, 0.0021, 0)</f>
        <v>167.98458630489802</v>
      </c>
    </row>
    <row r="307" spans="1:5" ht="15">
      <c r="A307" s="13">
        <v>50495</v>
      </c>
      <c r="B307" s="4">
        <f>28.2137 * CHOOSE(CONTROL!$C$13, $C$13, 100%, $E$13) + CHOOSE(CONTROL!$C$32, 0.0272, 0)</f>
        <v>28.2409</v>
      </c>
      <c r="C307" s="4">
        <f>27.8504 * CHOOSE(CONTROL!$C$13, $C$13, 100%, $E$13) + CHOOSE(CONTROL!$C$32, 0.0272, 0)</f>
        <v>27.877600000000001</v>
      </c>
      <c r="D307" s="4">
        <f>39.4696 * CHOOSE(CONTROL!$C$13, $C$13, 100%, $E$13) + CHOOSE(CONTROL!$C$32, 0.0021, 0)</f>
        <v>39.471699999999998</v>
      </c>
      <c r="E307" s="4">
        <f>178.213742836095 * CHOOSE(CONTROL!$C$13, $C$13, 100%, $E$13) + CHOOSE(CONTROL!$C$32, 0.0021, 0)</f>
        <v>178.21584283609502</v>
      </c>
    </row>
    <row r="308" spans="1:5" ht="15">
      <c r="A308" s="13">
        <v>50525</v>
      </c>
      <c r="B308" s="4">
        <f>29.333 * CHOOSE(CONTROL!$C$13, $C$13, 100%, $E$13) + CHOOSE(CONTROL!$C$32, 0.0272, 0)</f>
        <v>29.360199999999999</v>
      </c>
      <c r="C308" s="4">
        <f>28.9697 * CHOOSE(CONTROL!$C$13, $C$13, 100%, $E$13) + CHOOSE(CONTROL!$C$32, 0.0272, 0)</f>
        <v>28.9969</v>
      </c>
      <c r="D308" s="4">
        <f>40.5674 * CHOOSE(CONTROL!$C$13, $C$13, 100%, $E$13) + CHOOSE(CONTROL!$C$32, 0.0021, 0)</f>
        <v>40.569499999999998</v>
      </c>
      <c r="E308" s="4">
        <f>185.483186950931 * CHOOSE(CONTROL!$C$13, $C$13, 100%, $E$13) + CHOOSE(CONTROL!$C$32, 0.0021, 0)</f>
        <v>185.48528695093103</v>
      </c>
    </row>
    <row r="309" spans="1:5" ht="15">
      <c r="A309" s="13">
        <v>50556</v>
      </c>
      <c r="B309" s="4">
        <f>30.0168 * CHOOSE(CONTROL!$C$13, $C$13, 100%, $E$13) + CHOOSE(CONTROL!$C$32, 0.0272, 0)</f>
        <v>30.044</v>
      </c>
      <c r="C309" s="4">
        <f>29.6536 * CHOOSE(CONTROL!$C$13, $C$13, 100%, $E$13) + CHOOSE(CONTROL!$C$32, 0.0272, 0)</f>
        <v>29.680800000000001</v>
      </c>
      <c r="D309" s="4">
        <f>40.1336 * CHOOSE(CONTROL!$C$13, $C$13, 100%, $E$13) + CHOOSE(CONTROL!$C$32, 0.0021, 0)</f>
        <v>40.1357</v>
      </c>
      <c r="E309" s="4">
        <f>189.924643080836 * CHOOSE(CONTROL!$C$13, $C$13, 100%, $E$13) + CHOOSE(CONTROL!$C$32, 0.0021, 0)</f>
        <v>189.92674308083602</v>
      </c>
    </row>
    <row r="310" spans="1:5" ht="15">
      <c r="A310" s="13">
        <v>50586</v>
      </c>
      <c r="B310" s="4">
        <f>30.1094 * CHOOSE(CONTROL!$C$13, $C$13, 100%, $E$13) + CHOOSE(CONTROL!$C$32, 0.0272, 0)</f>
        <v>30.136600000000001</v>
      </c>
      <c r="C310" s="4">
        <f>29.7461 * CHOOSE(CONTROL!$C$13, $C$13, 100%, $E$13) + CHOOSE(CONTROL!$C$32, 0.0272, 0)</f>
        <v>29.773299999999999</v>
      </c>
      <c r="D310" s="4">
        <f>40.4869 * CHOOSE(CONTROL!$C$13, $C$13, 100%, $E$13) + CHOOSE(CONTROL!$C$32, 0.0021, 0)</f>
        <v>40.488999999999997</v>
      </c>
      <c r="E310" s="4">
        <f>190.525590527634 * CHOOSE(CONTROL!$C$13, $C$13, 100%, $E$13) + CHOOSE(CONTROL!$C$32, 0.0021, 0)</f>
        <v>190.52769052763401</v>
      </c>
    </row>
    <row r="311" spans="1:5" ht="15">
      <c r="A311" s="13">
        <v>50617</v>
      </c>
      <c r="B311" s="4">
        <f>30.1 * CHOOSE(CONTROL!$C$13, $C$13, 100%, $E$13) + CHOOSE(CONTROL!$C$32, 0.0272, 0)</f>
        <v>30.127200000000002</v>
      </c>
      <c r="C311" s="4">
        <f>29.7368 * CHOOSE(CONTROL!$C$13, $C$13, 100%, $E$13) + CHOOSE(CONTROL!$C$32, 0.0272, 0)</f>
        <v>29.763999999999999</v>
      </c>
      <c r="D311" s="4">
        <f>41.1244 * CHOOSE(CONTROL!$C$13, $C$13, 100%, $E$13) + CHOOSE(CONTROL!$C$32, 0.0021, 0)</f>
        <v>41.1265</v>
      </c>
      <c r="E311" s="4">
        <f>190.464990785099 * CHOOSE(CONTROL!$C$13, $C$13, 100%, $E$13) + CHOOSE(CONTROL!$C$32, 0.0021, 0)</f>
        <v>190.467090785099</v>
      </c>
    </row>
    <row r="312" spans="1:5" ht="15">
      <c r="A312" s="13">
        <v>50648</v>
      </c>
      <c r="B312" s="4">
        <f>30.8022 * CHOOSE(CONTROL!$C$13, $C$13, 100%, $E$13) + CHOOSE(CONTROL!$C$32, 0.0272, 0)</f>
        <v>30.8294</v>
      </c>
      <c r="C312" s="4">
        <f>30.4389 * CHOOSE(CONTROL!$C$13, $C$13, 100%, $E$13) + CHOOSE(CONTROL!$C$32, 0.0272, 0)</f>
        <v>30.466100000000001</v>
      </c>
      <c r="D312" s="4">
        <f>40.7034 * CHOOSE(CONTROL!$C$13, $C$13, 100%, $E$13) + CHOOSE(CONTROL!$C$32, 0.0021, 0)</f>
        <v>40.705500000000001</v>
      </c>
      <c r="E312" s="4">
        <f>195.025121410801 * CHOOSE(CONTROL!$C$13, $C$13, 100%, $E$13) + CHOOSE(CONTROL!$C$32, 0.0021, 0)</f>
        <v>195.02722141080102</v>
      </c>
    </row>
    <row r="313" spans="1:5" ht="15">
      <c r="A313" s="13">
        <v>50678</v>
      </c>
      <c r="B313" s="4">
        <f>29.6055 * CHOOSE(CONTROL!$C$13, $C$13, 100%, $E$13) + CHOOSE(CONTROL!$C$32, 0.0272, 0)</f>
        <v>29.6327</v>
      </c>
      <c r="C313" s="4">
        <f>29.2422 * CHOOSE(CONTROL!$C$13, $C$13, 100%, $E$13) + CHOOSE(CONTROL!$C$32, 0.0272, 0)</f>
        <v>29.269400000000001</v>
      </c>
      <c r="D313" s="4">
        <f>40.5045 * CHOOSE(CONTROL!$C$13, $C$13, 100%, $E$13) + CHOOSE(CONTROL!$C$32, 0.0021, 0)</f>
        <v>40.506599999999999</v>
      </c>
      <c r="E313" s="4">
        <f>187.253204430785 * CHOOSE(CONTROL!$C$13, $C$13, 100%, $E$13) + CHOOSE(CONTROL!$C$32, 0.0021, 0)</f>
        <v>187.255304430785</v>
      </c>
    </row>
    <row r="314" spans="1:5" ht="15">
      <c r="A314" s="13">
        <v>50709</v>
      </c>
      <c r="B314" s="4">
        <f>28.6476 * CHOOSE(CONTROL!$C$13, $C$13, 100%, $E$13) + CHOOSE(CONTROL!$C$32, 0.0272, 0)</f>
        <v>28.674800000000001</v>
      </c>
      <c r="C314" s="4">
        <f>28.2843 * CHOOSE(CONTROL!$C$13, $C$13, 100%, $E$13) + CHOOSE(CONTROL!$C$32, 0.0272, 0)</f>
        <v>28.311500000000002</v>
      </c>
      <c r="D314" s="4">
        <f>39.9719 * CHOOSE(CONTROL!$C$13, $C$13, 100%, $E$13) + CHOOSE(CONTROL!$C$32, 0.0021, 0)</f>
        <v>39.973999999999997</v>
      </c>
      <c r="E314" s="4">
        <f>181.031630863937 * CHOOSE(CONTROL!$C$13, $C$13, 100%, $E$13) + CHOOSE(CONTROL!$C$32, 0.0021, 0)</f>
        <v>181.03373086393702</v>
      </c>
    </row>
    <row r="315" spans="1:5" ht="15">
      <c r="A315" s="13">
        <v>50739</v>
      </c>
      <c r="B315" s="4">
        <f>28.0306 * CHOOSE(CONTROL!$C$13, $C$13, 100%, $E$13) + CHOOSE(CONTROL!$C$32, 0.0272, 0)</f>
        <v>28.0578</v>
      </c>
      <c r="C315" s="4">
        <f>27.6673 * CHOOSE(CONTROL!$C$13, $C$13, 100%, $E$13) + CHOOSE(CONTROL!$C$32, 0.0272, 0)</f>
        <v>27.694500000000001</v>
      </c>
      <c r="D315" s="4">
        <f>39.7888 * CHOOSE(CONTROL!$C$13, $C$13, 100%, $E$13) + CHOOSE(CONTROL!$C$32, 0.0021, 0)</f>
        <v>39.790900000000001</v>
      </c>
      <c r="E315" s="4">
        <f>177.024472888861 * CHOOSE(CONTROL!$C$13, $C$13, 100%, $E$13) + CHOOSE(CONTROL!$C$32, 0.0021, 0)</f>
        <v>177.02657288886101</v>
      </c>
    </row>
    <row r="316" spans="1:5" ht="15">
      <c r="A316" s="13">
        <v>50770</v>
      </c>
      <c r="B316" s="4">
        <f>27.6037 * CHOOSE(CONTROL!$C$13, $C$13, 100%, $E$13) + CHOOSE(CONTROL!$C$32, 0.0272, 0)</f>
        <v>27.6309</v>
      </c>
      <c r="C316" s="4">
        <f>27.2404 * CHOOSE(CONTROL!$C$13, $C$13, 100%, $E$13) + CHOOSE(CONTROL!$C$32, 0.0272, 0)</f>
        <v>27.267600000000002</v>
      </c>
      <c r="D316" s="4">
        <f>38.4408 * CHOOSE(CONTROL!$C$13, $C$13, 100%, $E$13) + CHOOSE(CONTROL!$C$32, 0.0021, 0)</f>
        <v>38.442900000000002</v>
      </c>
      <c r="E316" s="4">
        <f>174.252034667919 * CHOOSE(CONTROL!$C$13, $C$13, 100%, $E$13) + CHOOSE(CONTROL!$C$32, 0.0021, 0)</f>
        <v>174.254134667919</v>
      </c>
    </row>
    <row r="317" spans="1:5" ht="15">
      <c r="A317" s="13">
        <v>50801</v>
      </c>
      <c r="B317" s="4">
        <f>26.4848 * CHOOSE(CONTROL!$C$13, $C$13, 100%, $E$13) + CHOOSE(CONTROL!$C$32, 0.0272, 0)</f>
        <v>26.512</v>
      </c>
      <c r="C317" s="4">
        <f>26.1215 * CHOOSE(CONTROL!$C$13, $C$13, 100%, $E$13) + CHOOSE(CONTROL!$C$32, 0.0272, 0)</f>
        <v>26.148700000000002</v>
      </c>
      <c r="D317" s="4">
        <f>36.8888 * CHOOSE(CONTROL!$C$13, $C$13, 100%, $E$13) + CHOOSE(CONTROL!$C$32, 0.0021, 0)</f>
        <v>36.890900000000002</v>
      </c>
      <c r="E317" s="4">
        <f>166.993729366519 * CHOOSE(CONTROL!$C$13, $C$13, 100%, $E$13) + CHOOSE(CONTROL!$C$32, 0.0021, 0)</f>
        <v>166.99582936651902</v>
      </c>
    </row>
    <row r="318" spans="1:5" ht="15">
      <c r="A318" s="13">
        <v>50829</v>
      </c>
      <c r="B318" s="4">
        <f>27.0953 * CHOOSE(CONTROL!$C$13, $C$13, 100%, $E$13) + CHOOSE(CONTROL!$C$32, 0.0272, 0)</f>
        <v>27.122500000000002</v>
      </c>
      <c r="C318" s="4">
        <f>26.732 * CHOOSE(CONTROL!$C$13, $C$13, 100%, $E$13) + CHOOSE(CONTROL!$C$32, 0.0272, 0)</f>
        <v>26.7592</v>
      </c>
      <c r="D318" s="4">
        <f>38.1254 * CHOOSE(CONTROL!$C$13, $C$13, 100%, $E$13) + CHOOSE(CONTROL!$C$32, 0.0021, 0)</f>
        <v>38.127499999999998</v>
      </c>
      <c r="E318" s="4">
        <f>170.958818608845 * CHOOSE(CONTROL!$C$13, $C$13, 100%, $E$13) + CHOOSE(CONTROL!$C$32, 0.0021, 0)</f>
        <v>170.96091860884502</v>
      </c>
    </row>
    <row r="319" spans="1:5" ht="15">
      <c r="A319" s="13">
        <v>50860</v>
      </c>
      <c r="B319" s="4">
        <f>28.6985 * CHOOSE(CONTROL!$C$13, $C$13, 100%, $E$13) + CHOOSE(CONTROL!$C$32, 0.0272, 0)</f>
        <v>28.7257</v>
      </c>
      <c r="C319" s="4">
        <f>28.3352 * CHOOSE(CONTROL!$C$13, $C$13, 100%, $E$13) + CHOOSE(CONTROL!$C$32, 0.0272, 0)</f>
        <v>28.362400000000001</v>
      </c>
      <c r="D319" s="4">
        <f>40.0612 * CHOOSE(CONTROL!$C$13, $C$13, 100%, $E$13) + CHOOSE(CONTROL!$C$32, 0.0021, 0)</f>
        <v>40.063299999999998</v>
      </c>
      <c r="E319" s="4">
        <f>181.371353676832 * CHOOSE(CONTROL!$C$13, $C$13, 100%, $E$13) + CHOOSE(CONTROL!$C$32, 0.0021, 0)</f>
        <v>181.37345367683201</v>
      </c>
    </row>
    <row r="320" spans="1:5" ht="15">
      <c r="A320" s="13">
        <v>50890</v>
      </c>
      <c r="B320" s="4">
        <f>29.8376 * CHOOSE(CONTROL!$C$13, $C$13, 100%, $E$13) + CHOOSE(CONTROL!$C$32, 0.0272, 0)</f>
        <v>29.864799999999999</v>
      </c>
      <c r="C320" s="4">
        <f>29.4743 * CHOOSE(CONTROL!$C$13, $C$13, 100%, $E$13) + CHOOSE(CONTROL!$C$32, 0.0272, 0)</f>
        <v>29.5015</v>
      </c>
      <c r="D320" s="4">
        <f>41.1762 * CHOOSE(CONTROL!$C$13, $C$13, 100%, $E$13) + CHOOSE(CONTROL!$C$32, 0.0021, 0)</f>
        <v>41.1783</v>
      </c>
      <c r="E320" s="4">
        <f>188.769598607912 * CHOOSE(CONTROL!$C$13, $C$13, 100%, $E$13) + CHOOSE(CONTROL!$C$32, 0.0021, 0)</f>
        <v>188.77169860791201</v>
      </c>
    </row>
    <row r="321" spans="1:5" ht="15">
      <c r="A321" s="13">
        <v>50921</v>
      </c>
      <c r="B321" s="4">
        <f>30.5335 * CHOOSE(CONTROL!$C$13, $C$13, 100%, $E$13) + CHOOSE(CONTROL!$C$32, 0.0272, 0)</f>
        <v>30.560700000000001</v>
      </c>
      <c r="C321" s="4">
        <f>30.1702 * CHOOSE(CONTROL!$C$13, $C$13, 100%, $E$13) + CHOOSE(CONTROL!$C$32, 0.0272, 0)</f>
        <v>30.197400000000002</v>
      </c>
      <c r="D321" s="4">
        <f>40.7356 * CHOOSE(CONTROL!$C$13, $C$13, 100%, $E$13) + CHOOSE(CONTROL!$C$32, 0.0021, 0)</f>
        <v>40.737699999999997</v>
      </c>
      <c r="E321" s="4">
        <f>193.289748949617 * CHOOSE(CONTROL!$C$13, $C$13, 100%, $E$13) + CHOOSE(CONTROL!$C$32, 0.0021, 0)</f>
        <v>193.29184894961702</v>
      </c>
    </row>
    <row r="322" spans="1:5" ht="15">
      <c r="A322" s="13">
        <v>50951</v>
      </c>
      <c r="B322" s="4">
        <f>30.6277 * CHOOSE(CONTROL!$C$13, $C$13, 100%, $E$13) + CHOOSE(CONTROL!$C$32, 0.0272, 0)</f>
        <v>30.654900000000001</v>
      </c>
      <c r="C322" s="4">
        <f>30.2644 * CHOOSE(CONTROL!$C$13, $C$13, 100%, $E$13) + CHOOSE(CONTROL!$C$32, 0.0272, 0)</f>
        <v>30.291599999999999</v>
      </c>
      <c r="D322" s="4">
        <f>41.0945 * CHOOSE(CONTROL!$C$13, $C$13, 100%, $E$13) + CHOOSE(CONTROL!$C$32, 0.0021, 0)</f>
        <v>41.096599999999995</v>
      </c>
      <c r="E322" s="4">
        <f>193.901344049859 * CHOOSE(CONTROL!$C$13, $C$13, 100%, $E$13) + CHOOSE(CONTROL!$C$32, 0.0021, 0)</f>
        <v>193.90344404985902</v>
      </c>
    </row>
    <row r="323" spans="1:5" ht="15">
      <c r="A323" s="13">
        <v>50982</v>
      </c>
      <c r="B323" s="4">
        <f>30.6182 * CHOOSE(CONTROL!$C$13, $C$13, 100%, $E$13) + CHOOSE(CONTROL!$C$32, 0.0272, 0)</f>
        <v>30.645400000000002</v>
      </c>
      <c r="C323" s="4">
        <f>30.2549 * CHOOSE(CONTROL!$C$13, $C$13, 100%, $E$13) + CHOOSE(CONTROL!$C$32, 0.0272, 0)</f>
        <v>30.2821</v>
      </c>
      <c r="D323" s="4">
        <f>41.742 * CHOOSE(CONTROL!$C$13, $C$13, 100%, $E$13) + CHOOSE(CONTROL!$C$32, 0.0021, 0)</f>
        <v>41.744099999999996</v>
      </c>
      <c r="E323" s="4">
        <f>193.839670594372 * CHOOSE(CONTROL!$C$13, $C$13, 100%, $E$13) + CHOOSE(CONTROL!$C$32, 0.0021, 0)</f>
        <v>193.84177059437201</v>
      </c>
    </row>
    <row r="324" spans="1:5" ht="15">
      <c r="A324" s="13">
        <v>51013</v>
      </c>
      <c r="B324" s="4">
        <f>31.3327 * CHOOSE(CONTROL!$C$13, $C$13, 100%, $E$13) + CHOOSE(CONTROL!$C$32, 0.0272, 0)</f>
        <v>31.3599</v>
      </c>
      <c r="C324" s="4">
        <f>30.9695 * CHOOSE(CONTROL!$C$13, $C$13, 100%, $E$13) + CHOOSE(CONTROL!$C$32, 0.0272, 0)</f>
        <v>30.996700000000001</v>
      </c>
      <c r="D324" s="4">
        <f>41.3144 * CHOOSE(CONTROL!$C$13, $C$13, 100%, $E$13) + CHOOSE(CONTROL!$C$32, 0.0021, 0)</f>
        <v>41.316499999999998</v>
      </c>
      <c r="E324" s="4">
        <f>198.480598119739 * CHOOSE(CONTROL!$C$13, $C$13, 100%, $E$13) + CHOOSE(CONTROL!$C$32, 0.0021, 0)</f>
        <v>198.48269811973901</v>
      </c>
    </row>
    <row r="325" spans="1:5" ht="15">
      <c r="A325" s="13">
        <v>51043</v>
      </c>
      <c r="B325" s="4">
        <f>30.1149 * CHOOSE(CONTROL!$C$13, $C$13, 100%, $E$13) + CHOOSE(CONTROL!$C$32, 0.0272, 0)</f>
        <v>30.142099999999999</v>
      </c>
      <c r="C325" s="4">
        <f>29.7516 * CHOOSE(CONTROL!$C$13, $C$13, 100%, $E$13) + CHOOSE(CONTROL!$C$32, 0.0272, 0)</f>
        <v>29.7788</v>
      </c>
      <c r="D325" s="4">
        <f>41.1123 * CHOOSE(CONTROL!$C$13, $C$13, 100%, $E$13) + CHOOSE(CONTROL!$C$32, 0.0021, 0)</f>
        <v>41.114399999999996</v>
      </c>
      <c r="E325" s="4">
        <f>190.570977453583 * CHOOSE(CONTROL!$C$13, $C$13, 100%, $E$13) + CHOOSE(CONTROL!$C$32, 0.0021, 0)</f>
        <v>190.57307745358301</v>
      </c>
    </row>
    <row r="326" spans="1:5" ht="15">
      <c r="A326" s="13">
        <v>51074</v>
      </c>
      <c r="B326" s="4">
        <f>29.14 * CHOOSE(CONTROL!$C$13, $C$13, 100%, $E$13) + CHOOSE(CONTROL!$C$32, 0.0272, 0)</f>
        <v>29.167200000000001</v>
      </c>
      <c r="C326" s="4">
        <f>28.7768 * CHOOSE(CONTROL!$C$13, $C$13, 100%, $E$13) + CHOOSE(CONTROL!$C$32, 0.0272, 0)</f>
        <v>28.804000000000002</v>
      </c>
      <c r="D326" s="4">
        <f>40.5714 * CHOOSE(CONTROL!$C$13, $C$13, 100%, $E$13) + CHOOSE(CONTROL!$C$32, 0.0021, 0)</f>
        <v>40.573499999999996</v>
      </c>
      <c r="E326" s="4">
        <f>184.239169356959 * CHOOSE(CONTROL!$C$13, $C$13, 100%, $E$13) + CHOOSE(CONTROL!$C$32, 0.0021, 0)</f>
        <v>184.24126935695901</v>
      </c>
    </row>
    <row r="327" spans="1:5" ht="15">
      <c r="A327" s="13">
        <v>51104</v>
      </c>
      <c r="B327" s="4">
        <f>28.5121 * CHOOSE(CONTROL!$C$13, $C$13, 100%, $E$13) + CHOOSE(CONTROL!$C$32, 0.0272, 0)</f>
        <v>28.539300000000001</v>
      </c>
      <c r="C327" s="4">
        <f>28.1489 * CHOOSE(CONTROL!$C$13, $C$13, 100%, $E$13) + CHOOSE(CONTROL!$C$32, 0.0272, 0)</f>
        <v>28.176100000000002</v>
      </c>
      <c r="D327" s="4">
        <f>40.3854 * CHOOSE(CONTROL!$C$13, $C$13, 100%, $E$13) + CHOOSE(CONTROL!$C$32, 0.0021, 0)</f>
        <v>40.387499999999996</v>
      </c>
      <c r="E327" s="4">
        <f>180.161012112908 * CHOOSE(CONTROL!$C$13, $C$13, 100%, $E$13) + CHOOSE(CONTROL!$C$32, 0.0021, 0)</f>
        <v>180.16311211290801</v>
      </c>
    </row>
    <row r="328" spans="1:5" ht="15">
      <c r="A328" s="13">
        <v>51135</v>
      </c>
      <c r="B328" s="4">
        <f>28.0777 * CHOOSE(CONTROL!$C$13, $C$13, 100%, $E$13) + CHOOSE(CONTROL!$C$32, 0.0272, 0)</f>
        <v>28.104900000000001</v>
      </c>
      <c r="C328" s="4">
        <f>27.7144 * CHOOSE(CONTROL!$C$13, $C$13, 100%, $E$13) + CHOOSE(CONTROL!$C$32, 0.0272, 0)</f>
        <v>27.741600000000002</v>
      </c>
      <c r="D328" s="4">
        <f>39.0161 * CHOOSE(CONTROL!$C$13, $C$13, 100%, $E$13) + CHOOSE(CONTROL!$C$32, 0.0021, 0)</f>
        <v>39.0182</v>
      </c>
      <c r="E328" s="4">
        <f>177.339451524396 * CHOOSE(CONTROL!$C$13, $C$13, 100%, $E$13) + CHOOSE(CONTROL!$C$32, 0.0021, 0)</f>
        <v>177.34155152439601</v>
      </c>
    </row>
    <row r="329" spans="1:5" ht="15">
      <c r="A329" s="13">
        <v>51166</v>
      </c>
      <c r="B329" s="4">
        <f>26.9391 * CHOOSE(CONTROL!$C$13, $C$13, 100%, $E$13) + CHOOSE(CONTROL!$C$32, 0.0272, 0)</f>
        <v>26.9663</v>
      </c>
      <c r="C329" s="4">
        <f>26.5758 * CHOOSE(CONTROL!$C$13, $C$13, 100%, $E$13) + CHOOSE(CONTROL!$C$32, 0.0272, 0)</f>
        <v>26.603000000000002</v>
      </c>
      <c r="D329" s="4">
        <f>37.4397 * CHOOSE(CONTROL!$C$13, $C$13, 100%, $E$13) + CHOOSE(CONTROL!$C$32, 0.0021, 0)</f>
        <v>37.441800000000001</v>
      </c>
      <c r="E329" s="4">
        <f>169.952542765483 * CHOOSE(CONTROL!$C$13, $C$13, 100%, $E$13) + CHOOSE(CONTROL!$C$32, 0.0021, 0)</f>
        <v>169.95464276548302</v>
      </c>
    </row>
    <row r="330" spans="1:5" ht="15">
      <c r="A330" s="13">
        <v>51194</v>
      </c>
      <c r="B330" s="4">
        <f>27.5604 * CHOOSE(CONTROL!$C$13, $C$13, 100%, $E$13) + CHOOSE(CONTROL!$C$32, 0.0272, 0)</f>
        <v>27.587600000000002</v>
      </c>
      <c r="C330" s="4">
        <f>27.1971 * CHOOSE(CONTROL!$C$13, $C$13, 100%, $E$13) + CHOOSE(CONTROL!$C$32, 0.0272, 0)</f>
        <v>27.224299999999999</v>
      </c>
      <c r="D330" s="4">
        <f>38.6958 * CHOOSE(CONTROL!$C$13, $C$13, 100%, $E$13) + CHOOSE(CONTROL!$C$32, 0.0021, 0)</f>
        <v>38.697899999999997</v>
      </c>
      <c r="E330" s="4">
        <f>173.987885898316 * CHOOSE(CONTROL!$C$13, $C$13, 100%, $E$13) + CHOOSE(CONTROL!$C$32, 0.0021, 0)</f>
        <v>173.98998589831601</v>
      </c>
    </row>
    <row r="331" spans="1:5" ht="15">
      <c r="A331" s="13">
        <v>51226</v>
      </c>
      <c r="B331" s="4">
        <f>29.1919 * CHOOSE(CONTROL!$C$13, $C$13, 100%, $E$13) + CHOOSE(CONTROL!$C$32, 0.0272, 0)</f>
        <v>29.219100000000001</v>
      </c>
      <c r="C331" s="4">
        <f>28.8286 * CHOOSE(CONTROL!$C$13, $C$13, 100%, $E$13) + CHOOSE(CONTROL!$C$32, 0.0272, 0)</f>
        <v>28.855800000000002</v>
      </c>
      <c r="D331" s="4">
        <f>40.662 * CHOOSE(CONTROL!$C$13, $C$13, 100%, $E$13) + CHOOSE(CONTROL!$C$32, 0.0021, 0)</f>
        <v>40.664099999999998</v>
      </c>
      <c r="E331" s="4">
        <f>184.584911416292 * CHOOSE(CONTROL!$C$13, $C$13, 100%, $E$13) + CHOOSE(CONTROL!$C$32, 0.0021, 0)</f>
        <v>184.587011416292</v>
      </c>
    </row>
    <row r="332" spans="1:5" ht="15">
      <c r="A332" s="13">
        <v>51256</v>
      </c>
      <c r="B332" s="4">
        <f>30.3511 * CHOOSE(CONTROL!$C$13, $C$13, 100%, $E$13) + CHOOSE(CONTROL!$C$32, 0.0272, 0)</f>
        <v>30.378299999999999</v>
      </c>
      <c r="C332" s="4">
        <f>29.9878 * CHOOSE(CONTROL!$C$13, $C$13, 100%, $E$13) + CHOOSE(CONTROL!$C$32, 0.0272, 0)</f>
        <v>30.015000000000001</v>
      </c>
      <c r="D332" s="4">
        <f>41.7946 * CHOOSE(CONTROL!$C$13, $C$13, 100%, $E$13) + CHOOSE(CONTROL!$C$32, 0.0021, 0)</f>
        <v>41.796700000000001</v>
      </c>
      <c r="E332" s="4">
        <f>192.114239270749 * CHOOSE(CONTROL!$C$13, $C$13, 100%, $E$13) + CHOOSE(CONTROL!$C$32, 0.0021, 0)</f>
        <v>192.11633927074902</v>
      </c>
    </row>
    <row r="333" spans="1:5" ht="15">
      <c r="A333" s="13">
        <v>51287</v>
      </c>
      <c r="B333" s="4">
        <f>31.0593 * CHOOSE(CONTROL!$C$13, $C$13, 100%, $E$13) + CHOOSE(CONTROL!$C$32, 0.0272, 0)</f>
        <v>31.086500000000001</v>
      </c>
      <c r="C333" s="4">
        <f>30.6961 * CHOOSE(CONTROL!$C$13, $C$13, 100%, $E$13) + CHOOSE(CONTROL!$C$32, 0.0272, 0)</f>
        <v>30.723300000000002</v>
      </c>
      <c r="D333" s="4">
        <f>41.3471 * CHOOSE(CONTROL!$C$13, $C$13, 100%, $E$13) + CHOOSE(CONTROL!$C$32, 0.0021, 0)</f>
        <v>41.349199999999996</v>
      </c>
      <c r="E333" s="4">
        <f>196.714478137017 * CHOOSE(CONTROL!$C$13, $C$13, 100%, $E$13) + CHOOSE(CONTROL!$C$32, 0.0021, 0)</f>
        <v>196.71657813701702</v>
      </c>
    </row>
    <row r="334" spans="1:5" ht="15">
      <c r="A334" s="13">
        <v>51317</v>
      </c>
      <c r="B334" s="4">
        <f>31.1552 * CHOOSE(CONTROL!$C$13, $C$13, 100%, $E$13) + CHOOSE(CONTROL!$C$32, 0.0272, 0)</f>
        <v>31.182400000000001</v>
      </c>
      <c r="C334" s="4">
        <f>30.7919 * CHOOSE(CONTROL!$C$13, $C$13, 100%, $E$13) + CHOOSE(CONTROL!$C$32, 0.0272, 0)</f>
        <v>30.819099999999999</v>
      </c>
      <c r="D334" s="4">
        <f>41.7116 * CHOOSE(CONTROL!$C$13, $C$13, 100%, $E$13) + CHOOSE(CONTROL!$C$32, 0.0021, 0)</f>
        <v>41.713699999999996</v>
      </c>
      <c r="E334" s="4">
        <f>197.336909547007 * CHOOSE(CONTROL!$C$13, $C$13, 100%, $E$13) + CHOOSE(CONTROL!$C$32, 0.0021, 0)</f>
        <v>197.33900954700701</v>
      </c>
    </row>
    <row r="335" spans="1:5" ht="15">
      <c r="A335" s="13">
        <v>51348</v>
      </c>
      <c r="B335" s="4">
        <f>31.1455 * CHOOSE(CONTROL!$C$13, $C$13, 100%, $E$13) + CHOOSE(CONTROL!$C$32, 0.0272, 0)</f>
        <v>31.172699999999999</v>
      </c>
      <c r="C335" s="4">
        <f>30.7822 * CHOOSE(CONTROL!$C$13, $C$13, 100%, $E$13) + CHOOSE(CONTROL!$C$32, 0.0272, 0)</f>
        <v>30.8094</v>
      </c>
      <c r="D335" s="4">
        <f>42.3692 * CHOOSE(CONTROL!$C$13, $C$13, 100%, $E$13) + CHOOSE(CONTROL!$C$32, 0.0021, 0)</f>
        <v>42.371299999999998</v>
      </c>
      <c r="E335" s="4">
        <f>197.274143354403 * CHOOSE(CONTROL!$C$13, $C$13, 100%, $E$13) + CHOOSE(CONTROL!$C$32, 0.0021, 0)</f>
        <v>197.27624335440302</v>
      </c>
    </row>
    <row r="336" spans="1:5" ht="15">
      <c r="A336" s="13">
        <v>51379</v>
      </c>
      <c r="B336" s="4">
        <f>31.8727 * CHOOSE(CONTROL!$C$13, $C$13, 100%, $E$13) + CHOOSE(CONTROL!$C$32, 0.0272, 0)</f>
        <v>31.899899999999999</v>
      </c>
      <c r="C336" s="4">
        <f>31.5094 * CHOOSE(CONTROL!$C$13, $C$13, 100%, $E$13) + CHOOSE(CONTROL!$C$32, 0.0272, 0)</f>
        <v>31.5366</v>
      </c>
      <c r="D336" s="4">
        <f>41.9349 * CHOOSE(CONTROL!$C$13, $C$13, 100%, $E$13) + CHOOSE(CONTROL!$C$32, 0.0021, 0)</f>
        <v>41.936999999999998</v>
      </c>
      <c r="E336" s="4">
        <f>201.997299347855 * CHOOSE(CONTROL!$C$13, $C$13, 100%, $E$13) + CHOOSE(CONTROL!$C$32, 0.0021, 0)</f>
        <v>201.99939934785502</v>
      </c>
    </row>
    <row r="337" spans="1:5" ht="15">
      <c r="A337" s="13">
        <v>51409</v>
      </c>
      <c r="B337" s="4">
        <f>30.6333 * CHOOSE(CONTROL!$C$13, $C$13, 100%, $E$13) + CHOOSE(CONTROL!$C$32, 0.0272, 0)</f>
        <v>30.660499999999999</v>
      </c>
      <c r="C337" s="4">
        <f>30.2701 * CHOOSE(CONTROL!$C$13, $C$13, 100%, $E$13) + CHOOSE(CONTROL!$C$32, 0.0272, 0)</f>
        <v>30.2973</v>
      </c>
      <c r="D337" s="4">
        <f>41.7297 * CHOOSE(CONTROL!$C$13, $C$13, 100%, $E$13) + CHOOSE(CONTROL!$C$32, 0.0021, 0)</f>
        <v>41.7318</v>
      </c>
      <c r="E337" s="4">
        <f>193.947535146391 * CHOOSE(CONTROL!$C$13, $C$13, 100%, $E$13) + CHOOSE(CONTROL!$C$32, 0.0021, 0)</f>
        <v>193.94963514639102</v>
      </c>
    </row>
    <row r="338" spans="1:5" ht="15">
      <c r="A338" s="13">
        <v>51440</v>
      </c>
      <c r="B338" s="4">
        <f>29.6412 * CHOOSE(CONTROL!$C$13, $C$13, 100%, $E$13) + CHOOSE(CONTROL!$C$32, 0.0272, 0)</f>
        <v>29.668400000000002</v>
      </c>
      <c r="C338" s="4">
        <f>29.2779 * CHOOSE(CONTROL!$C$13, $C$13, 100%, $E$13) + CHOOSE(CONTROL!$C$32, 0.0272, 0)</f>
        <v>29.305099999999999</v>
      </c>
      <c r="D338" s="4">
        <f>41.1802 * CHOOSE(CONTROL!$C$13, $C$13, 100%, $E$13) + CHOOSE(CONTROL!$C$32, 0.0021, 0)</f>
        <v>41.182299999999998</v>
      </c>
      <c r="E338" s="4">
        <f>187.503539372379 * CHOOSE(CONTROL!$C$13, $C$13, 100%, $E$13) + CHOOSE(CONTROL!$C$32, 0.0021, 0)</f>
        <v>187.50563937237902</v>
      </c>
    </row>
    <row r="339" spans="1:5" ht="15">
      <c r="A339" s="13">
        <v>51470</v>
      </c>
      <c r="B339" s="4">
        <f>29.0022 * CHOOSE(CONTROL!$C$13, $C$13, 100%, $E$13) + CHOOSE(CONTROL!$C$32, 0.0272, 0)</f>
        <v>29.029399999999999</v>
      </c>
      <c r="C339" s="4">
        <f>28.639 * CHOOSE(CONTROL!$C$13, $C$13, 100%, $E$13) + CHOOSE(CONTROL!$C$32, 0.0272, 0)</f>
        <v>28.6662</v>
      </c>
      <c r="D339" s="4">
        <f>40.9913 * CHOOSE(CONTROL!$C$13, $C$13, 100%, $E$13) + CHOOSE(CONTROL!$C$32, 0.0021, 0)</f>
        <v>40.993400000000001</v>
      </c>
      <c r="E339" s="4">
        <f>183.353124886439 * CHOOSE(CONTROL!$C$13, $C$13, 100%, $E$13) + CHOOSE(CONTROL!$C$32, 0.0021, 0)</f>
        <v>183.355224886439</v>
      </c>
    </row>
    <row r="340" spans="1:5" ht="15">
      <c r="A340" s="13">
        <v>51501</v>
      </c>
      <c r="B340" s="4">
        <f>28.5601 * CHOOSE(CONTROL!$C$13, $C$13, 100%, $E$13) + CHOOSE(CONTROL!$C$32, 0.0272, 0)</f>
        <v>28.587299999999999</v>
      </c>
      <c r="C340" s="4">
        <f>28.1969 * CHOOSE(CONTROL!$C$13, $C$13, 100%, $E$13) + CHOOSE(CONTROL!$C$32, 0.0272, 0)</f>
        <v>28.2241</v>
      </c>
      <c r="D340" s="4">
        <f>39.6005 * CHOOSE(CONTROL!$C$13, $C$13, 100%, $E$13) + CHOOSE(CONTROL!$C$32, 0.0021, 0)</f>
        <v>39.602599999999995</v>
      </c>
      <c r="E340" s="4">
        <f>180.481571574805 * CHOOSE(CONTROL!$C$13, $C$13, 100%, $E$13) + CHOOSE(CONTROL!$C$32, 0.0021, 0)</f>
        <v>180.48367157480502</v>
      </c>
    </row>
    <row r="341" spans="1:5" ht="15">
      <c r="A341" s="13">
        <v>51532</v>
      </c>
      <c r="B341" s="4">
        <f>27.4014 * CHOOSE(CONTROL!$C$13, $C$13, 100%, $E$13) + CHOOSE(CONTROL!$C$32, 0.0272, 0)</f>
        <v>27.428599999999999</v>
      </c>
      <c r="C341" s="4">
        <f>27.0381 * CHOOSE(CONTROL!$C$13, $C$13, 100%, $E$13) + CHOOSE(CONTROL!$C$32, 0.0272, 0)</f>
        <v>27.065300000000001</v>
      </c>
      <c r="D341" s="4">
        <f>37.9994 * CHOOSE(CONTROL!$C$13, $C$13, 100%, $E$13) + CHOOSE(CONTROL!$C$32, 0.0021, 0)</f>
        <v>38.0015</v>
      </c>
      <c r="E341" s="4">
        <f>172.96378074807 * CHOOSE(CONTROL!$C$13, $C$13, 100%, $E$13) + CHOOSE(CONTROL!$C$32, 0.0021, 0)</f>
        <v>172.96588074807002</v>
      </c>
    </row>
    <row r="342" spans="1:5" ht="15">
      <c r="A342" s="13">
        <v>51560</v>
      </c>
      <c r="B342" s="4">
        <f>28.0337 * CHOOSE(CONTROL!$C$13, $C$13, 100%, $E$13) + CHOOSE(CONTROL!$C$32, 0.0272, 0)</f>
        <v>28.0609</v>
      </c>
      <c r="C342" s="4">
        <f>27.6704 * CHOOSE(CONTROL!$C$13, $C$13, 100%, $E$13) + CHOOSE(CONTROL!$C$32, 0.0272, 0)</f>
        <v>27.697600000000001</v>
      </c>
      <c r="D342" s="4">
        <f>39.2751 * CHOOSE(CONTROL!$C$13, $C$13, 100%, $E$13) + CHOOSE(CONTROL!$C$32, 0.0021, 0)</f>
        <v>39.277200000000001</v>
      </c>
      <c r="E342" s="4">
        <f>177.070622537626 * CHOOSE(CONTROL!$C$13, $C$13, 100%, $E$13) + CHOOSE(CONTROL!$C$32, 0.0021, 0)</f>
        <v>177.07272253762602</v>
      </c>
    </row>
    <row r="343" spans="1:5" ht="15">
      <c r="A343" s="13">
        <v>51591</v>
      </c>
      <c r="B343" s="4">
        <f>29.694 * CHOOSE(CONTROL!$C$13, $C$13, 100%, $E$13) + CHOOSE(CONTROL!$C$32, 0.0272, 0)</f>
        <v>29.7212</v>
      </c>
      <c r="C343" s="4">
        <f>29.3307 * CHOOSE(CONTROL!$C$13, $C$13, 100%, $E$13) + CHOOSE(CONTROL!$C$32, 0.0272, 0)</f>
        <v>29.357900000000001</v>
      </c>
      <c r="D343" s="4">
        <f>41.2723 * CHOOSE(CONTROL!$C$13, $C$13, 100%, $E$13) + CHOOSE(CONTROL!$C$32, 0.0021, 0)</f>
        <v>41.2744</v>
      </c>
      <c r="E343" s="4">
        <f>187.855407327826 * CHOOSE(CONTROL!$C$13, $C$13, 100%, $E$13) + CHOOSE(CONTROL!$C$32, 0.0021, 0)</f>
        <v>187.857507327826</v>
      </c>
    </row>
    <row r="344" spans="1:5" ht="15">
      <c r="A344" s="13">
        <v>51621</v>
      </c>
      <c r="B344" s="4">
        <f>30.8737 * CHOOSE(CONTROL!$C$13, $C$13, 100%, $E$13) + CHOOSE(CONTROL!$C$32, 0.0272, 0)</f>
        <v>30.9009</v>
      </c>
      <c r="C344" s="4">
        <f>30.5104 * CHOOSE(CONTROL!$C$13, $C$13, 100%, $E$13) + CHOOSE(CONTROL!$C$32, 0.0272, 0)</f>
        <v>30.537600000000001</v>
      </c>
      <c r="D344" s="4">
        <f>42.4227 * CHOOSE(CONTROL!$C$13, $C$13, 100%, $E$13) + CHOOSE(CONTROL!$C$32, 0.0021, 0)</f>
        <v>42.424799999999998</v>
      </c>
      <c r="E344" s="4">
        <f>195.518140647419 * CHOOSE(CONTROL!$C$13, $C$13, 100%, $E$13) + CHOOSE(CONTROL!$C$32, 0.0021, 0)</f>
        <v>195.520240647419</v>
      </c>
    </row>
    <row r="345" spans="1:5" ht="15">
      <c r="A345" s="13">
        <v>51652</v>
      </c>
      <c r="B345" s="4">
        <f>31.5944 * CHOOSE(CONTROL!$C$13, $C$13, 100%, $E$13) + CHOOSE(CONTROL!$C$32, 0.0272, 0)</f>
        <v>31.621600000000001</v>
      </c>
      <c r="C345" s="4">
        <f>31.2311 * CHOOSE(CONTROL!$C$13, $C$13, 100%, $E$13) + CHOOSE(CONTROL!$C$32, 0.0272, 0)</f>
        <v>31.258300000000002</v>
      </c>
      <c r="D345" s="4">
        <f>41.9681 * CHOOSE(CONTROL!$C$13, $C$13, 100%, $E$13) + CHOOSE(CONTROL!$C$32, 0.0021, 0)</f>
        <v>41.970199999999998</v>
      </c>
      <c r="E345" s="4">
        <f>200.199887055603 * CHOOSE(CONTROL!$C$13, $C$13, 100%, $E$13) + CHOOSE(CONTROL!$C$32, 0.0021, 0)</f>
        <v>200.20198705560301</v>
      </c>
    </row>
    <row r="346" spans="1:5" ht="15">
      <c r="A346" s="13">
        <v>51682</v>
      </c>
      <c r="B346" s="4">
        <f>31.692 * CHOOSE(CONTROL!$C$13, $C$13, 100%, $E$13) + CHOOSE(CONTROL!$C$32, 0.0272, 0)</f>
        <v>31.719200000000001</v>
      </c>
      <c r="C346" s="4">
        <f>31.3287 * CHOOSE(CONTROL!$C$13, $C$13, 100%, $E$13) + CHOOSE(CONTROL!$C$32, 0.0272, 0)</f>
        <v>31.355900000000002</v>
      </c>
      <c r="D346" s="4">
        <f>42.3384 * CHOOSE(CONTROL!$C$13, $C$13, 100%, $E$13) + CHOOSE(CONTROL!$C$32, 0.0021, 0)</f>
        <v>42.340499999999999</v>
      </c>
      <c r="E346" s="4">
        <f>200.833346774277 * CHOOSE(CONTROL!$C$13, $C$13, 100%, $E$13) + CHOOSE(CONTROL!$C$32, 0.0021, 0)</f>
        <v>200.83544677427702</v>
      </c>
    </row>
    <row r="347" spans="1:5" ht="15">
      <c r="A347" s="13">
        <v>51713</v>
      </c>
      <c r="B347" s="4">
        <f>31.6821 * CHOOSE(CONTROL!$C$13, $C$13, 100%, $E$13) + CHOOSE(CONTROL!$C$32, 0.0272, 0)</f>
        <v>31.709299999999999</v>
      </c>
      <c r="C347" s="4">
        <f>31.3188 * CHOOSE(CONTROL!$C$13, $C$13, 100%, $E$13) + CHOOSE(CONTROL!$C$32, 0.0272, 0)</f>
        <v>31.346</v>
      </c>
      <c r="D347" s="4">
        <f>43.0064 * CHOOSE(CONTROL!$C$13, $C$13, 100%, $E$13) + CHOOSE(CONTROL!$C$32, 0.0021, 0)</f>
        <v>43.008499999999998</v>
      </c>
      <c r="E347" s="4">
        <f>200.769468483318 * CHOOSE(CONTROL!$C$13, $C$13, 100%, $E$13) + CHOOSE(CONTROL!$C$32, 0.0021, 0)</f>
        <v>200.77156848331802</v>
      </c>
    </row>
    <row r="348" spans="1:5" ht="15">
      <c r="A348" s="13">
        <v>51744</v>
      </c>
      <c r="B348" s="4">
        <f>32.4221 * CHOOSE(CONTROL!$C$13, $C$13, 100%, $E$13) + CHOOSE(CONTROL!$C$32, 0.0272, 0)</f>
        <v>32.449300000000001</v>
      </c>
      <c r="C348" s="4">
        <f>32.0589 * CHOOSE(CONTROL!$C$13, $C$13, 100%, $E$13) + CHOOSE(CONTROL!$C$32, 0.0272, 0)</f>
        <v>32.086100000000002</v>
      </c>
      <c r="D348" s="4">
        <f>42.5652 * CHOOSE(CONTROL!$C$13, $C$13, 100%, $E$13) + CHOOSE(CONTROL!$C$32, 0.0021, 0)</f>
        <v>42.567299999999996</v>
      </c>
      <c r="E348" s="4">
        <f>205.576309877963 * CHOOSE(CONTROL!$C$13, $C$13, 100%, $E$13) + CHOOSE(CONTROL!$C$32, 0.0021, 0)</f>
        <v>205.57840987796303</v>
      </c>
    </row>
    <row r="349" spans="1:5" ht="15">
      <c r="A349" s="13">
        <v>51774</v>
      </c>
      <c r="B349" s="4">
        <f>31.1609 * CHOOSE(CONTROL!$C$13, $C$13, 100%, $E$13) + CHOOSE(CONTROL!$C$32, 0.0272, 0)</f>
        <v>31.188100000000002</v>
      </c>
      <c r="C349" s="4">
        <f>30.7976 * CHOOSE(CONTROL!$C$13, $C$13, 100%, $E$13) + CHOOSE(CONTROL!$C$32, 0.0272, 0)</f>
        <v>30.8248</v>
      </c>
      <c r="D349" s="4">
        <f>42.3568 * CHOOSE(CONTROL!$C$13, $C$13, 100%, $E$13) + CHOOSE(CONTROL!$C$32, 0.0021, 0)</f>
        <v>42.358899999999998</v>
      </c>
      <c r="E349" s="4">
        <f>197.383919062505 * CHOOSE(CONTROL!$C$13, $C$13, 100%, $E$13) + CHOOSE(CONTROL!$C$32, 0.0021, 0)</f>
        <v>197.386019062505</v>
      </c>
    </row>
    <row r="350" spans="1:5" ht="15">
      <c r="A350" s="13">
        <v>51805</v>
      </c>
      <c r="B350" s="4">
        <f>30.1513 * CHOOSE(CONTROL!$C$13, $C$13, 100%, $E$13) + CHOOSE(CONTROL!$C$32, 0.0272, 0)</f>
        <v>30.1785</v>
      </c>
      <c r="C350" s="4">
        <f>29.788 * CHOOSE(CONTROL!$C$13, $C$13, 100%, $E$13) + CHOOSE(CONTROL!$C$32, 0.0272, 0)</f>
        <v>29.815200000000001</v>
      </c>
      <c r="D350" s="4">
        <f>41.7987 * CHOOSE(CONTROL!$C$13, $C$13, 100%, $E$13) + CHOOSE(CONTROL!$C$32, 0.0021, 0)</f>
        <v>41.800799999999995</v>
      </c>
      <c r="E350" s="4">
        <f>190.825747857408 * CHOOSE(CONTROL!$C$13, $C$13, 100%, $E$13) + CHOOSE(CONTROL!$C$32, 0.0021, 0)</f>
        <v>190.82784785740802</v>
      </c>
    </row>
    <row r="351" spans="1:5" ht="15">
      <c r="A351" s="13">
        <v>51835</v>
      </c>
      <c r="B351" s="4">
        <f>29.501 * CHOOSE(CONTROL!$C$13, $C$13, 100%, $E$13) + CHOOSE(CONTROL!$C$32, 0.0272, 0)</f>
        <v>29.528200000000002</v>
      </c>
      <c r="C351" s="4">
        <f>29.1377 * CHOOSE(CONTROL!$C$13, $C$13, 100%, $E$13) + CHOOSE(CONTROL!$C$32, 0.0272, 0)</f>
        <v>29.164899999999999</v>
      </c>
      <c r="D351" s="4">
        <f>41.6068 * CHOOSE(CONTROL!$C$13, $C$13, 100%, $E$13) + CHOOSE(CONTROL!$C$32, 0.0021, 0)</f>
        <v>41.608899999999998</v>
      </c>
      <c r="E351" s="4">
        <f>186.601795867761 * CHOOSE(CONTROL!$C$13, $C$13, 100%, $E$13) + CHOOSE(CONTROL!$C$32, 0.0021, 0)</f>
        <v>186.60389586776103</v>
      </c>
    </row>
    <row r="352" spans="1:5" ht="15">
      <c r="A352" s="13">
        <v>51866</v>
      </c>
      <c r="B352" s="4">
        <f>29.0511 * CHOOSE(CONTROL!$C$13, $C$13, 100%, $E$13) + CHOOSE(CONTROL!$C$32, 0.0272, 0)</f>
        <v>29.078300000000002</v>
      </c>
      <c r="C352" s="4">
        <f>28.6878 * CHOOSE(CONTROL!$C$13, $C$13, 100%, $E$13) + CHOOSE(CONTROL!$C$32, 0.0272, 0)</f>
        <v>28.715</v>
      </c>
      <c r="D352" s="4">
        <f>40.1941 * CHOOSE(CONTROL!$C$13, $C$13, 100%, $E$13) + CHOOSE(CONTROL!$C$32, 0.0021, 0)</f>
        <v>40.196199999999997</v>
      </c>
      <c r="E352" s="4">
        <f>183.679364056399 * CHOOSE(CONTROL!$C$13, $C$13, 100%, $E$13) + CHOOSE(CONTROL!$C$32, 0.0021, 0)</f>
        <v>183.68146405639902</v>
      </c>
    </row>
    <row r="353" spans="1:5" ht="15">
      <c r="A353" s="13">
        <v>51897</v>
      </c>
      <c r="B353" s="4">
        <f>27.8719 * CHOOSE(CONTROL!$C$13, $C$13, 100%, $E$13) + CHOOSE(CONTROL!$C$32, 0.0272, 0)</f>
        <v>27.899100000000001</v>
      </c>
      <c r="C353" s="4">
        <f>27.5086 * CHOOSE(CONTROL!$C$13, $C$13, 100%, $E$13) + CHOOSE(CONTROL!$C$32, 0.0272, 0)</f>
        <v>27.535800000000002</v>
      </c>
      <c r="D353" s="4">
        <f>38.5678 * CHOOSE(CONTROL!$C$13, $C$13, 100%, $E$13) + CHOOSE(CONTROL!$C$32, 0.0021, 0)</f>
        <v>38.569899999999997</v>
      </c>
      <c r="E353" s="4">
        <f>176.028372178863 * CHOOSE(CONTROL!$C$13, $C$13, 100%, $E$13) + CHOOSE(CONTROL!$C$32, 0.0021, 0)</f>
        <v>176.03047217886302</v>
      </c>
    </row>
    <row r="354" spans="1:5" ht="15">
      <c r="A354" s="13">
        <v>51925</v>
      </c>
      <c r="B354" s="4">
        <f>28.5153 * CHOOSE(CONTROL!$C$13, $C$13, 100%, $E$13) + CHOOSE(CONTROL!$C$32, 0.0272, 0)</f>
        <v>28.5425</v>
      </c>
      <c r="C354" s="4">
        <f>28.152 * CHOOSE(CONTROL!$C$13, $C$13, 100%, $E$13) + CHOOSE(CONTROL!$C$32, 0.0272, 0)</f>
        <v>28.179200000000002</v>
      </c>
      <c r="D354" s="4">
        <f>39.8636 * CHOOSE(CONTROL!$C$13, $C$13, 100%, $E$13) + CHOOSE(CONTROL!$C$32, 0.0021, 0)</f>
        <v>39.865699999999997</v>
      </c>
      <c r="E354" s="4">
        <f>180.207979446263 * CHOOSE(CONTROL!$C$13, $C$13, 100%, $E$13) + CHOOSE(CONTROL!$C$32, 0.0021, 0)</f>
        <v>180.21007944626302</v>
      </c>
    </row>
    <row r="355" spans="1:5" ht="15">
      <c r="A355" s="13">
        <v>51956</v>
      </c>
      <c r="B355" s="4">
        <f>30.205 * CHOOSE(CONTROL!$C$13, $C$13, 100%, $E$13) + CHOOSE(CONTROL!$C$32, 0.0272, 0)</f>
        <v>30.232199999999999</v>
      </c>
      <c r="C355" s="4">
        <f>29.8417 * CHOOSE(CONTROL!$C$13, $C$13, 100%, $E$13) + CHOOSE(CONTROL!$C$32, 0.0272, 0)</f>
        <v>29.8689</v>
      </c>
      <c r="D355" s="4">
        <f>41.8922 * CHOOSE(CONTROL!$C$13, $C$13, 100%, $E$13) + CHOOSE(CONTROL!$C$32, 0.0021, 0)</f>
        <v>41.894300000000001</v>
      </c>
      <c r="E355" s="4">
        <f>191.183850248275 * CHOOSE(CONTROL!$C$13, $C$13, 100%, $E$13) + CHOOSE(CONTROL!$C$32, 0.0021, 0)</f>
        <v>191.18595024827502</v>
      </c>
    </row>
    <row r="356" spans="1:5" ht="15">
      <c r="A356" s="13">
        <v>51986</v>
      </c>
      <c r="B356" s="4">
        <f>31.4055 * CHOOSE(CONTROL!$C$13, $C$13, 100%, $E$13) + CHOOSE(CONTROL!$C$32, 0.0272, 0)</f>
        <v>31.432700000000001</v>
      </c>
      <c r="C356" s="4">
        <f>31.0422 * CHOOSE(CONTROL!$C$13, $C$13, 100%, $E$13) + CHOOSE(CONTROL!$C$32, 0.0272, 0)</f>
        <v>31.069400000000002</v>
      </c>
      <c r="D356" s="4">
        <f>43.0607 * CHOOSE(CONTROL!$C$13, $C$13, 100%, $E$13) + CHOOSE(CONTROL!$C$32, 0.0021, 0)</f>
        <v>43.062799999999996</v>
      </c>
      <c r="E356" s="4">
        <f>198.982352725815 * CHOOSE(CONTROL!$C$13, $C$13, 100%, $E$13) + CHOOSE(CONTROL!$C$32, 0.0021, 0)</f>
        <v>198.984452725815</v>
      </c>
    </row>
    <row r="357" spans="1:5" ht="15">
      <c r="A357" s="13">
        <v>52017</v>
      </c>
      <c r="B357" s="4">
        <f>32.139 * CHOOSE(CONTROL!$C$13, $C$13, 100%, $E$13) + CHOOSE(CONTROL!$C$32, 0.0272, 0)</f>
        <v>32.166200000000003</v>
      </c>
      <c r="C357" s="4">
        <f>31.7757 * CHOOSE(CONTROL!$C$13, $C$13, 100%, $E$13) + CHOOSE(CONTROL!$C$32, 0.0272, 0)</f>
        <v>31.802900000000001</v>
      </c>
      <c r="D357" s="4">
        <f>42.5989 * CHOOSE(CONTROL!$C$13, $C$13, 100%, $E$13) + CHOOSE(CONTROL!$C$32, 0.0021, 0)</f>
        <v>42.600999999999999</v>
      </c>
      <c r="E357" s="4">
        <f>203.747050835573 * CHOOSE(CONTROL!$C$13, $C$13, 100%, $E$13) + CHOOSE(CONTROL!$C$32, 0.0021, 0)</f>
        <v>203.749150835573</v>
      </c>
    </row>
    <row r="358" spans="1:5" ht="15">
      <c r="A358" s="13">
        <v>52047</v>
      </c>
      <c r="B358" s="4">
        <f>32.2382 * CHOOSE(CONTROL!$C$13, $C$13, 100%, $E$13) + CHOOSE(CONTROL!$C$32, 0.0272, 0)</f>
        <v>32.2654</v>
      </c>
      <c r="C358" s="4">
        <f>31.8749 * CHOOSE(CONTROL!$C$13, $C$13, 100%, $E$13) + CHOOSE(CONTROL!$C$32, 0.0272, 0)</f>
        <v>31.902100000000001</v>
      </c>
      <c r="D358" s="4">
        <f>42.975 * CHOOSE(CONTROL!$C$13, $C$13, 100%, $E$13) + CHOOSE(CONTROL!$C$32, 0.0021, 0)</f>
        <v>42.9771</v>
      </c>
      <c r="E358" s="4">
        <f>204.391734263727 * CHOOSE(CONTROL!$C$13, $C$13, 100%, $E$13) + CHOOSE(CONTROL!$C$32, 0.0021, 0)</f>
        <v>204.393834263727</v>
      </c>
    </row>
    <row r="359" spans="1:5" ht="15">
      <c r="A359" s="13">
        <v>52078</v>
      </c>
      <c r="B359" s="4">
        <f>32.2282 * CHOOSE(CONTROL!$C$13, $C$13, 100%, $E$13) + CHOOSE(CONTROL!$C$32, 0.0272, 0)</f>
        <v>32.255400000000002</v>
      </c>
      <c r="C359" s="4">
        <f>31.8649 * CHOOSE(CONTROL!$C$13, $C$13, 100%, $E$13) + CHOOSE(CONTROL!$C$32, 0.0272, 0)</f>
        <v>31.892099999999999</v>
      </c>
      <c r="D359" s="4">
        <f>43.6535 * CHOOSE(CONTROL!$C$13, $C$13, 100%, $E$13) + CHOOSE(CONTROL!$C$32, 0.0021, 0)</f>
        <v>43.6556</v>
      </c>
      <c r="E359" s="4">
        <f>204.326724170131 * CHOOSE(CONTROL!$C$13, $C$13, 100%, $E$13) + CHOOSE(CONTROL!$C$32, 0.0021, 0)</f>
        <v>204.32882417013101</v>
      </c>
    </row>
    <row r="360" spans="1:5" ht="15">
      <c r="A360" s="13">
        <v>52109</v>
      </c>
      <c r="B360" s="4">
        <f>32.9813 * CHOOSE(CONTROL!$C$13, $C$13, 100%, $E$13) + CHOOSE(CONTROL!$C$32, 0.0272, 0)</f>
        <v>33.008499999999998</v>
      </c>
      <c r="C360" s="4">
        <f>32.618 * CHOOSE(CONTROL!$C$13, $C$13, 100%, $E$13) + CHOOSE(CONTROL!$C$32, 0.0272, 0)</f>
        <v>32.645200000000003</v>
      </c>
      <c r="D360" s="4">
        <f>43.2054 * CHOOSE(CONTROL!$C$13, $C$13, 100%, $E$13) + CHOOSE(CONTROL!$C$32, 0.0021, 0)</f>
        <v>43.207499999999996</v>
      </c>
      <c r="E360" s="4">
        <f>209.21873371318 * CHOOSE(CONTROL!$C$13, $C$13, 100%, $E$13) + CHOOSE(CONTROL!$C$32, 0.0021, 0)</f>
        <v>209.22083371318001</v>
      </c>
    </row>
    <row r="361" spans="1:5" ht="15">
      <c r="A361" s="13">
        <v>52139</v>
      </c>
      <c r="B361" s="4">
        <f>31.6978 * CHOOSE(CONTROL!$C$13, $C$13, 100%, $E$13) + CHOOSE(CONTROL!$C$32, 0.0272, 0)</f>
        <v>31.725000000000001</v>
      </c>
      <c r="C361" s="4">
        <f>31.3345 * CHOOSE(CONTROL!$C$13, $C$13, 100%, $E$13) + CHOOSE(CONTROL!$C$32, 0.0272, 0)</f>
        <v>31.361699999999999</v>
      </c>
      <c r="D361" s="4">
        <f>42.9937 * CHOOSE(CONTROL!$C$13, $C$13, 100%, $E$13) + CHOOSE(CONTROL!$C$32, 0.0021, 0)</f>
        <v>42.995799999999996</v>
      </c>
      <c r="E361" s="4">
        <f>200.881189209579 * CHOOSE(CONTROL!$C$13, $C$13, 100%, $E$13) + CHOOSE(CONTROL!$C$32, 0.0021, 0)</f>
        <v>200.883289209579</v>
      </c>
    </row>
    <row r="362" spans="1:5" ht="15">
      <c r="A362" s="13">
        <v>52170</v>
      </c>
      <c r="B362" s="4">
        <f>30.6703 * CHOOSE(CONTROL!$C$13, $C$13, 100%, $E$13) + CHOOSE(CONTROL!$C$32, 0.0272, 0)</f>
        <v>30.697500000000002</v>
      </c>
      <c r="C362" s="4">
        <f>30.307 * CHOOSE(CONTROL!$C$13, $C$13, 100%, $E$13) + CHOOSE(CONTROL!$C$32, 0.0272, 0)</f>
        <v>30.334199999999999</v>
      </c>
      <c r="D362" s="4">
        <f>42.4268 * CHOOSE(CONTROL!$C$13, $C$13, 100%, $E$13) + CHOOSE(CONTROL!$C$32, 0.0021, 0)</f>
        <v>42.428899999999999</v>
      </c>
      <c r="E362" s="4">
        <f>194.206819600458 * CHOOSE(CONTROL!$C$13, $C$13, 100%, $E$13) + CHOOSE(CONTROL!$C$32, 0.0021, 0)</f>
        <v>194.20891960045802</v>
      </c>
    </row>
    <row r="363" spans="1:5" ht="15">
      <c r="A363" s="13">
        <v>52200</v>
      </c>
      <c r="B363" s="4">
        <f>30.0086 * CHOOSE(CONTROL!$C$13, $C$13, 100%, $E$13) + CHOOSE(CONTROL!$C$32, 0.0272, 0)</f>
        <v>30.035800000000002</v>
      </c>
      <c r="C363" s="4">
        <f>29.6453 * CHOOSE(CONTROL!$C$13, $C$13, 100%, $E$13) + CHOOSE(CONTROL!$C$32, 0.0272, 0)</f>
        <v>29.672499999999999</v>
      </c>
      <c r="D363" s="4">
        <f>42.2319 * CHOOSE(CONTROL!$C$13, $C$13, 100%, $E$13) + CHOOSE(CONTROL!$C$32, 0.0021, 0)</f>
        <v>42.234000000000002</v>
      </c>
      <c r="E363" s="4">
        <f>189.908027161466 * CHOOSE(CONTROL!$C$13, $C$13, 100%, $E$13) + CHOOSE(CONTROL!$C$32, 0.0021, 0)</f>
        <v>189.91012716146602</v>
      </c>
    </row>
    <row r="364" spans="1:5" ht="15">
      <c r="A364" s="13">
        <v>52231</v>
      </c>
      <c r="B364" s="4">
        <f>29.5507 * CHOOSE(CONTROL!$C$13, $C$13, 100%, $E$13) + CHOOSE(CONTROL!$C$32, 0.0272, 0)</f>
        <v>29.5779</v>
      </c>
      <c r="C364" s="4">
        <f>29.1874 * CHOOSE(CONTROL!$C$13, $C$13, 100%, $E$13) + CHOOSE(CONTROL!$C$32, 0.0272, 0)</f>
        <v>29.214600000000001</v>
      </c>
      <c r="D364" s="4">
        <f>40.7971 * CHOOSE(CONTROL!$C$13, $C$13, 100%, $E$13) + CHOOSE(CONTROL!$C$32, 0.0021, 0)</f>
        <v>40.799199999999999</v>
      </c>
      <c r="E364" s="4">
        <f>186.93381537948 * CHOOSE(CONTROL!$C$13, $C$13, 100%, $E$13) + CHOOSE(CONTROL!$C$32, 0.0021, 0)</f>
        <v>186.93591537948001</v>
      </c>
    </row>
    <row r="365" spans="1:5" ht="15">
      <c r="A365" s="13">
        <v>52262</v>
      </c>
      <c r="B365" s="4">
        <f>28.3507 * CHOOSE(CONTROL!$C$13, $C$13, 100%, $E$13) + CHOOSE(CONTROL!$C$32, 0.0272, 0)</f>
        <v>28.3779</v>
      </c>
      <c r="C365" s="4">
        <f>27.9874 * CHOOSE(CONTROL!$C$13, $C$13, 100%, $E$13) + CHOOSE(CONTROL!$C$32, 0.0272, 0)</f>
        <v>28.014600000000002</v>
      </c>
      <c r="D365" s="4">
        <f>39.1451 * CHOOSE(CONTROL!$C$13, $C$13, 100%, $E$13) + CHOOSE(CONTROL!$C$32, 0.0021, 0)</f>
        <v>39.147199999999998</v>
      </c>
      <c r="E365" s="4">
        <f>179.147262380167 * CHOOSE(CONTROL!$C$13, $C$13, 100%, $E$13) + CHOOSE(CONTROL!$C$32, 0.0021, 0)</f>
        <v>179.14936238016702</v>
      </c>
    </row>
    <row r="366" spans="1:5" ht="15">
      <c r="A366" s="13">
        <v>52290</v>
      </c>
      <c r="B366" s="4">
        <f>29.0054 * CHOOSE(CONTROL!$C$13, $C$13, 100%, $E$13) + CHOOSE(CONTROL!$C$32, 0.0272, 0)</f>
        <v>29.032600000000002</v>
      </c>
      <c r="C366" s="4">
        <f>28.6422 * CHOOSE(CONTROL!$C$13, $C$13, 100%, $E$13) + CHOOSE(CONTROL!$C$32, 0.0272, 0)</f>
        <v>28.6694</v>
      </c>
      <c r="D366" s="4">
        <f>40.4614 * CHOOSE(CONTROL!$C$13, $C$13, 100%, $E$13) + CHOOSE(CONTROL!$C$32, 0.0021, 0)</f>
        <v>40.463499999999996</v>
      </c>
      <c r="E366" s="4">
        <f>183.40092439221 * CHOOSE(CONTROL!$C$13, $C$13, 100%, $E$13) + CHOOSE(CONTROL!$C$32, 0.0021, 0)</f>
        <v>183.40302439221</v>
      </c>
    </row>
    <row r="367" spans="1:5" ht="15">
      <c r="A367" s="13">
        <v>52321</v>
      </c>
      <c r="B367" s="4">
        <f>30.725 * CHOOSE(CONTROL!$C$13, $C$13, 100%, $E$13) + CHOOSE(CONTROL!$C$32, 0.0272, 0)</f>
        <v>30.752200000000002</v>
      </c>
      <c r="C367" s="4">
        <f>30.3617 * CHOOSE(CONTROL!$C$13, $C$13, 100%, $E$13) + CHOOSE(CONTROL!$C$32, 0.0272, 0)</f>
        <v>30.3889</v>
      </c>
      <c r="D367" s="4">
        <f>42.5218 * CHOOSE(CONTROL!$C$13, $C$13, 100%, $E$13) + CHOOSE(CONTROL!$C$32, 0.0021, 0)</f>
        <v>42.523899999999998</v>
      </c>
      <c r="E367" s="4">
        <f>194.571266889162 * CHOOSE(CONTROL!$C$13, $C$13, 100%, $E$13) + CHOOSE(CONTROL!$C$32, 0.0021, 0)</f>
        <v>194.573366889162</v>
      </c>
    </row>
    <row r="368" spans="1:5" ht="15">
      <c r="A368" s="13">
        <v>52351</v>
      </c>
      <c r="B368" s="4">
        <f>31.9467 * CHOOSE(CONTROL!$C$13, $C$13, 100%, $E$13) + CHOOSE(CONTROL!$C$32, 0.0272, 0)</f>
        <v>31.9739</v>
      </c>
      <c r="C368" s="4">
        <f>31.5834 * CHOOSE(CONTROL!$C$13, $C$13, 100%, $E$13) + CHOOSE(CONTROL!$C$32, 0.0272, 0)</f>
        <v>31.610600000000002</v>
      </c>
      <c r="D368" s="4">
        <f>43.7087 * CHOOSE(CONTROL!$C$13, $C$13, 100%, $E$13) + CHOOSE(CONTROL!$C$32, 0.0021, 0)</f>
        <v>43.710799999999999</v>
      </c>
      <c r="E368" s="4">
        <f>202.507944097634 * CHOOSE(CONTROL!$C$13, $C$13, 100%, $E$13) + CHOOSE(CONTROL!$C$32, 0.0021, 0)</f>
        <v>202.51004409763402</v>
      </c>
    </row>
    <row r="369" spans="1:5" ht="15">
      <c r="A369" s="13">
        <v>52382</v>
      </c>
      <c r="B369" s="4">
        <f>32.6932 * CHOOSE(CONTROL!$C$13, $C$13, 100%, $E$13) + CHOOSE(CONTROL!$C$32, 0.0272, 0)</f>
        <v>32.720399999999998</v>
      </c>
      <c r="C369" s="4">
        <f>32.3299 * CHOOSE(CONTROL!$C$13, $C$13, 100%, $E$13) + CHOOSE(CONTROL!$C$32, 0.0272, 0)</f>
        <v>32.357100000000003</v>
      </c>
      <c r="D369" s="4">
        <f>43.2397 * CHOOSE(CONTROL!$C$13, $C$13, 100%, $E$13) + CHOOSE(CONTROL!$C$32, 0.0021, 0)</f>
        <v>43.241799999999998</v>
      </c>
      <c r="E369" s="4">
        <f>207.357063656404 * CHOOSE(CONTROL!$C$13, $C$13, 100%, $E$13) + CHOOSE(CONTROL!$C$32, 0.0021, 0)</f>
        <v>207.35916365640401</v>
      </c>
    </row>
    <row r="370" spans="1:5" ht="15">
      <c r="A370" s="13">
        <v>52412</v>
      </c>
      <c r="B370" s="4">
        <f>32.7942 * CHOOSE(CONTROL!$C$13, $C$13, 100%, $E$13) + CHOOSE(CONTROL!$C$32, 0.0272, 0)</f>
        <v>32.821399999999997</v>
      </c>
      <c r="C370" s="4">
        <f>32.4309 * CHOOSE(CONTROL!$C$13, $C$13, 100%, $E$13) + CHOOSE(CONTROL!$C$32, 0.0272, 0)</f>
        <v>32.458100000000002</v>
      </c>
      <c r="D370" s="4">
        <f>43.6217 * CHOOSE(CONTROL!$C$13, $C$13, 100%, $E$13) + CHOOSE(CONTROL!$C$32, 0.0021, 0)</f>
        <v>43.623799999999996</v>
      </c>
      <c r="E370" s="4">
        <f>208.013169656966 * CHOOSE(CONTROL!$C$13, $C$13, 100%, $E$13) + CHOOSE(CONTROL!$C$32, 0.0021, 0)</f>
        <v>208.01526965696601</v>
      </c>
    </row>
    <row r="371" spans="1:5" ht="15">
      <c r="A371" s="13">
        <v>52443</v>
      </c>
      <c r="B371" s="4">
        <f>32.784 * CHOOSE(CONTROL!$C$13, $C$13, 100%, $E$13) + CHOOSE(CONTROL!$C$32, 0.0272, 0)</f>
        <v>32.811199999999999</v>
      </c>
      <c r="C371" s="4">
        <f>32.4207 * CHOOSE(CONTROL!$C$13, $C$13, 100%, $E$13) + CHOOSE(CONTROL!$C$32, 0.0272, 0)</f>
        <v>32.447899999999997</v>
      </c>
      <c r="D371" s="4">
        <f>44.3109 * CHOOSE(CONTROL!$C$13, $C$13, 100%, $E$13) + CHOOSE(CONTROL!$C$32, 0.0021, 0)</f>
        <v>44.312999999999995</v>
      </c>
      <c r="E371" s="4">
        <f>207.947007707329 * CHOOSE(CONTROL!$C$13, $C$13, 100%, $E$13) + CHOOSE(CONTROL!$C$32, 0.0021, 0)</f>
        <v>207.94910770732901</v>
      </c>
    </row>
    <row r="372" spans="1:5" ht="15">
      <c r="A372" s="13">
        <v>52474</v>
      </c>
      <c r="B372" s="4">
        <f>33.5504 * CHOOSE(CONTROL!$C$13, $C$13, 100%, $E$13) + CHOOSE(CONTROL!$C$32, 0.0272, 0)</f>
        <v>33.577600000000004</v>
      </c>
      <c r="C372" s="4">
        <f>33.1871 * CHOOSE(CONTROL!$C$13, $C$13, 100%, $E$13) + CHOOSE(CONTROL!$C$32, 0.0272, 0)</f>
        <v>33.214300000000001</v>
      </c>
      <c r="D372" s="4">
        <f>43.8557 * CHOOSE(CONTROL!$C$13, $C$13, 100%, $E$13) + CHOOSE(CONTROL!$C$32, 0.0021, 0)</f>
        <v>43.857799999999997</v>
      </c>
      <c r="E372" s="4">
        <f>212.925694417471 * CHOOSE(CONTROL!$C$13, $C$13, 100%, $E$13) + CHOOSE(CONTROL!$C$32, 0.0021, 0)</f>
        <v>212.92779441747101</v>
      </c>
    </row>
    <row r="373" spans="1:5" ht="15">
      <c r="A373" s="13">
        <v>52504</v>
      </c>
      <c r="B373" s="4">
        <f>32.2442 * CHOOSE(CONTROL!$C$13, $C$13, 100%, $E$13) + CHOOSE(CONTROL!$C$32, 0.0272, 0)</f>
        <v>32.2714</v>
      </c>
      <c r="C373" s="4">
        <f>31.8809 * CHOOSE(CONTROL!$C$13, $C$13, 100%, $E$13) + CHOOSE(CONTROL!$C$32, 0.0272, 0)</f>
        <v>31.908100000000001</v>
      </c>
      <c r="D373" s="4">
        <f>43.6407 * CHOOSE(CONTROL!$C$13, $C$13, 100%, $E$13) + CHOOSE(CONTROL!$C$32, 0.0021, 0)</f>
        <v>43.642800000000001</v>
      </c>
      <c r="E373" s="4">
        <f>204.440424376598 * CHOOSE(CONTROL!$C$13, $C$13, 100%, $E$13) + CHOOSE(CONTROL!$C$32, 0.0021, 0)</f>
        <v>204.44252437659802</v>
      </c>
    </row>
    <row r="374" spans="1:5" ht="15">
      <c r="A374" s="13">
        <v>52535</v>
      </c>
      <c r="B374" s="4">
        <f>31.1986 * CHOOSE(CONTROL!$C$13, $C$13, 100%, $E$13) + CHOOSE(CONTROL!$C$32, 0.0272, 0)</f>
        <v>31.2258</v>
      </c>
      <c r="C374" s="4">
        <f>30.8353 * CHOOSE(CONTROL!$C$13, $C$13, 100%, $E$13) + CHOOSE(CONTROL!$C$32, 0.0272, 0)</f>
        <v>30.862500000000001</v>
      </c>
      <c r="D374" s="4">
        <f>43.0649 * CHOOSE(CONTROL!$C$13, $C$13, 100%, $E$13) + CHOOSE(CONTROL!$C$32, 0.0021, 0)</f>
        <v>43.067</v>
      </c>
      <c r="E374" s="4">
        <f>197.647797547257 * CHOOSE(CONTROL!$C$13, $C$13, 100%, $E$13) + CHOOSE(CONTROL!$C$32, 0.0021, 0)</f>
        <v>197.64989754725701</v>
      </c>
    </row>
    <row r="375" spans="1:5" ht="15">
      <c r="A375" s="13">
        <v>52565</v>
      </c>
      <c r="B375" s="4">
        <f>30.5251 * CHOOSE(CONTROL!$C$13, $C$13, 100%, $E$13) + CHOOSE(CONTROL!$C$32, 0.0272, 0)</f>
        <v>30.552299999999999</v>
      </c>
      <c r="C375" s="4">
        <f>30.1618 * CHOOSE(CONTROL!$C$13, $C$13, 100%, $E$13) + CHOOSE(CONTROL!$C$32, 0.0272, 0)</f>
        <v>30.189</v>
      </c>
      <c r="D375" s="4">
        <f>42.8669 * CHOOSE(CONTROL!$C$13, $C$13, 100%, $E$13) + CHOOSE(CONTROL!$C$32, 0.0021, 0)</f>
        <v>42.869</v>
      </c>
      <c r="E375" s="4">
        <f>193.272838627547 * CHOOSE(CONTROL!$C$13, $C$13, 100%, $E$13) + CHOOSE(CONTROL!$C$32, 0.0021, 0)</f>
        <v>193.27493862754702</v>
      </c>
    </row>
    <row r="376" spans="1:5" ht="15">
      <c r="A376" s="13">
        <v>52596</v>
      </c>
      <c r="B376" s="4">
        <f>30.0591 * CHOOSE(CONTROL!$C$13, $C$13, 100%, $E$13) + CHOOSE(CONTROL!$C$32, 0.0272, 0)</f>
        <v>30.086300000000001</v>
      </c>
      <c r="C376" s="4">
        <f>29.6959 * CHOOSE(CONTROL!$C$13, $C$13, 100%, $E$13) + CHOOSE(CONTROL!$C$32, 0.0272, 0)</f>
        <v>29.723100000000002</v>
      </c>
      <c r="D376" s="4">
        <f>41.4095 * CHOOSE(CONTROL!$C$13, $C$13, 100%, $E$13) + CHOOSE(CONTROL!$C$32, 0.0021, 0)</f>
        <v>41.4116</v>
      </c>
      <c r="E376" s="4">
        <f>190.24592943168 * CHOOSE(CONTROL!$C$13, $C$13, 100%, $E$13) + CHOOSE(CONTROL!$C$32, 0.0021, 0)</f>
        <v>190.24802943168001</v>
      </c>
    </row>
    <row r="377" spans="1:5" ht="15">
      <c r="A377" s="13">
        <v>52627</v>
      </c>
      <c r="B377" s="4">
        <f>28.8379 * CHOOSE(CONTROL!$C$13, $C$13, 100%, $E$13) + CHOOSE(CONTROL!$C$32, 0.0272, 0)</f>
        <v>28.865100000000002</v>
      </c>
      <c r="C377" s="4">
        <f>28.4746 * CHOOSE(CONTROL!$C$13, $C$13, 100%, $E$13) + CHOOSE(CONTROL!$C$32, 0.0272, 0)</f>
        <v>28.501799999999999</v>
      </c>
      <c r="D377" s="4">
        <f>39.7316 * CHOOSE(CONTROL!$C$13, $C$13, 100%, $E$13) + CHOOSE(CONTROL!$C$32, 0.0021, 0)</f>
        <v>39.733699999999999</v>
      </c>
      <c r="E377" s="4">
        <f>182.321413423616 * CHOOSE(CONTROL!$C$13, $C$13, 100%, $E$13) + CHOOSE(CONTROL!$C$32, 0.0021, 0)</f>
        <v>182.32351342361602</v>
      </c>
    </row>
    <row r="378" spans="1:5" ht="15">
      <c r="A378" s="13">
        <v>52655</v>
      </c>
      <c r="B378" s="4">
        <f>29.5043 * CHOOSE(CONTROL!$C$13, $C$13, 100%, $E$13) + CHOOSE(CONTROL!$C$32, 0.0272, 0)</f>
        <v>29.531500000000001</v>
      </c>
      <c r="C378" s="4">
        <f>29.141 * CHOOSE(CONTROL!$C$13, $C$13, 100%, $E$13) + CHOOSE(CONTROL!$C$32, 0.0272, 0)</f>
        <v>29.168199999999999</v>
      </c>
      <c r="D378" s="4">
        <f>41.0685 * CHOOSE(CONTROL!$C$13, $C$13, 100%, $E$13) + CHOOSE(CONTROL!$C$32, 0.0021, 0)</f>
        <v>41.070599999999999</v>
      </c>
      <c r="E378" s="4">
        <f>186.650442290472 * CHOOSE(CONTROL!$C$13, $C$13, 100%, $E$13) + CHOOSE(CONTROL!$C$32, 0.0021, 0)</f>
        <v>186.65254229047201</v>
      </c>
    </row>
    <row r="379" spans="1:5" ht="15">
      <c r="A379" s="13">
        <v>52687</v>
      </c>
      <c r="B379" s="4">
        <f>31.2542 * CHOOSE(CONTROL!$C$13, $C$13, 100%, $E$13) + CHOOSE(CONTROL!$C$32, 0.0272, 0)</f>
        <v>31.281400000000001</v>
      </c>
      <c r="C379" s="4">
        <f>30.8909 * CHOOSE(CONTROL!$C$13, $C$13, 100%, $E$13) + CHOOSE(CONTROL!$C$32, 0.0272, 0)</f>
        <v>30.918099999999999</v>
      </c>
      <c r="D379" s="4">
        <f>43.1613 * CHOOSE(CONTROL!$C$13, $C$13, 100%, $E$13) + CHOOSE(CONTROL!$C$32, 0.0021, 0)</f>
        <v>43.163399999999996</v>
      </c>
      <c r="E379" s="4">
        <f>198.018702153401 * CHOOSE(CONTROL!$C$13, $C$13, 100%, $E$13) + CHOOSE(CONTROL!$C$32, 0.0021, 0)</f>
        <v>198.02080215340101</v>
      </c>
    </row>
    <row r="380" spans="1:5" ht="15">
      <c r="A380" s="13">
        <v>52717</v>
      </c>
      <c r="B380" s="4">
        <f>32.4975 * CHOOSE(CONTROL!$C$13, $C$13, 100%, $E$13) + CHOOSE(CONTROL!$C$32, 0.0272, 0)</f>
        <v>32.524700000000003</v>
      </c>
      <c r="C380" s="4">
        <f>32.1342 * CHOOSE(CONTROL!$C$13, $C$13, 100%, $E$13) + CHOOSE(CONTROL!$C$32, 0.0272, 0)</f>
        <v>32.1614</v>
      </c>
      <c r="D380" s="4">
        <f>44.3669 * CHOOSE(CONTROL!$C$13, $C$13, 100%, $E$13) + CHOOSE(CONTROL!$C$32, 0.0021, 0)</f>
        <v>44.369</v>
      </c>
      <c r="E380" s="4">
        <f>206.096002287995 * CHOOSE(CONTROL!$C$13, $C$13, 100%, $E$13) + CHOOSE(CONTROL!$C$32, 0.0021, 0)</f>
        <v>206.098102287995</v>
      </c>
    </row>
    <row r="381" spans="1:5" ht="15">
      <c r="A381" s="13">
        <v>52748</v>
      </c>
      <c r="B381" s="4">
        <f>33.2571 * CHOOSE(CONTROL!$C$13, $C$13, 100%, $E$13) + CHOOSE(CONTROL!$C$32, 0.0272, 0)</f>
        <v>33.284300000000002</v>
      </c>
      <c r="C381" s="4">
        <f>32.8938 * CHOOSE(CONTROL!$C$13, $C$13, 100%, $E$13) + CHOOSE(CONTROL!$C$32, 0.0272, 0)</f>
        <v>32.920999999999999</v>
      </c>
      <c r="D381" s="4">
        <f>43.8905 * CHOOSE(CONTROL!$C$13, $C$13, 100%, $E$13) + CHOOSE(CONTROL!$C$32, 0.0021, 0)</f>
        <v>43.892600000000002</v>
      </c>
      <c r="E381" s="4">
        <f>211.031039084366 * CHOOSE(CONTROL!$C$13, $C$13, 100%, $E$13) + CHOOSE(CONTROL!$C$32, 0.0021, 0)</f>
        <v>211.03313908436601</v>
      </c>
    </row>
    <row r="382" spans="1:5" ht="15">
      <c r="A382" s="13">
        <v>52778</v>
      </c>
      <c r="B382" s="4">
        <f>33.3599 * CHOOSE(CONTROL!$C$13, $C$13, 100%, $E$13) + CHOOSE(CONTROL!$C$32, 0.0272, 0)</f>
        <v>33.387100000000004</v>
      </c>
      <c r="C382" s="4">
        <f>32.9966 * CHOOSE(CONTROL!$C$13, $C$13, 100%, $E$13) + CHOOSE(CONTROL!$C$32, 0.0272, 0)</f>
        <v>33.023800000000001</v>
      </c>
      <c r="D382" s="4">
        <f>44.2785 * CHOOSE(CONTROL!$C$13, $C$13, 100%, $E$13) + CHOOSE(CONTROL!$C$32, 0.0021, 0)</f>
        <v>44.2806</v>
      </c>
      <c r="E382" s="4">
        <f>211.698770043738 * CHOOSE(CONTROL!$C$13, $C$13, 100%, $E$13) + CHOOSE(CONTROL!$C$32, 0.0021, 0)</f>
        <v>211.70087004373801</v>
      </c>
    </row>
    <row r="383" spans="1:5" ht="15">
      <c r="A383" s="13">
        <v>52809</v>
      </c>
      <c r="B383" s="4">
        <f>33.3495 * CHOOSE(CONTROL!$C$13, $C$13, 100%, $E$13) + CHOOSE(CONTROL!$C$32, 0.0272, 0)</f>
        <v>33.3767</v>
      </c>
      <c r="C383" s="4">
        <f>32.9863 * CHOOSE(CONTROL!$C$13, $C$13, 100%, $E$13) + CHOOSE(CONTROL!$C$32, 0.0272, 0)</f>
        <v>33.013500000000001</v>
      </c>
      <c r="D383" s="4">
        <f>44.9785 * CHOOSE(CONTROL!$C$13, $C$13, 100%, $E$13) + CHOOSE(CONTROL!$C$32, 0.0021, 0)</f>
        <v>44.980599999999995</v>
      </c>
      <c r="E383" s="4">
        <f>211.631435829348 * CHOOSE(CONTROL!$C$13, $C$13, 100%, $E$13) + CHOOSE(CONTROL!$C$32, 0.0021, 0)</f>
        <v>211.63353582934801</v>
      </c>
    </row>
    <row r="384" spans="1:5" ht="15">
      <c r="A384" s="13">
        <v>52840</v>
      </c>
      <c r="B384" s="4">
        <f>34.1295 * CHOOSE(CONTROL!$C$13, $C$13, 100%, $E$13) + CHOOSE(CONTROL!$C$32, 0.0272, 0)</f>
        <v>34.156700000000001</v>
      </c>
      <c r="C384" s="4">
        <f>33.7662 * CHOOSE(CONTROL!$C$13, $C$13, 100%, $E$13) + CHOOSE(CONTROL!$C$32, 0.0272, 0)</f>
        <v>33.793399999999998</v>
      </c>
      <c r="D384" s="4">
        <f>44.5162 * CHOOSE(CONTROL!$C$13, $C$13, 100%, $E$13) + CHOOSE(CONTROL!$C$32, 0.0021, 0)</f>
        <v>44.518299999999996</v>
      </c>
      <c r="E384" s="4">
        <f>216.698335462233 * CHOOSE(CONTROL!$C$13, $C$13, 100%, $E$13) + CHOOSE(CONTROL!$C$32, 0.0021, 0)</f>
        <v>216.700435462233</v>
      </c>
    </row>
    <row r="385" spans="1:5" ht="15">
      <c r="A385" s="13">
        <v>52870</v>
      </c>
      <c r="B385" s="4">
        <f>32.8002 * CHOOSE(CONTROL!$C$13, $C$13, 100%, $E$13) + CHOOSE(CONTROL!$C$32, 0.0272, 0)</f>
        <v>32.827399999999997</v>
      </c>
      <c r="C385" s="4">
        <f>32.4369 * CHOOSE(CONTROL!$C$13, $C$13, 100%, $E$13) + CHOOSE(CONTROL!$C$32, 0.0272, 0)</f>
        <v>32.464100000000002</v>
      </c>
      <c r="D385" s="4">
        <f>44.2978 * CHOOSE(CONTROL!$C$13, $C$13, 100%, $E$13) + CHOOSE(CONTROL!$C$32, 0.0021, 0)</f>
        <v>44.299900000000001</v>
      </c>
      <c r="E385" s="4">
        <f>208.062722466651 * CHOOSE(CONTROL!$C$13, $C$13, 100%, $E$13) + CHOOSE(CONTROL!$C$32, 0.0021, 0)</f>
        <v>208.06482246665101</v>
      </c>
    </row>
    <row r="386" spans="1:5" ht="15">
      <c r="A386" s="13">
        <v>52901</v>
      </c>
      <c r="B386" s="4">
        <f>31.7361 * CHOOSE(CONTROL!$C$13, $C$13, 100%, $E$13) + CHOOSE(CONTROL!$C$32, 0.0272, 0)</f>
        <v>31.763300000000001</v>
      </c>
      <c r="C386" s="4">
        <f>31.3728 * CHOOSE(CONTROL!$C$13, $C$13, 100%, $E$13) + CHOOSE(CONTROL!$C$32, 0.0272, 0)</f>
        <v>31.400000000000002</v>
      </c>
      <c r="D386" s="4">
        <f>43.7129 * CHOOSE(CONTROL!$C$13, $C$13, 100%, $E$13) + CHOOSE(CONTROL!$C$32, 0.0021, 0)</f>
        <v>43.714999999999996</v>
      </c>
      <c r="E386" s="4">
        <f>201.14974312256 * CHOOSE(CONTROL!$C$13, $C$13, 100%, $E$13) + CHOOSE(CONTROL!$C$32, 0.0021, 0)</f>
        <v>201.15184312256002</v>
      </c>
    </row>
    <row r="387" spans="1:5" ht="15">
      <c r="A387" s="13">
        <v>52931</v>
      </c>
      <c r="B387" s="4">
        <f>31.0508 * CHOOSE(CONTROL!$C$13, $C$13, 100%, $E$13) + CHOOSE(CONTROL!$C$32, 0.0272, 0)</f>
        <v>31.077999999999999</v>
      </c>
      <c r="C387" s="4">
        <f>30.6875 * CHOOSE(CONTROL!$C$13, $C$13, 100%, $E$13) + CHOOSE(CONTROL!$C$32, 0.0272, 0)</f>
        <v>30.714700000000001</v>
      </c>
      <c r="D387" s="4">
        <f>43.5119 * CHOOSE(CONTROL!$C$13, $C$13, 100%, $E$13) + CHOOSE(CONTROL!$C$32, 0.0021, 0)</f>
        <v>43.513999999999996</v>
      </c>
      <c r="E387" s="4">
        <f>196.697268195988 * CHOOSE(CONTROL!$C$13, $C$13, 100%, $E$13) + CHOOSE(CONTROL!$C$32, 0.0021, 0)</f>
        <v>196.699368195988</v>
      </c>
    </row>
    <row r="388" spans="1:5" ht="15">
      <c r="A388" s="13">
        <v>52962</v>
      </c>
      <c r="B388" s="4">
        <f>30.5766 * CHOOSE(CONTROL!$C$13, $C$13, 100%, $E$13) + CHOOSE(CONTROL!$C$32, 0.0272, 0)</f>
        <v>30.6038</v>
      </c>
      <c r="C388" s="4">
        <f>30.2133 * CHOOSE(CONTROL!$C$13, $C$13, 100%, $E$13) + CHOOSE(CONTROL!$C$32, 0.0272, 0)</f>
        <v>30.240500000000001</v>
      </c>
      <c r="D388" s="4">
        <f>42.0315 * CHOOSE(CONTROL!$C$13, $C$13, 100%, $E$13) + CHOOSE(CONTROL!$C$32, 0.0021, 0)</f>
        <v>42.0336</v>
      </c>
      <c r="E388" s="4">
        <f>193.616727887622 * CHOOSE(CONTROL!$C$13, $C$13, 100%, $E$13) + CHOOSE(CONTROL!$C$32, 0.0021, 0)</f>
        <v>193.61882788762202</v>
      </c>
    </row>
    <row r="389" spans="1:5" ht="15">
      <c r="A389" s="13">
        <v>52993</v>
      </c>
      <c r="B389" s="4">
        <f>29.3337 * CHOOSE(CONTROL!$C$13, $C$13, 100%, $E$13) + CHOOSE(CONTROL!$C$32, 0.0272, 0)</f>
        <v>29.360900000000001</v>
      </c>
      <c r="C389" s="4">
        <f>28.9705 * CHOOSE(CONTROL!$C$13, $C$13, 100%, $E$13) + CHOOSE(CONTROL!$C$32, 0.0272, 0)</f>
        <v>28.997700000000002</v>
      </c>
      <c r="D389" s="4">
        <f>40.3272 * CHOOSE(CONTROL!$C$13, $C$13, 100%, $E$13) + CHOOSE(CONTROL!$C$32, 0.0021, 0)</f>
        <v>40.329299999999996</v>
      </c>
      <c r="E389" s="4">
        <f>185.551804426931 * CHOOSE(CONTROL!$C$13, $C$13, 100%, $E$13) + CHOOSE(CONTROL!$C$32, 0.0021, 0)</f>
        <v>185.55390442693101</v>
      </c>
    </row>
    <row r="390" spans="1:5" ht="15">
      <c r="A390" s="13">
        <v>53021</v>
      </c>
      <c r="B390" s="4">
        <f>30.0119 * CHOOSE(CONTROL!$C$13, $C$13, 100%, $E$13) + CHOOSE(CONTROL!$C$32, 0.0272, 0)</f>
        <v>30.039100000000001</v>
      </c>
      <c r="C390" s="4">
        <f>29.6486 * CHOOSE(CONTROL!$C$13, $C$13, 100%, $E$13) + CHOOSE(CONTROL!$C$32, 0.0272, 0)</f>
        <v>29.675799999999999</v>
      </c>
      <c r="D390" s="4">
        <f>41.6852 * CHOOSE(CONTROL!$C$13, $C$13, 100%, $E$13) + CHOOSE(CONTROL!$C$32, 0.0021, 0)</f>
        <v>41.6873</v>
      </c>
      <c r="E390" s="4">
        <f>189.957535506884 * CHOOSE(CONTROL!$C$13, $C$13, 100%, $E$13) + CHOOSE(CONTROL!$C$32, 0.0021, 0)</f>
        <v>189.95963550688401</v>
      </c>
    </row>
    <row r="391" spans="1:5" ht="15">
      <c r="A391" s="13">
        <v>53052</v>
      </c>
      <c r="B391" s="4">
        <f>31.7927 * CHOOSE(CONTROL!$C$13, $C$13, 100%, $E$13) + CHOOSE(CONTROL!$C$32, 0.0272, 0)</f>
        <v>31.819900000000001</v>
      </c>
      <c r="C391" s="4">
        <f>31.4294 * CHOOSE(CONTROL!$C$13, $C$13, 100%, $E$13) + CHOOSE(CONTROL!$C$32, 0.0272, 0)</f>
        <v>31.456600000000002</v>
      </c>
      <c r="D391" s="4">
        <f>43.8109 * CHOOSE(CONTROL!$C$13, $C$13, 100%, $E$13) + CHOOSE(CONTROL!$C$32, 0.0021, 0)</f>
        <v>43.812999999999995</v>
      </c>
      <c r="E391" s="4">
        <f>201.52721945761 * CHOOSE(CONTROL!$C$13, $C$13, 100%, $E$13) + CHOOSE(CONTROL!$C$32, 0.0021, 0)</f>
        <v>201.52931945761</v>
      </c>
    </row>
    <row r="392" spans="1:5" ht="15">
      <c r="A392" s="13">
        <v>53082</v>
      </c>
      <c r="B392" s="4">
        <f>33.058 * CHOOSE(CONTROL!$C$13, $C$13, 100%, $E$13) + CHOOSE(CONTROL!$C$32, 0.0272, 0)</f>
        <v>33.0852</v>
      </c>
      <c r="C392" s="4">
        <f>32.6947 * CHOOSE(CONTROL!$C$13, $C$13, 100%, $E$13) + CHOOSE(CONTROL!$C$32, 0.0272, 0)</f>
        <v>32.721899999999998</v>
      </c>
      <c r="D392" s="4">
        <f>45.0354 * CHOOSE(CONTROL!$C$13, $C$13, 100%, $E$13) + CHOOSE(CONTROL!$C$32, 0.0021, 0)</f>
        <v>45.037500000000001</v>
      </c>
      <c r="E392" s="4">
        <f>209.747634090912 * CHOOSE(CONTROL!$C$13, $C$13, 100%, $E$13) + CHOOSE(CONTROL!$C$32, 0.0021, 0)</f>
        <v>209.749734090912</v>
      </c>
    </row>
    <row r="393" spans="1:5" ht="15">
      <c r="A393" s="13">
        <v>53113</v>
      </c>
      <c r="B393" s="4">
        <f>33.8311 * CHOOSE(CONTROL!$C$13, $C$13, 100%, $E$13) + CHOOSE(CONTROL!$C$32, 0.0272, 0)</f>
        <v>33.8583</v>
      </c>
      <c r="C393" s="4">
        <f>33.4678 * CHOOSE(CONTROL!$C$13, $C$13, 100%, $E$13) + CHOOSE(CONTROL!$C$32, 0.0272, 0)</f>
        <v>33.494999999999997</v>
      </c>
      <c r="D393" s="4">
        <f>44.5516 * CHOOSE(CONTROL!$C$13, $C$13, 100%, $E$13) + CHOOSE(CONTROL!$C$32, 0.0021, 0)</f>
        <v>44.553699999999999</v>
      </c>
      <c r="E393" s="4">
        <f>214.770110416018 * CHOOSE(CONTROL!$C$13, $C$13, 100%, $E$13) + CHOOSE(CONTROL!$C$32, 0.0021, 0)</f>
        <v>214.77221041601803</v>
      </c>
    </row>
    <row r="394" spans="1:5" ht="15">
      <c r="A394" s="13">
        <v>53143</v>
      </c>
      <c r="B394" s="4">
        <f>33.9357 * CHOOSE(CONTROL!$C$13, $C$13, 100%, $E$13) + CHOOSE(CONTROL!$C$32, 0.0272, 0)</f>
        <v>33.962899999999998</v>
      </c>
      <c r="C394" s="4">
        <f>33.5724 * CHOOSE(CONTROL!$C$13, $C$13, 100%, $E$13) + CHOOSE(CONTROL!$C$32, 0.0272, 0)</f>
        <v>33.599600000000002</v>
      </c>
      <c r="D394" s="4">
        <f>44.9456 * CHOOSE(CONTROL!$C$13, $C$13, 100%, $E$13) + CHOOSE(CONTROL!$C$32, 0.0021, 0)</f>
        <v>44.947699999999998</v>
      </c>
      <c r="E394" s="4">
        <f>215.44967230651 * CHOOSE(CONTROL!$C$13, $C$13, 100%, $E$13) + CHOOSE(CONTROL!$C$32, 0.0021, 0)</f>
        <v>215.45177230651001</v>
      </c>
    </row>
    <row r="395" spans="1:5" ht="15">
      <c r="A395" s="13">
        <v>53174</v>
      </c>
      <c r="B395" s="4">
        <f>33.9251 * CHOOSE(CONTROL!$C$13, $C$13, 100%, $E$13) + CHOOSE(CONTROL!$C$32, 0.0272, 0)</f>
        <v>33.952300000000001</v>
      </c>
      <c r="C395" s="4">
        <f>33.5618 * CHOOSE(CONTROL!$C$13, $C$13, 100%, $E$13) + CHOOSE(CONTROL!$C$32, 0.0272, 0)</f>
        <v>33.588999999999999</v>
      </c>
      <c r="D395" s="4">
        <f>45.6567 * CHOOSE(CONTROL!$C$13, $C$13, 100%, $E$13) + CHOOSE(CONTROL!$C$32, 0.0021, 0)</f>
        <v>45.658799999999999</v>
      </c>
      <c r="E395" s="4">
        <f>215.381145057048 * CHOOSE(CONTROL!$C$13, $C$13, 100%, $E$13) + CHOOSE(CONTROL!$C$32, 0.0021, 0)</f>
        <v>215.38324505704801</v>
      </c>
    </row>
    <row r="396" spans="1:5" ht="15">
      <c r="A396" s="13">
        <v>53205</v>
      </c>
      <c r="B396" s="4">
        <f>34.7188 * CHOOSE(CONTROL!$C$13, $C$13, 100%, $E$13) + CHOOSE(CONTROL!$C$32, 0.0272, 0)</f>
        <v>34.746000000000002</v>
      </c>
      <c r="C396" s="4">
        <f>34.3555 * CHOOSE(CONTROL!$C$13, $C$13, 100%, $E$13) + CHOOSE(CONTROL!$C$32, 0.0272, 0)</f>
        <v>34.3827</v>
      </c>
      <c r="D396" s="4">
        <f>45.1871 * CHOOSE(CONTROL!$C$13, $C$13, 100%, $E$13) + CHOOSE(CONTROL!$C$32, 0.0021, 0)</f>
        <v>45.1892</v>
      </c>
      <c r="E396" s="4">
        <f>220.537820579015 * CHOOSE(CONTROL!$C$13, $C$13, 100%, $E$13) + CHOOSE(CONTROL!$C$32, 0.0021, 0)</f>
        <v>220.53992057901502</v>
      </c>
    </row>
    <row r="397" spans="1:5" ht="15">
      <c r="A397" s="13">
        <v>53235</v>
      </c>
      <c r="B397" s="4">
        <f>33.3661 * CHOOSE(CONTROL!$C$13, $C$13, 100%, $E$13) + CHOOSE(CONTROL!$C$32, 0.0272, 0)</f>
        <v>33.393300000000004</v>
      </c>
      <c r="C397" s="4">
        <f>33.0028 * CHOOSE(CONTROL!$C$13, $C$13, 100%, $E$13) + CHOOSE(CONTROL!$C$32, 0.0272, 0)</f>
        <v>33.03</v>
      </c>
      <c r="D397" s="4">
        <f>44.9652 * CHOOSE(CONTROL!$C$13, $C$13, 100%, $E$13) + CHOOSE(CONTROL!$C$32, 0.0021, 0)</f>
        <v>44.967300000000002</v>
      </c>
      <c r="E397" s="4">
        <f>211.749200835596 * CHOOSE(CONTROL!$C$13, $C$13, 100%, $E$13) + CHOOSE(CONTROL!$C$32, 0.0021, 0)</f>
        <v>211.75130083559603</v>
      </c>
    </row>
    <row r="398" spans="1:5" ht="15">
      <c r="A398" s="13">
        <v>53266</v>
      </c>
      <c r="B398" s="4">
        <f>32.2832 * CHOOSE(CONTROL!$C$13, $C$13, 100%, $E$13) + CHOOSE(CONTROL!$C$32, 0.0272, 0)</f>
        <v>32.310400000000001</v>
      </c>
      <c r="C398" s="4">
        <f>31.9199 * CHOOSE(CONTROL!$C$13, $C$13, 100%, $E$13) + CHOOSE(CONTROL!$C$32, 0.0272, 0)</f>
        <v>31.947099999999999</v>
      </c>
      <c r="D398" s="4">
        <f>44.3712 * CHOOSE(CONTROL!$C$13, $C$13, 100%, $E$13) + CHOOSE(CONTROL!$C$32, 0.0021, 0)</f>
        <v>44.3733</v>
      </c>
      <c r="E398" s="4">
        <f>204.713736557563 * CHOOSE(CONTROL!$C$13, $C$13, 100%, $E$13) + CHOOSE(CONTROL!$C$32, 0.0021, 0)</f>
        <v>204.71583655756302</v>
      </c>
    </row>
    <row r="399" spans="1:5" ht="15">
      <c r="A399" s="13">
        <v>53296</v>
      </c>
      <c r="B399" s="4">
        <f>31.5857 * CHOOSE(CONTROL!$C$13, $C$13, 100%, $E$13) + CHOOSE(CONTROL!$C$32, 0.0272, 0)</f>
        <v>31.6129</v>
      </c>
      <c r="C399" s="4">
        <f>31.2224 * CHOOSE(CONTROL!$C$13, $C$13, 100%, $E$13) + CHOOSE(CONTROL!$C$32, 0.0272, 0)</f>
        <v>31.249600000000001</v>
      </c>
      <c r="D399" s="4">
        <f>44.167 * CHOOSE(CONTROL!$C$13, $C$13, 100%, $E$13) + CHOOSE(CONTROL!$C$32, 0.0021, 0)</f>
        <v>44.1691</v>
      </c>
      <c r="E399" s="4">
        <f>200.182372186931 * CHOOSE(CONTROL!$C$13, $C$13, 100%, $E$13) + CHOOSE(CONTROL!$C$32, 0.0021, 0)</f>
        <v>200.184472186931</v>
      </c>
    </row>
    <row r="400" spans="1:5" ht="15">
      <c r="A400" s="13">
        <v>53327</v>
      </c>
      <c r="B400" s="4">
        <f>31.1031 * CHOOSE(CONTROL!$C$13, $C$13, 100%, $E$13) + CHOOSE(CONTROL!$C$32, 0.0272, 0)</f>
        <v>31.130300000000002</v>
      </c>
      <c r="C400" s="4">
        <f>30.7399 * CHOOSE(CONTROL!$C$13, $C$13, 100%, $E$13) + CHOOSE(CONTROL!$C$32, 0.0272, 0)</f>
        <v>30.767099999999999</v>
      </c>
      <c r="D400" s="4">
        <f>42.6634 * CHOOSE(CONTROL!$C$13, $C$13, 100%, $E$13) + CHOOSE(CONTROL!$C$32, 0.0021, 0)</f>
        <v>42.665500000000002</v>
      </c>
      <c r="E400" s="4">
        <f>197.047250524074 * CHOOSE(CONTROL!$C$13, $C$13, 100%, $E$13) + CHOOSE(CONTROL!$C$32, 0.0021, 0)</f>
        <v>197.04935052407401</v>
      </c>
    </row>
    <row r="401" spans="1:5" ht="15">
      <c r="A401" s="13">
        <v>53358</v>
      </c>
      <c r="B401" s="4">
        <f>29.8384 * CHOOSE(CONTROL!$C$13, $C$13, 100%, $E$13) + CHOOSE(CONTROL!$C$32, 0.0272, 0)</f>
        <v>29.865600000000001</v>
      </c>
      <c r="C401" s="4">
        <f>29.4751 * CHOOSE(CONTROL!$C$13, $C$13, 100%, $E$13) + CHOOSE(CONTROL!$C$32, 0.0272, 0)</f>
        <v>29.502300000000002</v>
      </c>
      <c r="D401" s="4">
        <f>40.9322 * CHOOSE(CONTROL!$C$13, $C$13, 100%, $E$13) + CHOOSE(CONTROL!$C$32, 0.0021, 0)</f>
        <v>40.9343</v>
      </c>
      <c r="E401" s="4">
        <f>188.839431855954 * CHOOSE(CONTROL!$C$13, $C$13, 100%, $E$13) + CHOOSE(CONTROL!$C$32, 0.0021, 0)</f>
        <v>188.841531855954</v>
      </c>
    </row>
    <row r="402" spans="1:5" ht="15">
      <c r="A402" s="13">
        <v>53386</v>
      </c>
      <c r="B402" s="4">
        <f>30.5285 * CHOOSE(CONTROL!$C$13, $C$13, 100%, $E$13) + CHOOSE(CONTROL!$C$32, 0.0272, 0)</f>
        <v>30.555700000000002</v>
      </c>
      <c r="C402" s="4">
        <f>30.1652 * CHOOSE(CONTROL!$C$13, $C$13, 100%, $E$13) + CHOOSE(CONTROL!$C$32, 0.0272, 0)</f>
        <v>30.192399999999999</v>
      </c>
      <c r="D402" s="4">
        <f>42.3115 * CHOOSE(CONTROL!$C$13, $C$13, 100%, $E$13) + CHOOSE(CONTROL!$C$32, 0.0021, 0)</f>
        <v>42.313600000000001</v>
      </c>
      <c r="E402" s="4">
        <f>193.323224167314 * CHOOSE(CONTROL!$C$13, $C$13, 100%, $E$13) + CHOOSE(CONTROL!$C$32, 0.0021, 0)</f>
        <v>193.32532416731402</v>
      </c>
    </row>
    <row r="403" spans="1:5" ht="15">
      <c r="A403" s="13">
        <v>53417</v>
      </c>
      <c r="B403" s="4">
        <f>32.3408 * CHOOSE(CONTROL!$C$13, $C$13, 100%, $E$13) + CHOOSE(CONTROL!$C$32, 0.0272, 0)</f>
        <v>32.368000000000002</v>
      </c>
      <c r="C403" s="4">
        <f>31.9775 * CHOOSE(CONTROL!$C$13, $C$13, 100%, $E$13) + CHOOSE(CONTROL!$C$32, 0.0272, 0)</f>
        <v>32.0047</v>
      </c>
      <c r="D403" s="4">
        <f>44.4707 * CHOOSE(CONTROL!$C$13, $C$13, 100%, $E$13) + CHOOSE(CONTROL!$C$32, 0.0021, 0)</f>
        <v>44.472799999999999</v>
      </c>
      <c r="E403" s="4">
        <f>205.097901060141 * CHOOSE(CONTROL!$C$13, $C$13, 100%, $E$13) + CHOOSE(CONTROL!$C$32, 0.0021, 0)</f>
        <v>205.10000106014101</v>
      </c>
    </row>
    <row r="404" spans="1:5" ht="15">
      <c r="A404" s="13">
        <v>53447</v>
      </c>
      <c r="B404" s="4">
        <f>33.6284 * CHOOSE(CONTROL!$C$13, $C$13, 100%, $E$13) + CHOOSE(CONTROL!$C$32, 0.0272, 0)</f>
        <v>33.6556</v>
      </c>
      <c r="C404" s="4">
        <f>33.2651 * CHOOSE(CONTROL!$C$13, $C$13, 100%, $E$13) + CHOOSE(CONTROL!$C$32, 0.0272, 0)</f>
        <v>33.292299999999997</v>
      </c>
      <c r="D404" s="4">
        <f>45.7145 * CHOOSE(CONTROL!$C$13, $C$13, 100%, $E$13) + CHOOSE(CONTROL!$C$32, 0.0021, 0)</f>
        <v>45.7166</v>
      </c>
      <c r="E404" s="4">
        <f>213.463965910696 * CHOOSE(CONTROL!$C$13, $C$13, 100%, $E$13) + CHOOSE(CONTROL!$C$32, 0.0021, 0)</f>
        <v>213.46606591069602</v>
      </c>
    </row>
    <row r="405" spans="1:5" ht="15">
      <c r="A405" s="13">
        <v>53478</v>
      </c>
      <c r="B405" s="4">
        <f>34.4151 * CHOOSE(CONTROL!$C$13, $C$13, 100%, $E$13) + CHOOSE(CONTROL!$C$32, 0.0272, 0)</f>
        <v>34.442300000000003</v>
      </c>
      <c r="C405" s="4">
        <f>34.0518 * CHOOSE(CONTROL!$C$13, $C$13, 100%, $E$13) + CHOOSE(CONTROL!$C$32, 0.0272, 0)</f>
        <v>34.079000000000001</v>
      </c>
      <c r="D405" s="4">
        <f>45.223 * CHOOSE(CONTROL!$C$13, $C$13, 100%, $E$13) + CHOOSE(CONTROL!$C$32, 0.0021, 0)</f>
        <v>45.225099999999998</v>
      </c>
      <c r="E405" s="4">
        <f>218.575431027794 * CHOOSE(CONTROL!$C$13, $C$13, 100%, $E$13) + CHOOSE(CONTROL!$C$32, 0.0021, 0)</f>
        <v>218.57753102779401</v>
      </c>
    </row>
    <row r="406" spans="1:5" ht="15">
      <c r="A406" s="13">
        <v>53508</v>
      </c>
      <c r="B406" s="4">
        <f>34.5216 * CHOOSE(CONTROL!$C$13, $C$13, 100%, $E$13) + CHOOSE(CONTROL!$C$32, 0.0272, 0)</f>
        <v>34.5488</v>
      </c>
      <c r="C406" s="4">
        <f>34.1583 * CHOOSE(CONTROL!$C$13, $C$13, 100%, $E$13) + CHOOSE(CONTROL!$C$32, 0.0272, 0)</f>
        <v>34.185499999999998</v>
      </c>
      <c r="D406" s="4">
        <f>45.6233 * CHOOSE(CONTROL!$C$13, $C$13, 100%, $E$13) + CHOOSE(CONTROL!$C$32, 0.0021, 0)</f>
        <v>45.625399999999999</v>
      </c>
      <c r="E406" s="4">
        <f>219.267033471153 * CHOOSE(CONTROL!$C$13, $C$13, 100%, $E$13) + CHOOSE(CONTROL!$C$32, 0.0021, 0)</f>
        <v>219.26913347115303</v>
      </c>
    </row>
    <row r="407" spans="1:5" ht="15">
      <c r="A407" s="13">
        <v>53539</v>
      </c>
      <c r="B407" s="4">
        <f>34.5108 * CHOOSE(CONTROL!$C$13, $C$13, 100%, $E$13) + CHOOSE(CONTROL!$C$32, 0.0272, 0)</f>
        <v>34.538000000000004</v>
      </c>
      <c r="C407" s="4">
        <f>34.1476 * CHOOSE(CONTROL!$C$13, $C$13, 100%, $E$13) + CHOOSE(CONTROL!$C$32, 0.0272, 0)</f>
        <v>34.174799999999998</v>
      </c>
      <c r="D407" s="4">
        <f>46.3455 * CHOOSE(CONTROL!$C$13, $C$13, 100%, $E$13) + CHOOSE(CONTROL!$C$32, 0.0021, 0)</f>
        <v>46.3476</v>
      </c>
      <c r="E407" s="4">
        <f>219.197292048293 * CHOOSE(CONTROL!$C$13, $C$13, 100%, $E$13) + CHOOSE(CONTROL!$C$32, 0.0021, 0)</f>
        <v>219.19939204829302</v>
      </c>
    </row>
    <row r="408" spans="1:5" ht="15">
      <c r="A408" s="13">
        <v>53570</v>
      </c>
      <c r="B408" s="4">
        <f>35.3186 * CHOOSE(CONTROL!$C$13, $C$13, 100%, $E$13) + CHOOSE(CONTROL!$C$32, 0.0272, 0)</f>
        <v>35.345800000000004</v>
      </c>
      <c r="C408" s="4">
        <f>34.9553 * CHOOSE(CONTROL!$C$13, $C$13, 100%, $E$13) + CHOOSE(CONTROL!$C$32, 0.0272, 0)</f>
        <v>34.982500000000002</v>
      </c>
      <c r="D408" s="4">
        <f>45.8686 * CHOOSE(CONTROL!$C$13, $C$13, 100%, $E$13) + CHOOSE(CONTROL!$C$32, 0.0021, 0)</f>
        <v>45.870699999999999</v>
      </c>
      <c r="E408" s="4">
        <f>224.445334118492 * CHOOSE(CONTROL!$C$13, $C$13, 100%, $E$13) + CHOOSE(CONTROL!$C$32, 0.0021, 0)</f>
        <v>224.44743411849203</v>
      </c>
    </row>
    <row r="409" spans="1:5" ht="15">
      <c r="A409" s="13">
        <v>53600</v>
      </c>
      <c r="B409" s="4">
        <f>33.9419 * CHOOSE(CONTROL!$C$13, $C$13, 100%, $E$13) + CHOOSE(CONTROL!$C$32, 0.0272, 0)</f>
        <v>33.969099999999997</v>
      </c>
      <c r="C409" s="4">
        <f>33.5787 * CHOOSE(CONTROL!$C$13, $C$13, 100%, $E$13) + CHOOSE(CONTROL!$C$32, 0.0272, 0)</f>
        <v>33.605899999999998</v>
      </c>
      <c r="D409" s="4">
        <f>45.6432 * CHOOSE(CONTROL!$C$13, $C$13, 100%, $E$13) + CHOOSE(CONTROL!$C$32, 0.0021, 0)</f>
        <v>45.645299999999999</v>
      </c>
      <c r="E409" s="4">
        <f>215.500996636725 * CHOOSE(CONTROL!$C$13, $C$13, 100%, $E$13) + CHOOSE(CONTROL!$C$32, 0.0021, 0)</f>
        <v>215.50309663672502</v>
      </c>
    </row>
    <row r="410" spans="1:5" ht="15">
      <c r="A410" s="13">
        <v>53631</v>
      </c>
      <c r="B410" s="4">
        <f>32.8399 * CHOOSE(CONTROL!$C$13, $C$13, 100%, $E$13) + CHOOSE(CONTROL!$C$32, 0.0272, 0)</f>
        <v>32.867100000000001</v>
      </c>
      <c r="C410" s="4">
        <f>32.4766 * CHOOSE(CONTROL!$C$13, $C$13, 100%, $E$13) + CHOOSE(CONTROL!$C$32, 0.0272, 0)</f>
        <v>32.503799999999998</v>
      </c>
      <c r="D410" s="4">
        <f>45.0398 * CHOOSE(CONTROL!$C$13, $C$13, 100%, $E$13) + CHOOSE(CONTROL!$C$32, 0.0021, 0)</f>
        <v>45.041899999999998</v>
      </c>
      <c r="E410" s="4">
        <f>208.340877223121 * CHOOSE(CONTROL!$C$13, $C$13, 100%, $E$13) + CHOOSE(CONTROL!$C$32, 0.0021, 0)</f>
        <v>208.34297722312101</v>
      </c>
    </row>
    <row r="411" spans="1:5" ht="15">
      <c r="A411" s="13">
        <v>53661</v>
      </c>
      <c r="B411" s="4">
        <f>32.1301 * CHOOSE(CONTROL!$C$13, $C$13, 100%, $E$13) + CHOOSE(CONTROL!$C$32, 0.0272, 0)</f>
        <v>32.157299999999999</v>
      </c>
      <c r="C411" s="4">
        <f>31.7668 * CHOOSE(CONTROL!$C$13, $C$13, 100%, $E$13) + CHOOSE(CONTROL!$C$32, 0.0272, 0)</f>
        <v>31.794</v>
      </c>
      <c r="D411" s="4">
        <f>44.8324 * CHOOSE(CONTROL!$C$13, $C$13, 100%, $E$13) + CHOOSE(CONTROL!$C$32, 0.0021, 0)</f>
        <v>44.834499999999998</v>
      </c>
      <c r="E411" s="4">
        <f>203.729225636518 * CHOOSE(CONTROL!$C$13, $C$13, 100%, $E$13) + CHOOSE(CONTROL!$C$32, 0.0021, 0)</f>
        <v>203.73132563651802</v>
      </c>
    </row>
    <row r="412" spans="1:5" ht="15">
      <c r="A412" s="13">
        <v>53692</v>
      </c>
      <c r="B412" s="4">
        <f>31.639 * CHOOSE(CONTROL!$C$13, $C$13, 100%, $E$13) + CHOOSE(CONTROL!$C$32, 0.0272, 0)</f>
        <v>31.6662</v>
      </c>
      <c r="C412" s="4">
        <f>31.2757 * CHOOSE(CONTROL!$C$13, $C$13, 100%, $E$13) + CHOOSE(CONTROL!$C$32, 0.0272, 0)</f>
        <v>31.302900000000001</v>
      </c>
      <c r="D412" s="4">
        <f>43.3051 * CHOOSE(CONTROL!$C$13, $C$13, 100%, $E$13) + CHOOSE(CONTROL!$C$32, 0.0021, 0)</f>
        <v>43.307200000000002</v>
      </c>
      <c r="E412" s="4">
        <f>200.538555540683 * CHOOSE(CONTROL!$C$13, $C$13, 100%, $E$13) + CHOOSE(CONTROL!$C$32, 0.0021, 0)</f>
        <v>200.54065554068302</v>
      </c>
    </row>
    <row r="413" spans="1:5" ht="15">
      <c r="A413" s="13">
        <v>53723</v>
      </c>
      <c r="B413" s="4">
        <f>30.3519 * CHOOSE(CONTROL!$C$13, $C$13, 100%, $E$13) + CHOOSE(CONTROL!$C$32, 0.0272, 0)</f>
        <v>30.379100000000001</v>
      </c>
      <c r="C413" s="4">
        <f>29.9886 * CHOOSE(CONTROL!$C$13, $C$13, 100%, $E$13) + CHOOSE(CONTROL!$C$32, 0.0272, 0)</f>
        <v>30.015800000000002</v>
      </c>
      <c r="D413" s="4">
        <f>41.5468 * CHOOSE(CONTROL!$C$13, $C$13, 100%, $E$13) + CHOOSE(CONTROL!$C$32, 0.0021, 0)</f>
        <v>41.548899999999996</v>
      </c>
      <c r="E413" s="4">
        <f>192.185309832017 * CHOOSE(CONTROL!$C$13, $C$13, 100%, $E$13) + CHOOSE(CONTROL!$C$32, 0.0021, 0)</f>
        <v>192.18740983201701</v>
      </c>
    </row>
    <row r="414" spans="1:5" ht="15">
      <c r="A414" s="13">
        <v>53751</v>
      </c>
      <c r="B414" s="4">
        <f>31.0542 * CHOOSE(CONTROL!$C$13, $C$13, 100%, $E$13) + CHOOSE(CONTROL!$C$32, 0.0272, 0)</f>
        <v>31.081400000000002</v>
      </c>
      <c r="C414" s="4">
        <f>30.6909 * CHOOSE(CONTROL!$C$13, $C$13, 100%, $E$13) + CHOOSE(CONTROL!$C$32, 0.0272, 0)</f>
        <v>30.7181</v>
      </c>
      <c r="D414" s="4">
        <f>42.9478 * CHOOSE(CONTROL!$C$13, $C$13, 100%, $E$13) + CHOOSE(CONTROL!$C$32, 0.0021, 0)</f>
        <v>42.9499</v>
      </c>
      <c r="E414" s="4">
        <f>196.748546472331 * CHOOSE(CONTROL!$C$13, $C$13, 100%, $E$13) + CHOOSE(CONTROL!$C$32, 0.0021, 0)</f>
        <v>196.750646472331</v>
      </c>
    </row>
    <row r="415" spans="1:5" ht="15">
      <c r="A415" s="13">
        <v>53782</v>
      </c>
      <c r="B415" s="4">
        <f>32.8985 * CHOOSE(CONTROL!$C$13, $C$13, 100%, $E$13) + CHOOSE(CONTROL!$C$32, 0.0272, 0)</f>
        <v>32.925699999999999</v>
      </c>
      <c r="C415" s="4">
        <f>32.5352 * CHOOSE(CONTROL!$C$13, $C$13, 100%, $E$13) + CHOOSE(CONTROL!$C$32, 0.0272, 0)</f>
        <v>32.562400000000004</v>
      </c>
      <c r="D415" s="4">
        <f>45.1409 * CHOOSE(CONTROL!$C$13, $C$13, 100%, $E$13) + CHOOSE(CONTROL!$C$32, 0.0021, 0)</f>
        <v>45.143000000000001</v>
      </c>
      <c r="E415" s="4">
        <f>208.731848394918 * CHOOSE(CONTROL!$C$13, $C$13, 100%, $E$13) + CHOOSE(CONTROL!$C$32, 0.0021, 0)</f>
        <v>208.733948394918</v>
      </c>
    </row>
    <row r="416" spans="1:5" ht="15">
      <c r="A416" s="13">
        <v>53812</v>
      </c>
      <c r="B416" s="4">
        <f>34.2089 * CHOOSE(CONTROL!$C$13, $C$13, 100%, $E$13) + CHOOSE(CONTROL!$C$32, 0.0272, 0)</f>
        <v>34.2361</v>
      </c>
      <c r="C416" s="4">
        <f>33.8456 * CHOOSE(CONTROL!$C$13, $C$13, 100%, $E$13) + CHOOSE(CONTROL!$C$32, 0.0272, 0)</f>
        <v>33.872799999999998</v>
      </c>
      <c r="D416" s="4">
        <f>46.4042 * CHOOSE(CONTROL!$C$13, $C$13, 100%, $E$13) + CHOOSE(CONTROL!$C$32, 0.0021, 0)</f>
        <v>46.406300000000002</v>
      </c>
      <c r="E416" s="4">
        <f>217.246144109412 * CHOOSE(CONTROL!$C$13, $C$13, 100%, $E$13) + CHOOSE(CONTROL!$C$32, 0.0021, 0)</f>
        <v>217.24824410941201</v>
      </c>
    </row>
    <row r="417" spans="1:5" ht="15">
      <c r="A417" s="13">
        <v>53843</v>
      </c>
      <c r="B417" s="4">
        <f>35.0095 * CHOOSE(CONTROL!$C$13, $C$13, 100%, $E$13) + CHOOSE(CONTROL!$C$32, 0.0272, 0)</f>
        <v>35.036700000000003</v>
      </c>
      <c r="C417" s="4">
        <f>34.6462 * CHOOSE(CONTROL!$C$13, $C$13, 100%, $E$13) + CHOOSE(CONTROL!$C$32, 0.0272, 0)</f>
        <v>34.673400000000001</v>
      </c>
      <c r="D417" s="4">
        <f>45.905 * CHOOSE(CONTROL!$C$13, $C$13, 100%, $E$13) + CHOOSE(CONTROL!$C$32, 0.0021, 0)</f>
        <v>45.9071</v>
      </c>
      <c r="E417" s="4">
        <f>222.448174731779 * CHOOSE(CONTROL!$C$13, $C$13, 100%, $E$13) + CHOOSE(CONTROL!$C$32, 0.0021, 0)</f>
        <v>222.45027473177902</v>
      </c>
    </row>
    <row r="418" spans="1:5" ht="15">
      <c r="A418" s="13">
        <v>53873</v>
      </c>
      <c r="B418" s="4">
        <f>35.1178 * CHOOSE(CONTROL!$C$13, $C$13, 100%, $E$13) + CHOOSE(CONTROL!$C$32, 0.0272, 0)</f>
        <v>35.145000000000003</v>
      </c>
      <c r="C418" s="4">
        <f>34.7546 * CHOOSE(CONTROL!$C$13, $C$13, 100%, $E$13) + CHOOSE(CONTROL!$C$32, 0.0272, 0)</f>
        <v>34.781800000000004</v>
      </c>
      <c r="D418" s="4">
        <f>46.3116 * CHOOSE(CONTROL!$C$13, $C$13, 100%, $E$13) + CHOOSE(CONTROL!$C$32, 0.0021, 0)</f>
        <v>46.313699999999997</v>
      </c>
      <c r="E418" s="4">
        <f>223.152031063856 * CHOOSE(CONTROL!$C$13, $C$13, 100%, $E$13) + CHOOSE(CONTROL!$C$32, 0.0021, 0)</f>
        <v>223.154131063856</v>
      </c>
    </row>
    <row r="419" spans="1:5" ht="15">
      <c r="A419" s="13">
        <v>53904</v>
      </c>
      <c r="B419" s="4">
        <f>35.1069 * CHOOSE(CONTROL!$C$13, $C$13, 100%, $E$13) + CHOOSE(CONTROL!$C$32, 0.0272, 0)</f>
        <v>35.134100000000004</v>
      </c>
      <c r="C419" s="4">
        <f>34.7436 * CHOOSE(CONTROL!$C$13, $C$13, 100%, $E$13) + CHOOSE(CONTROL!$C$32, 0.0272, 0)</f>
        <v>34.770800000000001</v>
      </c>
      <c r="D419" s="4">
        <f>47.0452 * CHOOSE(CONTROL!$C$13, $C$13, 100%, $E$13) + CHOOSE(CONTROL!$C$32, 0.0021, 0)</f>
        <v>47.0473</v>
      </c>
      <c r="E419" s="4">
        <f>223.081053954739 * CHOOSE(CONTROL!$C$13, $C$13, 100%, $E$13) + CHOOSE(CONTROL!$C$32, 0.0021, 0)</f>
        <v>223.083153954739</v>
      </c>
    </row>
    <row r="420" spans="1:5" ht="15">
      <c r="A420" s="13">
        <v>53935</v>
      </c>
      <c r="B420" s="4">
        <f>35.9289 * CHOOSE(CONTROL!$C$13, $C$13, 100%, $E$13) + CHOOSE(CONTROL!$C$32, 0.0272, 0)</f>
        <v>35.956099999999999</v>
      </c>
      <c r="C420" s="4">
        <f>35.5657 * CHOOSE(CONTROL!$C$13, $C$13, 100%, $E$13) + CHOOSE(CONTROL!$C$32, 0.0272, 0)</f>
        <v>35.5929</v>
      </c>
      <c r="D420" s="4">
        <f>46.5607 * CHOOSE(CONTROL!$C$13, $C$13, 100%, $E$13) + CHOOSE(CONTROL!$C$32, 0.0021, 0)</f>
        <v>46.562799999999996</v>
      </c>
      <c r="E420" s="4">
        <f>228.422081415793 * CHOOSE(CONTROL!$C$13, $C$13, 100%, $E$13) + CHOOSE(CONTROL!$C$32, 0.0021, 0)</f>
        <v>228.42418141579302</v>
      </c>
    </row>
    <row r="421" spans="1:5" ht="15">
      <c r="A421" s="13">
        <v>53965</v>
      </c>
      <c r="B421" s="4">
        <f>34.528 * CHOOSE(CONTROL!$C$13, $C$13, 100%, $E$13) + CHOOSE(CONTROL!$C$32, 0.0272, 0)</f>
        <v>34.555199999999999</v>
      </c>
      <c r="C421" s="4">
        <f>34.1647 * CHOOSE(CONTROL!$C$13, $C$13, 100%, $E$13) + CHOOSE(CONTROL!$C$32, 0.0272, 0)</f>
        <v>34.191900000000004</v>
      </c>
      <c r="D421" s="4">
        <f>46.3318 * CHOOSE(CONTROL!$C$13, $C$13, 100%, $E$13) + CHOOSE(CONTROL!$C$32, 0.0021, 0)</f>
        <v>46.3339</v>
      </c>
      <c r="E421" s="4">
        <f>219.319267171538 * CHOOSE(CONTROL!$C$13, $C$13, 100%, $E$13) + CHOOSE(CONTROL!$C$32, 0.0021, 0)</f>
        <v>219.32136717153801</v>
      </c>
    </row>
    <row r="422" spans="1:5" ht="15">
      <c r="A422" s="13">
        <v>53996</v>
      </c>
      <c r="B422" s="4">
        <f>33.4065 * CHOOSE(CONTROL!$C$13, $C$13, 100%, $E$13) + CHOOSE(CONTROL!$C$32, 0.0272, 0)</f>
        <v>33.433700000000002</v>
      </c>
      <c r="C422" s="4">
        <f>33.0432 * CHOOSE(CONTROL!$C$13, $C$13, 100%, $E$13) + CHOOSE(CONTROL!$C$32, 0.0272, 0)</f>
        <v>33.070399999999999</v>
      </c>
      <c r="D422" s="4">
        <f>45.7189 * CHOOSE(CONTROL!$C$13, $C$13, 100%, $E$13) + CHOOSE(CONTROL!$C$32, 0.0021, 0)</f>
        <v>45.720999999999997</v>
      </c>
      <c r="E422" s="4">
        <f>212.032283968859 * CHOOSE(CONTROL!$C$13, $C$13, 100%, $E$13) + CHOOSE(CONTROL!$C$32, 0.0021, 0)</f>
        <v>212.034383968859</v>
      </c>
    </row>
    <row r="423" spans="1:5" ht="15">
      <c r="A423" s="13">
        <v>54026</v>
      </c>
      <c r="B423" s="4">
        <f>32.6841 * CHOOSE(CONTROL!$C$13, $C$13, 100%, $E$13) + CHOOSE(CONTROL!$C$32, 0.0272, 0)</f>
        <v>32.711300000000001</v>
      </c>
      <c r="C423" s="4">
        <f>32.3208 * CHOOSE(CONTROL!$C$13, $C$13, 100%, $E$13) + CHOOSE(CONTROL!$C$32, 0.0272, 0)</f>
        <v>32.347999999999999</v>
      </c>
      <c r="D423" s="4">
        <f>45.5082 * CHOOSE(CONTROL!$C$13, $C$13, 100%, $E$13) + CHOOSE(CONTROL!$C$32, 0.0021, 0)</f>
        <v>45.510300000000001</v>
      </c>
      <c r="E423" s="4">
        <f>207.338922628497 * CHOOSE(CONTROL!$C$13, $C$13, 100%, $E$13) + CHOOSE(CONTROL!$C$32, 0.0021, 0)</f>
        <v>207.341022628497</v>
      </c>
    </row>
    <row r="424" spans="1:5" ht="15">
      <c r="A424" s="13">
        <v>54057</v>
      </c>
      <c r="B424" s="4">
        <f>32.1844 * CHOOSE(CONTROL!$C$13, $C$13, 100%, $E$13) + CHOOSE(CONTROL!$C$32, 0.0272, 0)</f>
        <v>32.211599999999997</v>
      </c>
      <c r="C424" s="4">
        <f>31.8211 * CHOOSE(CONTROL!$C$13, $C$13, 100%, $E$13) + CHOOSE(CONTROL!$C$32, 0.0272, 0)</f>
        <v>31.848300000000002</v>
      </c>
      <c r="D424" s="4">
        <f>43.957 * CHOOSE(CONTROL!$C$13, $C$13, 100%, $E$13) + CHOOSE(CONTROL!$C$32, 0.0021, 0)</f>
        <v>43.959099999999999</v>
      </c>
      <c r="E424" s="4">
        <f>204.091719886394 * CHOOSE(CONTROL!$C$13, $C$13, 100%, $E$13) + CHOOSE(CONTROL!$C$32, 0.0021, 0)</f>
        <v>204.09381988639402</v>
      </c>
    </row>
    <row r="425" spans="1:5" ht="15">
      <c r="A425" s="13">
        <v>54088</v>
      </c>
      <c r="B425" s="4">
        <f>30.8745 * CHOOSE(CONTROL!$C$13, $C$13, 100%, $E$13) + CHOOSE(CONTROL!$C$32, 0.0272, 0)</f>
        <v>30.901700000000002</v>
      </c>
      <c r="C425" s="4">
        <f>30.5112 * CHOOSE(CONTROL!$C$13, $C$13, 100%, $E$13) + CHOOSE(CONTROL!$C$32, 0.0272, 0)</f>
        <v>30.538399999999999</v>
      </c>
      <c r="D425" s="4">
        <f>42.171 * CHOOSE(CONTROL!$C$13, $C$13, 100%, $E$13) + CHOOSE(CONTROL!$C$32, 0.0021, 0)</f>
        <v>42.173099999999998</v>
      </c>
      <c r="E425" s="4">
        <f>195.590470444766 * CHOOSE(CONTROL!$C$13, $C$13, 100%, $E$13) + CHOOSE(CONTROL!$C$32, 0.0021, 0)</f>
        <v>195.59257044476601</v>
      </c>
    </row>
    <row r="426" spans="1:5" ht="15">
      <c r="A426" s="13">
        <v>54116</v>
      </c>
      <c r="B426" s="4">
        <f>31.5892 * CHOOSE(CONTROL!$C$13, $C$13, 100%, $E$13) + CHOOSE(CONTROL!$C$32, 0.0272, 0)</f>
        <v>31.616400000000002</v>
      </c>
      <c r="C426" s="4">
        <f>31.2259 * CHOOSE(CONTROL!$C$13, $C$13, 100%, $E$13) + CHOOSE(CONTROL!$C$32, 0.0272, 0)</f>
        <v>31.2531</v>
      </c>
      <c r="D426" s="4">
        <f>43.594 * CHOOSE(CONTROL!$C$13, $C$13, 100%, $E$13) + CHOOSE(CONTROL!$C$32, 0.0021, 0)</f>
        <v>43.5961</v>
      </c>
      <c r="E426" s="4">
        <f>200.234559017456 * CHOOSE(CONTROL!$C$13, $C$13, 100%, $E$13) + CHOOSE(CONTROL!$C$32, 0.0021, 0)</f>
        <v>200.23665901745602</v>
      </c>
    </row>
    <row r="427" spans="1:5" ht="15">
      <c r="A427" s="13">
        <v>54148</v>
      </c>
      <c r="B427" s="4">
        <f>33.4661 * CHOOSE(CONTROL!$C$13, $C$13, 100%, $E$13) + CHOOSE(CONTROL!$C$32, 0.0272, 0)</f>
        <v>33.493299999999998</v>
      </c>
      <c r="C427" s="4">
        <f>33.1028 * CHOOSE(CONTROL!$C$13, $C$13, 100%, $E$13) + CHOOSE(CONTROL!$C$32, 0.0272, 0)</f>
        <v>33.130000000000003</v>
      </c>
      <c r="D427" s="4">
        <f>45.8216 * CHOOSE(CONTROL!$C$13, $C$13, 100%, $E$13) + CHOOSE(CONTROL!$C$32, 0.0021, 0)</f>
        <v>45.823699999999995</v>
      </c>
      <c r="E427" s="4">
        <f>212.430182411196 * CHOOSE(CONTROL!$C$13, $C$13, 100%, $E$13) + CHOOSE(CONTROL!$C$32, 0.0021, 0)</f>
        <v>212.43228241119601</v>
      </c>
    </row>
    <row r="428" spans="1:5" ht="15">
      <c r="A428" s="13">
        <v>54178</v>
      </c>
      <c r="B428" s="4">
        <f>34.7996 * CHOOSE(CONTROL!$C$13, $C$13, 100%, $E$13) + CHOOSE(CONTROL!$C$32, 0.0272, 0)</f>
        <v>34.826799999999999</v>
      </c>
      <c r="C428" s="4">
        <f>34.4364 * CHOOSE(CONTROL!$C$13, $C$13, 100%, $E$13) + CHOOSE(CONTROL!$C$32, 0.0272, 0)</f>
        <v>34.4636</v>
      </c>
      <c r="D428" s="4">
        <f>47.1048 * CHOOSE(CONTROL!$C$13, $C$13, 100%, $E$13) + CHOOSE(CONTROL!$C$32, 0.0021, 0)</f>
        <v>47.106899999999996</v>
      </c>
      <c r="E428" s="4">
        <f>221.095335360499 * CHOOSE(CONTROL!$C$13, $C$13, 100%, $E$13) + CHOOSE(CONTROL!$C$32, 0.0021, 0)</f>
        <v>221.09743536049902</v>
      </c>
    </row>
    <row r="429" spans="1:5" ht="15">
      <c r="A429" s="13">
        <v>54209</v>
      </c>
      <c r="B429" s="4">
        <f>35.6144 * CHOOSE(CONTROL!$C$13, $C$13, 100%, $E$13) + CHOOSE(CONTROL!$C$32, 0.0272, 0)</f>
        <v>35.641600000000004</v>
      </c>
      <c r="C429" s="4">
        <f>35.2511 * CHOOSE(CONTROL!$C$13, $C$13, 100%, $E$13) + CHOOSE(CONTROL!$C$32, 0.0272, 0)</f>
        <v>35.278300000000002</v>
      </c>
      <c r="D429" s="4">
        <f>46.5978 * CHOOSE(CONTROL!$C$13, $C$13, 100%, $E$13) + CHOOSE(CONTROL!$C$32, 0.0021, 0)</f>
        <v>46.599899999999998</v>
      </c>
      <c r="E429" s="4">
        <f>226.389536137792 * CHOOSE(CONTROL!$C$13, $C$13, 100%, $E$13) + CHOOSE(CONTROL!$C$32, 0.0021, 0)</f>
        <v>226.39163613779201</v>
      </c>
    </row>
    <row r="430" spans="1:5" ht="15">
      <c r="A430" s="13">
        <v>54239</v>
      </c>
      <c r="B430" s="4">
        <f>35.7247 * CHOOSE(CONTROL!$C$13, $C$13, 100%, $E$13) + CHOOSE(CONTROL!$C$32, 0.0272, 0)</f>
        <v>35.751899999999999</v>
      </c>
      <c r="C430" s="4">
        <f>35.3614 * CHOOSE(CONTROL!$C$13, $C$13, 100%, $E$13) + CHOOSE(CONTROL!$C$32, 0.0272, 0)</f>
        <v>35.388600000000004</v>
      </c>
      <c r="D430" s="4">
        <f>47.0107 * CHOOSE(CONTROL!$C$13, $C$13, 100%, $E$13) + CHOOSE(CONTROL!$C$32, 0.0021, 0)</f>
        <v>47.012799999999999</v>
      </c>
      <c r="E430" s="4">
        <f>227.105863474344 * CHOOSE(CONTROL!$C$13, $C$13, 100%, $E$13) + CHOOSE(CONTROL!$C$32, 0.0021, 0)</f>
        <v>227.10796347434402</v>
      </c>
    </row>
    <row r="431" spans="1:5" ht="15">
      <c r="A431" s="13">
        <v>54270</v>
      </c>
      <c r="B431" s="4">
        <f>35.7135 * CHOOSE(CONTROL!$C$13, $C$13, 100%, $E$13) + CHOOSE(CONTROL!$C$32, 0.0272, 0)</f>
        <v>35.740700000000004</v>
      </c>
      <c r="C431" s="4">
        <f>35.3503 * CHOOSE(CONTROL!$C$13, $C$13, 100%, $E$13) + CHOOSE(CONTROL!$C$32, 0.0272, 0)</f>
        <v>35.377499999999998</v>
      </c>
      <c r="D431" s="4">
        <f>47.7558 * CHOOSE(CONTROL!$C$13, $C$13, 100%, $E$13) + CHOOSE(CONTROL!$C$32, 0.0021, 0)</f>
        <v>47.757899999999999</v>
      </c>
      <c r="E431" s="4">
        <f>227.033628784944 * CHOOSE(CONTROL!$C$13, $C$13, 100%, $E$13) + CHOOSE(CONTROL!$C$32, 0.0021, 0)</f>
        <v>227.03572878494401</v>
      </c>
    </row>
    <row r="432" spans="1:5" ht="15">
      <c r="A432" s="13">
        <v>54301</v>
      </c>
      <c r="B432" s="4">
        <f>36.5501 * CHOOSE(CONTROL!$C$13, $C$13, 100%, $E$13) + CHOOSE(CONTROL!$C$32, 0.0272, 0)</f>
        <v>36.577300000000001</v>
      </c>
      <c r="C432" s="4">
        <f>36.1868 * CHOOSE(CONTROL!$C$13, $C$13, 100%, $E$13) + CHOOSE(CONTROL!$C$32, 0.0272, 0)</f>
        <v>36.213999999999999</v>
      </c>
      <c r="D432" s="4">
        <f>47.2638 * CHOOSE(CONTROL!$C$13, $C$13, 100%, $E$13) + CHOOSE(CONTROL!$C$32, 0.0021, 0)</f>
        <v>47.265900000000002</v>
      </c>
      <c r="E432" s="4">
        <f>232.469289162312 * CHOOSE(CONTROL!$C$13, $C$13, 100%, $E$13) + CHOOSE(CONTROL!$C$32, 0.0021, 0)</f>
        <v>232.47138916231202</v>
      </c>
    </row>
    <row r="433" spans="1:5" ht="15">
      <c r="A433" s="13">
        <v>54331</v>
      </c>
      <c r="B433" s="4">
        <f>35.1243 * CHOOSE(CONTROL!$C$13, $C$13, 100%, $E$13) + CHOOSE(CONTROL!$C$32, 0.0272, 0)</f>
        <v>35.151499999999999</v>
      </c>
      <c r="C433" s="4">
        <f>34.7611 * CHOOSE(CONTROL!$C$13, $C$13, 100%, $E$13) + CHOOSE(CONTROL!$C$32, 0.0272, 0)</f>
        <v>34.7883</v>
      </c>
      <c r="D433" s="4">
        <f>47.0313 * CHOOSE(CONTROL!$C$13, $C$13, 100%, $E$13) + CHOOSE(CONTROL!$C$32, 0.0021, 0)</f>
        <v>47.0334</v>
      </c>
      <c r="E433" s="4">
        <f>223.205190246731 * CHOOSE(CONTROL!$C$13, $C$13, 100%, $E$13) + CHOOSE(CONTROL!$C$32, 0.0021, 0)</f>
        <v>223.20729024673102</v>
      </c>
    </row>
    <row r="434" spans="1:5" ht="15">
      <c r="A434" s="13">
        <v>54362</v>
      </c>
      <c r="B434" s="4">
        <f>33.983 * CHOOSE(CONTROL!$C$13, $C$13, 100%, $E$13) + CHOOSE(CONTROL!$C$32, 0.0272, 0)</f>
        <v>34.010199999999998</v>
      </c>
      <c r="C434" s="4">
        <f>33.6197 * CHOOSE(CONTROL!$C$13, $C$13, 100%, $E$13) + CHOOSE(CONTROL!$C$32, 0.0272, 0)</f>
        <v>33.646900000000002</v>
      </c>
      <c r="D434" s="4">
        <f>46.4087 * CHOOSE(CONTROL!$C$13, $C$13, 100%, $E$13) + CHOOSE(CONTROL!$C$32, 0.0021, 0)</f>
        <v>46.410800000000002</v>
      </c>
      <c r="E434" s="4">
        <f>215.789095468307 * CHOOSE(CONTROL!$C$13, $C$13, 100%, $E$13) + CHOOSE(CONTROL!$C$32, 0.0021, 0)</f>
        <v>215.79119546830702</v>
      </c>
    </row>
    <row r="435" spans="1:5" ht="15">
      <c r="A435" s="13">
        <v>54392</v>
      </c>
      <c r="B435" s="4">
        <f>33.2479 * CHOOSE(CONTROL!$C$13, $C$13, 100%, $E$13) + CHOOSE(CONTROL!$C$32, 0.0272, 0)</f>
        <v>33.275100000000002</v>
      </c>
      <c r="C435" s="4">
        <f>32.8846 * CHOOSE(CONTROL!$C$13, $C$13, 100%, $E$13) + CHOOSE(CONTROL!$C$32, 0.0272, 0)</f>
        <v>32.911799999999999</v>
      </c>
      <c r="D435" s="4">
        <f>46.1947 * CHOOSE(CONTROL!$C$13, $C$13, 100%, $E$13) + CHOOSE(CONTROL!$C$32, 0.0021, 0)</f>
        <v>46.196799999999996</v>
      </c>
      <c r="E435" s="4">
        <f>211.012576631716 * CHOOSE(CONTROL!$C$13, $C$13, 100%, $E$13) + CHOOSE(CONTROL!$C$32, 0.0021, 0)</f>
        <v>211.01467663171601</v>
      </c>
    </row>
    <row r="436" spans="1:5" ht="15">
      <c r="A436" s="13">
        <v>54423</v>
      </c>
      <c r="B436" s="4">
        <f>32.7393 * CHOOSE(CONTROL!$C$13, $C$13, 100%, $E$13) + CHOOSE(CONTROL!$C$32, 0.0272, 0)</f>
        <v>32.766500000000001</v>
      </c>
      <c r="C436" s="4">
        <f>32.376 * CHOOSE(CONTROL!$C$13, $C$13, 100%, $E$13) + CHOOSE(CONTROL!$C$32, 0.0272, 0)</f>
        <v>32.403199999999998</v>
      </c>
      <c r="D436" s="4">
        <f>44.6191 * CHOOSE(CONTROL!$C$13, $C$13, 100%, $E$13) + CHOOSE(CONTROL!$C$32, 0.0021, 0)</f>
        <v>44.621200000000002</v>
      </c>
      <c r="E436" s="4">
        <f>207.707839591656 * CHOOSE(CONTROL!$C$13, $C$13, 100%, $E$13) + CHOOSE(CONTROL!$C$32, 0.0021, 0)</f>
        <v>207.70993959165602</v>
      </c>
    </row>
    <row r="437" spans="1:5" ht="15">
      <c r="A437" s="13">
        <v>54454</v>
      </c>
      <c r="B437" s="4">
        <f>31.4063 * CHOOSE(CONTROL!$C$13, $C$13, 100%, $E$13) + CHOOSE(CONTROL!$C$32, 0.0272, 0)</f>
        <v>31.433500000000002</v>
      </c>
      <c r="C437" s="4">
        <f>31.043 * CHOOSE(CONTROL!$C$13, $C$13, 100%, $E$13) + CHOOSE(CONTROL!$C$32, 0.0272, 0)</f>
        <v>31.0702</v>
      </c>
      <c r="D437" s="4">
        <f>42.805 * CHOOSE(CONTROL!$C$13, $C$13, 100%, $E$13) + CHOOSE(CONTROL!$C$32, 0.0021, 0)</f>
        <v>42.807099999999998</v>
      </c>
      <c r="E437" s="4">
        <f>199.055964070526 * CHOOSE(CONTROL!$C$13, $C$13, 100%, $E$13) + CHOOSE(CONTROL!$C$32, 0.0021, 0)</f>
        <v>199.058064070526</v>
      </c>
    </row>
    <row r="438" spans="1:5" ht="15">
      <c r="A438" s="13">
        <v>54482</v>
      </c>
      <c r="B438" s="4">
        <f>32.1337 * CHOOSE(CONTROL!$C$13, $C$13, 100%, $E$13) + CHOOSE(CONTROL!$C$32, 0.0272, 0)</f>
        <v>32.160899999999998</v>
      </c>
      <c r="C438" s="4">
        <f>31.7704 * CHOOSE(CONTROL!$C$13, $C$13, 100%, $E$13) + CHOOSE(CONTROL!$C$32, 0.0272, 0)</f>
        <v>31.797599999999999</v>
      </c>
      <c r="D438" s="4">
        <f>44.2504 * CHOOSE(CONTROL!$C$13, $C$13, 100%, $E$13) + CHOOSE(CONTROL!$C$32, 0.0021, 0)</f>
        <v>44.252499999999998</v>
      </c>
      <c r="E438" s="4">
        <f>203.782337119088 * CHOOSE(CONTROL!$C$13, $C$13, 100%, $E$13) + CHOOSE(CONTROL!$C$32, 0.0021, 0)</f>
        <v>203.78443711908801</v>
      </c>
    </row>
    <row r="439" spans="1:5" ht="15">
      <c r="A439" s="13">
        <v>54513</v>
      </c>
      <c r="B439" s="4">
        <f>34.0437 * CHOOSE(CONTROL!$C$13, $C$13, 100%, $E$13) + CHOOSE(CONTROL!$C$32, 0.0272, 0)</f>
        <v>34.070900000000002</v>
      </c>
      <c r="C439" s="4">
        <f>33.6804 * CHOOSE(CONTROL!$C$13, $C$13, 100%, $E$13) + CHOOSE(CONTROL!$C$32, 0.0272, 0)</f>
        <v>33.707599999999999</v>
      </c>
      <c r="D439" s="4">
        <f>46.5131 * CHOOSE(CONTROL!$C$13, $C$13, 100%, $E$13) + CHOOSE(CONTROL!$C$32, 0.0021, 0)</f>
        <v>46.5152</v>
      </c>
      <c r="E439" s="4">
        <f>216.194043919331 * CHOOSE(CONTROL!$C$13, $C$13, 100%, $E$13) + CHOOSE(CONTROL!$C$32, 0.0021, 0)</f>
        <v>216.19614391933101</v>
      </c>
    </row>
    <row r="440" spans="1:5" ht="15">
      <c r="A440" s="13">
        <v>54543</v>
      </c>
      <c r="B440" s="4">
        <f>35.4008 * CHOOSE(CONTROL!$C$13, $C$13, 100%, $E$13) + CHOOSE(CONTROL!$C$32, 0.0272, 0)</f>
        <v>35.427999999999997</v>
      </c>
      <c r="C440" s="4">
        <f>35.0375 * CHOOSE(CONTROL!$C$13, $C$13, 100%, $E$13) + CHOOSE(CONTROL!$C$32, 0.0272, 0)</f>
        <v>35.064700000000002</v>
      </c>
      <c r="D440" s="4">
        <f>47.8164 * CHOOSE(CONTROL!$C$13, $C$13, 100%, $E$13) + CHOOSE(CONTROL!$C$32, 0.0021, 0)</f>
        <v>47.8185</v>
      </c>
      <c r="E440" s="4">
        <f>225.012727008644 * CHOOSE(CONTROL!$C$13, $C$13, 100%, $E$13) + CHOOSE(CONTROL!$C$32, 0.0021, 0)</f>
        <v>225.014827008644</v>
      </c>
    </row>
    <row r="441" spans="1:5" ht="15">
      <c r="A441" s="13">
        <v>54574</v>
      </c>
      <c r="B441" s="4">
        <f>36.23 * CHOOSE(CONTROL!$C$13, $C$13, 100%, $E$13) + CHOOSE(CONTROL!$C$32, 0.0272, 0)</f>
        <v>36.257199999999997</v>
      </c>
      <c r="C441" s="4">
        <f>35.8667 * CHOOSE(CONTROL!$C$13, $C$13, 100%, $E$13) + CHOOSE(CONTROL!$C$32, 0.0272, 0)</f>
        <v>35.893900000000002</v>
      </c>
      <c r="D441" s="4">
        <f>47.3014 * CHOOSE(CONTROL!$C$13, $C$13, 100%, $E$13) + CHOOSE(CONTROL!$C$32, 0.0021, 0)</f>
        <v>47.3035</v>
      </c>
      <c r="E441" s="4">
        <f>230.400731021879 * CHOOSE(CONTROL!$C$13, $C$13, 100%, $E$13) + CHOOSE(CONTROL!$C$32, 0.0021, 0)</f>
        <v>230.40283102187902</v>
      </c>
    </row>
    <row r="442" spans="1:5" ht="15">
      <c r="A442" s="13">
        <v>54604</v>
      </c>
      <c r="B442" s="4">
        <f>36.3422 * CHOOSE(CONTROL!$C$13, $C$13, 100%, $E$13) + CHOOSE(CONTROL!$C$32, 0.0272, 0)</f>
        <v>36.369399999999999</v>
      </c>
      <c r="C442" s="4">
        <f>35.9789 * CHOOSE(CONTROL!$C$13, $C$13, 100%, $E$13) + CHOOSE(CONTROL!$C$32, 0.0272, 0)</f>
        <v>36.006100000000004</v>
      </c>
      <c r="D442" s="4">
        <f>47.7208 * CHOOSE(CONTROL!$C$13, $C$13, 100%, $E$13) + CHOOSE(CONTROL!$C$32, 0.0021, 0)</f>
        <v>47.722899999999996</v>
      </c>
      <c r="E442" s="4">
        <f>231.129750325546 * CHOOSE(CONTROL!$C$13, $C$13, 100%, $E$13) + CHOOSE(CONTROL!$C$32, 0.0021, 0)</f>
        <v>231.13185032554603</v>
      </c>
    </row>
    <row r="443" spans="1:5" ht="15">
      <c r="A443" s="13">
        <v>54635</v>
      </c>
      <c r="B443" s="4">
        <f>36.3309 * CHOOSE(CONTROL!$C$13, $C$13, 100%, $E$13) + CHOOSE(CONTROL!$C$32, 0.0272, 0)</f>
        <v>36.3581</v>
      </c>
      <c r="C443" s="4">
        <f>35.9676 * CHOOSE(CONTROL!$C$13, $C$13, 100%, $E$13) + CHOOSE(CONTROL!$C$32, 0.0272, 0)</f>
        <v>35.994799999999998</v>
      </c>
      <c r="D443" s="4">
        <f>48.4777 * CHOOSE(CONTROL!$C$13, $C$13, 100%, $E$13) + CHOOSE(CONTROL!$C$32, 0.0021, 0)</f>
        <v>48.479799999999997</v>
      </c>
      <c r="E443" s="4">
        <f>231.056235773915 * CHOOSE(CONTROL!$C$13, $C$13, 100%, $E$13) + CHOOSE(CONTROL!$C$32, 0.0021, 0)</f>
        <v>231.05833577391502</v>
      </c>
    </row>
    <row r="444" spans="1:5" ht="15">
      <c r="A444" s="13">
        <v>54666</v>
      </c>
      <c r="B444" s="4">
        <f>37.1822 * CHOOSE(CONTROL!$C$13, $C$13, 100%, $E$13) + CHOOSE(CONTROL!$C$32, 0.0272, 0)</f>
        <v>37.209400000000002</v>
      </c>
      <c r="C444" s="4">
        <f>36.8189 * CHOOSE(CONTROL!$C$13, $C$13, 100%, $E$13) + CHOOSE(CONTROL!$C$32, 0.0272, 0)</f>
        <v>36.8461</v>
      </c>
      <c r="D444" s="4">
        <f>47.9779 * CHOOSE(CONTROL!$C$13, $C$13, 100%, $E$13) + CHOOSE(CONTROL!$C$32, 0.0021, 0)</f>
        <v>47.98</v>
      </c>
      <c r="E444" s="4">
        <f>236.588205784093 * CHOOSE(CONTROL!$C$13, $C$13, 100%, $E$13) + CHOOSE(CONTROL!$C$32, 0.0021, 0)</f>
        <v>236.590305784093</v>
      </c>
    </row>
    <row r="445" spans="1:5" ht="15">
      <c r="A445" s="13">
        <v>54696</v>
      </c>
      <c r="B445" s="4">
        <f>35.7313 * CHOOSE(CONTROL!$C$13, $C$13, 100%, $E$13) + CHOOSE(CONTROL!$C$32, 0.0272, 0)</f>
        <v>35.758499999999998</v>
      </c>
      <c r="C445" s="4">
        <f>35.368 * CHOOSE(CONTROL!$C$13, $C$13, 100%, $E$13) + CHOOSE(CONTROL!$C$32, 0.0272, 0)</f>
        <v>35.395200000000003</v>
      </c>
      <c r="D445" s="4">
        <f>47.7417 * CHOOSE(CONTROL!$C$13, $C$13, 100%, $E$13) + CHOOSE(CONTROL!$C$32, 0.0021, 0)</f>
        <v>47.7438</v>
      </c>
      <c r="E445" s="4">
        <f>227.159964537511 * CHOOSE(CONTROL!$C$13, $C$13, 100%, $E$13) + CHOOSE(CONTROL!$C$32, 0.0021, 0)</f>
        <v>227.16206453751101</v>
      </c>
    </row>
    <row r="446" spans="1:5" ht="15">
      <c r="A446" s="13">
        <v>54727</v>
      </c>
      <c r="B446" s="4">
        <f>34.5698 * CHOOSE(CONTROL!$C$13, $C$13, 100%, $E$13) + CHOOSE(CONTROL!$C$32, 0.0272, 0)</f>
        <v>34.597000000000001</v>
      </c>
      <c r="C446" s="4">
        <f>34.2065 * CHOOSE(CONTROL!$C$13, $C$13, 100%, $E$13) + CHOOSE(CONTROL!$C$32, 0.0272, 0)</f>
        <v>34.233699999999999</v>
      </c>
      <c r="D446" s="4">
        <f>47.1094 * CHOOSE(CONTROL!$C$13, $C$13, 100%, $E$13) + CHOOSE(CONTROL!$C$32, 0.0021, 0)</f>
        <v>47.111499999999999</v>
      </c>
      <c r="E446" s="4">
        <f>219.612470570138 * CHOOSE(CONTROL!$C$13, $C$13, 100%, $E$13) + CHOOSE(CONTROL!$C$32, 0.0021, 0)</f>
        <v>219.614570570138</v>
      </c>
    </row>
    <row r="447" spans="1:5" ht="15">
      <c r="A447" s="13">
        <v>54757</v>
      </c>
      <c r="B447" s="4">
        <f>33.8217 * CHOOSE(CONTROL!$C$13, $C$13, 100%, $E$13) + CHOOSE(CONTROL!$C$32, 0.0272, 0)</f>
        <v>33.8489</v>
      </c>
      <c r="C447" s="4">
        <f>33.4584 * CHOOSE(CONTROL!$C$13, $C$13, 100%, $E$13) + CHOOSE(CONTROL!$C$32, 0.0272, 0)</f>
        <v>33.485599999999998</v>
      </c>
      <c r="D447" s="4">
        <f>46.892 * CHOOSE(CONTROL!$C$13, $C$13, 100%, $E$13) + CHOOSE(CONTROL!$C$32, 0.0021, 0)</f>
        <v>46.894100000000002</v>
      </c>
      <c r="E447" s="4">
        <f>214.751320843587 * CHOOSE(CONTROL!$C$13, $C$13, 100%, $E$13) + CHOOSE(CONTROL!$C$32, 0.0021, 0)</f>
        <v>214.75342084358701</v>
      </c>
    </row>
    <row r="448" spans="1:5" ht="15">
      <c r="A448" s="13">
        <v>54788</v>
      </c>
      <c r="B448" s="4">
        <f>33.3041 * CHOOSE(CONTROL!$C$13, $C$13, 100%, $E$13) + CHOOSE(CONTROL!$C$32, 0.0272, 0)</f>
        <v>33.331299999999999</v>
      </c>
      <c r="C448" s="4">
        <f>32.9408 * CHOOSE(CONTROL!$C$13, $C$13, 100%, $E$13) + CHOOSE(CONTROL!$C$32, 0.0272, 0)</f>
        <v>32.968000000000004</v>
      </c>
      <c r="D448" s="4">
        <f>45.2916 * CHOOSE(CONTROL!$C$13, $C$13, 100%, $E$13) + CHOOSE(CONTROL!$C$32, 0.0021, 0)</f>
        <v>45.293700000000001</v>
      </c>
      <c r="E448" s="4">
        <f>211.388030106502 * CHOOSE(CONTROL!$C$13, $C$13, 100%, $E$13) + CHOOSE(CONTROL!$C$32, 0.0021, 0)</f>
        <v>211.390130106502</v>
      </c>
    </row>
    <row r="449" spans="1:5" ht="15">
      <c r="A449" s="13">
        <v>54819</v>
      </c>
      <c r="B449" s="4">
        <f>31.9476 * CHOOSE(CONTROL!$C$13, $C$13, 100%, $E$13) + CHOOSE(CONTROL!$C$32, 0.0272, 0)</f>
        <v>31.974800000000002</v>
      </c>
      <c r="C449" s="4">
        <f>31.5843 * CHOOSE(CONTROL!$C$13, $C$13, 100%, $E$13) + CHOOSE(CONTROL!$C$32, 0.0272, 0)</f>
        <v>31.611499999999999</v>
      </c>
      <c r="D449" s="4">
        <f>43.449 * CHOOSE(CONTROL!$C$13, $C$13, 100%, $E$13) + CHOOSE(CONTROL!$C$32, 0.0021, 0)</f>
        <v>43.451099999999997</v>
      </c>
      <c r="E449" s="4">
        <f>202.582859696305 * CHOOSE(CONTROL!$C$13, $C$13, 100%, $E$13) + CHOOSE(CONTROL!$C$32, 0.0021, 0)</f>
        <v>202.58495969630502</v>
      </c>
    </row>
    <row r="450" spans="1:5" ht="15">
      <c r="A450" s="13">
        <v>54847</v>
      </c>
      <c r="B450" s="4">
        <f>32.6877 * CHOOSE(CONTROL!$C$13, $C$13, 100%, $E$13) + CHOOSE(CONTROL!$C$32, 0.0272, 0)</f>
        <v>32.7149</v>
      </c>
      <c r="C450" s="4">
        <f>32.3245 * CHOOSE(CONTROL!$C$13, $C$13, 100%, $E$13) + CHOOSE(CONTROL!$C$32, 0.0272, 0)</f>
        <v>32.351700000000001</v>
      </c>
      <c r="D450" s="4">
        <f>44.9171 * CHOOSE(CONTROL!$C$13, $C$13, 100%, $E$13) + CHOOSE(CONTROL!$C$32, 0.0021, 0)</f>
        <v>44.919199999999996</v>
      </c>
      <c r="E450" s="4">
        <f>207.3929751462 * CHOOSE(CONTROL!$C$13, $C$13, 100%, $E$13) + CHOOSE(CONTROL!$C$32, 0.0021, 0)</f>
        <v>207.39507514620001</v>
      </c>
    </row>
    <row r="451" spans="1:5" ht="15">
      <c r="A451" s="13">
        <v>54878</v>
      </c>
      <c r="B451" s="4">
        <f>34.6315 * CHOOSE(CONTROL!$C$13, $C$13, 100%, $E$13) + CHOOSE(CONTROL!$C$32, 0.0272, 0)</f>
        <v>34.658700000000003</v>
      </c>
      <c r="C451" s="4">
        <f>34.2683 * CHOOSE(CONTROL!$C$13, $C$13, 100%, $E$13) + CHOOSE(CONTROL!$C$32, 0.0272, 0)</f>
        <v>34.295500000000004</v>
      </c>
      <c r="D451" s="4">
        <f>47.2154 * CHOOSE(CONTROL!$C$13, $C$13, 100%, $E$13) + CHOOSE(CONTROL!$C$32, 0.0021, 0)</f>
        <v>47.217500000000001</v>
      </c>
      <c r="E451" s="4">
        <f>220.024593942683 * CHOOSE(CONTROL!$C$13, $C$13, 100%, $E$13) + CHOOSE(CONTROL!$C$32, 0.0021, 0)</f>
        <v>220.02669394268301</v>
      </c>
    </row>
    <row r="452" spans="1:5" ht="15">
      <c r="A452" s="13">
        <v>54908</v>
      </c>
      <c r="B452" s="4">
        <f>36.0126 * CHOOSE(CONTROL!$C$13, $C$13, 100%, $E$13) + CHOOSE(CONTROL!$C$32, 0.0272, 0)</f>
        <v>36.0398</v>
      </c>
      <c r="C452" s="4">
        <f>35.6494 * CHOOSE(CONTROL!$C$13, $C$13, 100%, $E$13) + CHOOSE(CONTROL!$C$32, 0.0272, 0)</f>
        <v>35.676600000000001</v>
      </c>
      <c r="D452" s="4">
        <f>48.5392 * CHOOSE(CONTROL!$C$13, $C$13, 100%, $E$13) + CHOOSE(CONTROL!$C$32, 0.0021, 0)</f>
        <v>48.5413</v>
      </c>
      <c r="E452" s="4">
        <f>228.999527436038 * CHOOSE(CONTROL!$C$13, $C$13, 100%, $E$13) + CHOOSE(CONTROL!$C$32, 0.0021, 0)</f>
        <v>229.00162743603801</v>
      </c>
    </row>
    <row r="453" spans="1:5" ht="15">
      <c r="A453" s="13">
        <v>54939</v>
      </c>
      <c r="B453" s="4">
        <f>36.8564 * CHOOSE(CONTROL!$C$13, $C$13, 100%, $E$13) + CHOOSE(CONTROL!$C$32, 0.0272, 0)</f>
        <v>36.883600000000001</v>
      </c>
      <c r="C453" s="4">
        <f>36.4932 * CHOOSE(CONTROL!$C$13, $C$13, 100%, $E$13) + CHOOSE(CONTROL!$C$32, 0.0272, 0)</f>
        <v>36.520400000000002</v>
      </c>
      <c r="D453" s="4">
        <f>48.0161 * CHOOSE(CONTROL!$C$13, $C$13, 100%, $E$13) + CHOOSE(CONTROL!$C$32, 0.0021, 0)</f>
        <v>48.0182</v>
      </c>
      <c r="E453" s="4">
        <f>234.482996701342 * CHOOSE(CONTROL!$C$13, $C$13, 100%, $E$13) + CHOOSE(CONTROL!$C$32, 0.0021, 0)</f>
        <v>234.485096701342</v>
      </c>
    </row>
    <row r="454" spans="1:5" ht="15">
      <c r="A454" s="13">
        <v>54969</v>
      </c>
      <c r="B454" s="4">
        <f>36.9706 * CHOOSE(CONTROL!$C$13, $C$13, 100%, $E$13) + CHOOSE(CONTROL!$C$32, 0.0272, 0)</f>
        <v>36.997799999999998</v>
      </c>
      <c r="C454" s="4">
        <f>36.6073 * CHOOSE(CONTROL!$C$13, $C$13, 100%, $E$13) + CHOOSE(CONTROL!$C$32, 0.0272, 0)</f>
        <v>36.634500000000003</v>
      </c>
      <c r="D454" s="4">
        <f>48.4421 * CHOOSE(CONTROL!$C$13, $C$13, 100%, $E$13) + CHOOSE(CONTROL!$C$32, 0.0021, 0)</f>
        <v>48.444200000000002</v>
      </c>
      <c r="E454" s="4">
        <f>235.224932849803 * CHOOSE(CONTROL!$C$13, $C$13, 100%, $E$13) + CHOOSE(CONTROL!$C$32, 0.0021, 0)</f>
        <v>235.22703284980301</v>
      </c>
    </row>
    <row r="455" spans="1:5" ht="15">
      <c r="A455" s="13">
        <v>55000</v>
      </c>
      <c r="B455" s="4">
        <f>36.9591 * CHOOSE(CONTROL!$C$13, $C$13, 100%, $E$13) + CHOOSE(CONTROL!$C$32, 0.0272, 0)</f>
        <v>36.9863</v>
      </c>
      <c r="C455" s="4">
        <f>36.5958 * CHOOSE(CONTROL!$C$13, $C$13, 100%, $E$13) + CHOOSE(CONTROL!$C$32, 0.0272, 0)</f>
        <v>36.622999999999998</v>
      </c>
      <c r="D455" s="4">
        <f>49.2109 * CHOOSE(CONTROL!$C$13, $C$13, 100%, $E$13) + CHOOSE(CONTROL!$C$32, 0.0021, 0)</f>
        <v>49.213000000000001</v>
      </c>
      <c r="E455" s="4">
        <f>235.150115759201 * CHOOSE(CONTROL!$C$13, $C$13, 100%, $E$13) + CHOOSE(CONTROL!$C$32, 0.0021, 0)</f>
        <v>235.152215759201</v>
      </c>
    </row>
    <row r="456" spans="1:5" ht="15">
      <c r="A456" s="13">
        <v>55031</v>
      </c>
      <c r="B456" s="4">
        <f>37.8255 * CHOOSE(CONTROL!$C$13, $C$13, 100%, $E$13) + CHOOSE(CONTROL!$C$32, 0.0272, 0)</f>
        <v>37.852699999999999</v>
      </c>
      <c r="C456" s="4">
        <f>37.4622 * CHOOSE(CONTROL!$C$13, $C$13, 100%, $E$13) + CHOOSE(CONTROL!$C$32, 0.0272, 0)</f>
        <v>37.489400000000003</v>
      </c>
      <c r="D456" s="4">
        <f>48.7032 * CHOOSE(CONTROL!$C$13, $C$13, 100%, $E$13) + CHOOSE(CONTROL!$C$32, 0.0021, 0)</f>
        <v>48.705300000000001</v>
      </c>
      <c r="E456" s="4">
        <f>240.780101826933 * CHOOSE(CONTROL!$C$13, $C$13, 100%, $E$13) + CHOOSE(CONTROL!$C$32, 0.0021, 0)</f>
        <v>240.782201826933</v>
      </c>
    </row>
    <row r="457" spans="1:5" ht="15">
      <c r="A457" s="13">
        <v>55061</v>
      </c>
      <c r="B457" s="4">
        <f>36.3489 * CHOOSE(CONTROL!$C$13, $C$13, 100%, $E$13) + CHOOSE(CONTROL!$C$32, 0.0272, 0)</f>
        <v>36.376100000000001</v>
      </c>
      <c r="C457" s="4">
        <f>35.9856 * CHOOSE(CONTROL!$C$13, $C$13, 100%, $E$13) + CHOOSE(CONTROL!$C$32, 0.0272, 0)</f>
        <v>36.012799999999999</v>
      </c>
      <c r="D457" s="4">
        <f>48.4633 * CHOOSE(CONTROL!$C$13, $C$13, 100%, $E$13) + CHOOSE(CONTROL!$C$32, 0.0021, 0)</f>
        <v>48.465399999999995</v>
      </c>
      <c r="E457" s="4">
        <f>231.184809957344 * CHOOSE(CONTROL!$C$13, $C$13, 100%, $E$13) + CHOOSE(CONTROL!$C$32, 0.0021, 0)</f>
        <v>231.186909957344</v>
      </c>
    </row>
    <row r="458" spans="1:5" ht="15">
      <c r="A458" s="13">
        <v>55092</v>
      </c>
      <c r="B458" s="4">
        <f>35.1669 * CHOOSE(CONTROL!$C$13, $C$13, 100%, $E$13) + CHOOSE(CONTROL!$C$32, 0.0272, 0)</f>
        <v>35.194099999999999</v>
      </c>
      <c r="C458" s="4">
        <f>34.8036 * CHOOSE(CONTROL!$C$13, $C$13, 100%, $E$13) + CHOOSE(CONTROL!$C$32, 0.0272, 0)</f>
        <v>34.830800000000004</v>
      </c>
      <c r="D458" s="4">
        <f>47.8211 * CHOOSE(CONTROL!$C$13, $C$13, 100%, $E$13) + CHOOSE(CONTROL!$C$32, 0.0021, 0)</f>
        <v>47.8232</v>
      </c>
      <c r="E458" s="4">
        <f>223.503588655633 * CHOOSE(CONTROL!$C$13, $C$13, 100%, $E$13) + CHOOSE(CONTROL!$C$32, 0.0021, 0)</f>
        <v>223.50568865563301</v>
      </c>
    </row>
    <row r="459" spans="1:5" ht="15">
      <c r="A459" s="13">
        <v>55122</v>
      </c>
      <c r="B459" s="4">
        <f>34.4056 * CHOOSE(CONTROL!$C$13, $C$13, 100%, $E$13) + CHOOSE(CONTROL!$C$32, 0.0272, 0)</f>
        <v>34.4328</v>
      </c>
      <c r="C459" s="4">
        <f>34.0423 * CHOOSE(CONTROL!$C$13, $C$13, 100%, $E$13) + CHOOSE(CONTROL!$C$32, 0.0272, 0)</f>
        <v>34.069499999999998</v>
      </c>
      <c r="D459" s="4">
        <f>47.6003 * CHOOSE(CONTROL!$C$13, $C$13, 100%, $E$13) + CHOOSE(CONTROL!$C$32, 0.0021, 0)</f>
        <v>47.602399999999996</v>
      </c>
      <c r="E459" s="4">
        <f>218.556308539636 * CHOOSE(CONTROL!$C$13, $C$13, 100%, $E$13) + CHOOSE(CONTROL!$C$32, 0.0021, 0)</f>
        <v>218.55840853963602</v>
      </c>
    </row>
    <row r="460" spans="1:5" ht="15">
      <c r="A460" s="13">
        <v>55153</v>
      </c>
      <c r="B460" s="4">
        <f>33.8789 * CHOOSE(CONTROL!$C$13, $C$13, 100%, $E$13) + CHOOSE(CONTROL!$C$32, 0.0272, 0)</f>
        <v>33.906100000000002</v>
      </c>
      <c r="C460" s="4">
        <f>33.5156 * CHOOSE(CONTROL!$C$13, $C$13, 100%, $E$13) + CHOOSE(CONTROL!$C$32, 0.0272, 0)</f>
        <v>33.5428</v>
      </c>
      <c r="D460" s="4">
        <f>45.9747 * CHOOSE(CONTROL!$C$13, $C$13, 100%, $E$13) + CHOOSE(CONTROL!$C$32, 0.0021, 0)</f>
        <v>45.976799999999997</v>
      </c>
      <c r="E460" s="4">
        <f>215.133426644637 * CHOOSE(CONTROL!$C$13, $C$13, 100%, $E$13) + CHOOSE(CONTROL!$C$32, 0.0021, 0)</f>
        <v>215.13552664463703</v>
      </c>
    </row>
    <row r="461" spans="1:5" ht="15">
      <c r="A461" s="13">
        <v>55184</v>
      </c>
      <c r="B461" s="4">
        <f>32.4983 * CHOOSE(CONTROL!$C$13, $C$13, 100%, $E$13) + CHOOSE(CONTROL!$C$32, 0.0272, 0)</f>
        <v>32.525500000000001</v>
      </c>
      <c r="C461" s="4">
        <f>32.1351 * CHOOSE(CONTROL!$C$13, $C$13, 100%, $E$13) + CHOOSE(CONTROL!$C$32, 0.0272, 0)</f>
        <v>32.162300000000002</v>
      </c>
      <c r="D461" s="4">
        <f>44.1031 * CHOOSE(CONTROL!$C$13, $C$13, 100%, $E$13) + CHOOSE(CONTROL!$C$32, 0.0021, 0)</f>
        <v>44.105199999999996</v>
      </c>
      <c r="E461" s="4">
        <f>206.172245249545 * CHOOSE(CONTROL!$C$13, $C$13, 100%, $E$13) + CHOOSE(CONTROL!$C$32, 0.0021, 0)</f>
        <v>206.17434524954501</v>
      </c>
    </row>
    <row r="462" spans="1:5" ht="15">
      <c r="A462" s="13">
        <v>55212</v>
      </c>
      <c r="B462" s="4">
        <f>33.2516 * CHOOSE(CONTROL!$C$13, $C$13, 100%, $E$13) + CHOOSE(CONTROL!$C$32, 0.0272, 0)</f>
        <v>33.278800000000004</v>
      </c>
      <c r="C462" s="4">
        <f>32.8883 * CHOOSE(CONTROL!$C$13, $C$13, 100%, $E$13) + CHOOSE(CONTROL!$C$32, 0.0272, 0)</f>
        <v>32.915500000000002</v>
      </c>
      <c r="D462" s="4">
        <f>45.5943 * CHOOSE(CONTROL!$C$13, $C$13, 100%, $E$13) + CHOOSE(CONTROL!$C$32, 0.0021, 0)</f>
        <v>45.596399999999996</v>
      </c>
      <c r="E462" s="4">
        <f>211.067586857917 * CHOOSE(CONTROL!$C$13, $C$13, 100%, $E$13) + CHOOSE(CONTROL!$C$32, 0.0021, 0)</f>
        <v>211.06968685791702</v>
      </c>
    </row>
    <row r="463" spans="1:5" ht="15">
      <c r="A463" s="13">
        <v>55243</v>
      </c>
      <c r="B463" s="4">
        <f>35.2298 * CHOOSE(CONTROL!$C$13, $C$13, 100%, $E$13) + CHOOSE(CONTROL!$C$32, 0.0272, 0)</f>
        <v>35.256999999999998</v>
      </c>
      <c r="C463" s="4">
        <f>34.8665 * CHOOSE(CONTROL!$C$13, $C$13, 100%, $E$13) + CHOOSE(CONTROL!$C$32, 0.0272, 0)</f>
        <v>34.893700000000003</v>
      </c>
      <c r="D463" s="4">
        <f>47.9287 * CHOOSE(CONTROL!$C$13, $C$13, 100%, $E$13) + CHOOSE(CONTROL!$C$32, 0.0021, 0)</f>
        <v>47.930799999999998</v>
      </c>
      <c r="E463" s="4">
        <f>223.923014075754 * CHOOSE(CONTROL!$C$13, $C$13, 100%, $E$13) + CHOOSE(CONTROL!$C$32, 0.0021, 0)</f>
        <v>223.92511407575401</v>
      </c>
    </row>
    <row r="464" spans="1:5" ht="15">
      <c r="A464" s="13">
        <v>55273</v>
      </c>
      <c r="B464" s="4">
        <f>36.6353 * CHOOSE(CONTROL!$C$13, $C$13, 100%, $E$13) + CHOOSE(CONTROL!$C$32, 0.0272, 0)</f>
        <v>36.662500000000001</v>
      </c>
      <c r="C464" s="4">
        <f>36.272 * CHOOSE(CONTROL!$C$13, $C$13, 100%, $E$13) + CHOOSE(CONTROL!$C$32, 0.0272, 0)</f>
        <v>36.299199999999999</v>
      </c>
      <c r="D464" s="4">
        <f>49.2734 * CHOOSE(CONTROL!$C$13, $C$13, 100%, $E$13) + CHOOSE(CONTROL!$C$32, 0.0021, 0)</f>
        <v>49.275500000000001</v>
      </c>
      <c r="E464" s="4">
        <f>233.056966435121 * CHOOSE(CONTROL!$C$13, $C$13, 100%, $E$13) + CHOOSE(CONTROL!$C$32, 0.0021, 0)</f>
        <v>233.05906643512103</v>
      </c>
    </row>
    <row r="465" spans="1:5" ht="15">
      <c r="A465" s="13">
        <v>55304</v>
      </c>
      <c r="B465" s="4">
        <f>37.494 * CHOOSE(CONTROL!$C$13, $C$13, 100%, $E$13) + CHOOSE(CONTROL!$C$32, 0.0272, 0)</f>
        <v>37.5212</v>
      </c>
      <c r="C465" s="4">
        <f>37.1307 * CHOOSE(CONTROL!$C$13, $C$13, 100%, $E$13) + CHOOSE(CONTROL!$C$32, 0.0272, 0)</f>
        <v>37.157899999999998</v>
      </c>
      <c r="D465" s="4">
        <f>48.742 * CHOOSE(CONTROL!$C$13, $C$13, 100%, $E$13) + CHOOSE(CONTROL!$C$32, 0.0021, 0)</f>
        <v>48.744099999999996</v>
      </c>
      <c r="E465" s="4">
        <f>238.637592416408 * CHOOSE(CONTROL!$C$13, $C$13, 100%, $E$13) + CHOOSE(CONTROL!$C$32, 0.0021, 0)</f>
        <v>238.63969241640802</v>
      </c>
    </row>
    <row r="466" spans="1:5" ht="15">
      <c r="A466" s="13">
        <v>55334</v>
      </c>
      <c r="B466" s="4">
        <f>37.6102 * CHOOSE(CONTROL!$C$13, $C$13, 100%, $E$13) + CHOOSE(CONTROL!$C$32, 0.0272, 0)</f>
        <v>37.6374</v>
      </c>
      <c r="C466" s="4">
        <f>37.2469 * CHOOSE(CONTROL!$C$13, $C$13, 100%, $E$13) + CHOOSE(CONTROL!$C$32, 0.0272, 0)</f>
        <v>37.274099999999997</v>
      </c>
      <c r="D466" s="4">
        <f>49.1748 * CHOOSE(CONTROL!$C$13, $C$13, 100%, $E$13) + CHOOSE(CONTROL!$C$32, 0.0021, 0)</f>
        <v>49.176899999999996</v>
      </c>
      <c r="E466" s="4">
        <f>239.39267427175 * CHOOSE(CONTROL!$C$13, $C$13, 100%, $E$13) + CHOOSE(CONTROL!$C$32, 0.0021, 0)</f>
        <v>239.39477427175001</v>
      </c>
    </row>
    <row r="467" spans="1:5" ht="15">
      <c r="A467" s="13">
        <v>55365</v>
      </c>
      <c r="B467" s="4">
        <f>37.5984 * CHOOSE(CONTROL!$C$13, $C$13, 100%, $E$13) + CHOOSE(CONTROL!$C$32, 0.0272, 0)</f>
        <v>37.625599999999999</v>
      </c>
      <c r="C467" s="4">
        <f>37.2352 * CHOOSE(CONTROL!$C$13, $C$13, 100%, $E$13) + CHOOSE(CONTROL!$C$32, 0.0272, 0)</f>
        <v>37.2624</v>
      </c>
      <c r="D467" s="4">
        <f>49.9556 * CHOOSE(CONTROL!$C$13, $C$13, 100%, $E$13) + CHOOSE(CONTROL!$C$32, 0.0021, 0)</f>
        <v>49.957699999999996</v>
      </c>
      <c r="E467" s="4">
        <f>239.316531563648 * CHOOSE(CONTROL!$C$13, $C$13, 100%, $E$13) + CHOOSE(CONTROL!$C$32, 0.0021, 0)</f>
        <v>239.31863156364801</v>
      </c>
    </row>
    <row r="468" spans="1:5" ht="15">
      <c r="A468" s="13">
        <v>55396</v>
      </c>
      <c r="B468" s="4">
        <f>38.4801 * CHOOSE(CONTROL!$C$13, $C$13, 100%, $E$13) + CHOOSE(CONTROL!$C$32, 0.0272, 0)</f>
        <v>38.507300000000001</v>
      </c>
      <c r="C468" s="4">
        <f>38.1168 * CHOOSE(CONTROL!$C$13, $C$13, 100%, $E$13) + CHOOSE(CONTROL!$C$32, 0.0272, 0)</f>
        <v>38.143999999999998</v>
      </c>
      <c r="D468" s="4">
        <f>49.4399 * CHOOSE(CONTROL!$C$13, $C$13, 100%, $E$13) + CHOOSE(CONTROL!$C$32, 0.0021, 0)</f>
        <v>49.442</v>
      </c>
      <c r="E468" s="4">
        <f>245.046270348301 * CHOOSE(CONTROL!$C$13, $C$13, 100%, $E$13) + CHOOSE(CONTROL!$C$32, 0.0021, 0)</f>
        <v>245.04837034830101</v>
      </c>
    </row>
    <row r="469" spans="1:5" ht="15">
      <c r="A469" s="13">
        <v>55426</v>
      </c>
      <c r="B469" s="4">
        <f>36.9775 * CHOOSE(CONTROL!$C$13, $C$13, 100%, $E$13) + CHOOSE(CONTROL!$C$32, 0.0272, 0)</f>
        <v>37.0047</v>
      </c>
      <c r="C469" s="4">
        <f>36.6142 * CHOOSE(CONTROL!$C$13, $C$13, 100%, $E$13) + CHOOSE(CONTROL!$C$32, 0.0272, 0)</f>
        <v>36.641399999999997</v>
      </c>
      <c r="D469" s="4">
        <f>49.1963 * CHOOSE(CONTROL!$C$13, $C$13, 100%, $E$13) + CHOOSE(CONTROL!$C$32, 0.0021, 0)</f>
        <v>49.198399999999999</v>
      </c>
      <c r="E469" s="4">
        <f>235.280968034258 * CHOOSE(CONTROL!$C$13, $C$13, 100%, $E$13) + CHOOSE(CONTROL!$C$32, 0.0021, 0)</f>
        <v>235.28306803425801</v>
      </c>
    </row>
    <row r="470" spans="1:5" ht="15">
      <c r="A470" s="13">
        <v>55457</v>
      </c>
      <c r="B470" s="4">
        <f>35.7746 * CHOOSE(CONTROL!$C$13, $C$13, 100%, $E$13) + CHOOSE(CONTROL!$C$32, 0.0272, 0)</f>
        <v>35.8018</v>
      </c>
      <c r="C470" s="4">
        <f>35.4113 * CHOOSE(CONTROL!$C$13, $C$13, 100%, $E$13) + CHOOSE(CONTROL!$C$32, 0.0272, 0)</f>
        <v>35.438499999999998</v>
      </c>
      <c r="D470" s="4">
        <f>48.5439 * CHOOSE(CONTROL!$C$13, $C$13, 100%, $E$13) + CHOOSE(CONTROL!$C$32, 0.0021, 0)</f>
        <v>48.545999999999999</v>
      </c>
      <c r="E470" s="4">
        <f>227.463650002483 * CHOOSE(CONTROL!$C$13, $C$13, 100%, $E$13) + CHOOSE(CONTROL!$C$32, 0.0021, 0)</f>
        <v>227.46575000248302</v>
      </c>
    </row>
    <row r="471" spans="1:5" ht="15">
      <c r="A471" s="13">
        <v>55487</v>
      </c>
      <c r="B471" s="4">
        <f>34.9998 * CHOOSE(CONTROL!$C$13, $C$13, 100%, $E$13) + CHOOSE(CONTROL!$C$32, 0.0272, 0)</f>
        <v>35.027000000000001</v>
      </c>
      <c r="C471" s="4">
        <f>34.6365 * CHOOSE(CONTROL!$C$13, $C$13, 100%, $E$13) + CHOOSE(CONTROL!$C$32, 0.0272, 0)</f>
        <v>34.663699999999999</v>
      </c>
      <c r="D471" s="4">
        <f>48.3197 * CHOOSE(CONTROL!$C$13, $C$13, 100%, $E$13) + CHOOSE(CONTROL!$C$32, 0.0021, 0)</f>
        <v>48.321799999999996</v>
      </c>
      <c r="E471" s="4">
        <f>222.428713429258 * CHOOSE(CONTROL!$C$13, $C$13, 100%, $E$13) + CHOOSE(CONTROL!$C$32, 0.0021, 0)</f>
        <v>222.43081342925802</v>
      </c>
    </row>
    <row r="472" spans="1:5" ht="15">
      <c r="A472" s="13">
        <v>55518</v>
      </c>
      <c r="B472" s="4">
        <f>34.4638 * CHOOSE(CONTROL!$C$13, $C$13, 100%, $E$13) + CHOOSE(CONTROL!$C$32, 0.0272, 0)</f>
        <v>34.491</v>
      </c>
      <c r="C472" s="4">
        <f>34.1005 * CHOOSE(CONTROL!$C$13, $C$13, 100%, $E$13) + CHOOSE(CONTROL!$C$32, 0.0272, 0)</f>
        <v>34.127699999999997</v>
      </c>
      <c r="D472" s="4">
        <f>46.6685 * CHOOSE(CONTROL!$C$13, $C$13, 100%, $E$13) + CHOOSE(CONTROL!$C$32, 0.0021, 0)</f>
        <v>46.6706</v>
      </c>
      <c r="E472" s="4">
        <f>218.945184533605 * CHOOSE(CONTROL!$C$13, $C$13, 100%, $E$13) + CHOOSE(CONTROL!$C$32, 0.0021, 0)</f>
        <v>218.947284533605</v>
      </c>
    </row>
    <row r="473" spans="1:5" ht="15">
      <c r="A473" s="13">
        <v>55549</v>
      </c>
      <c r="B473" s="4">
        <f>33.0589 * CHOOSE(CONTROL!$C$13, $C$13, 100%, $E$13) + CHOOSE(CONTROL!$C$32, 0.0272, 0)</f>
        <v>33.086100000000002</v>
      </c>
      <c r="C473" s="4">
        <f>32.6956 * CHOOSE(CONTROL!$C$13, $C$13, 100%, $E$13) + CHOOSE(CONTROL!$C$32, 0.0272, 0)</f>
        <v>32.722799999999999</v>
      </c>
      <c r="D473" s="4">
        <f>44.7675 * CHOOSE(CONTROL!$C$13, $C$13, 100%, $E$13) + CHOOSE(CONTROL!$C$32, 0.0021, 0)</f>
        <v>44.769599999999997</v>
      </c>
      <c r="E473" s="4">
        <f>209.825227933702 * CHOOSE(CONTROL!$C$13, $C$13, 100%, $E$13) + CHOOSE(CONTROL!$C$32, 0.0021, 0)</f>
        <v>209.82732793370201</v>
      </c>
    </row>
    <row r="474" spans="1:5" ht="15">
      <c r="A474" s="13">
        <v>55577</v>
      </c>
      <c r="B474" s="4">
        <f>33.8255 * CHOOSE(CONTROL!$C$13, $C$13, 100%, $E$13) + CHOOSE(CONTROL!$C$32, 0.0272, 0)</f>
        <v>33.852699999999999</v>
      </c>
      <c r="C474" s="4">
        <f>33.4622 * CHOOSE(CONTROL!$C$13, $C$13, 100%, $E$13) + CHOOSE(CONTROL!$C$32, 0.0272, 0)</f>
        <v>33.489400000000003</v>
      </c>
      <c r="D474" s="4">
        <f>46.2822 * CHOOSE(CONTROL!$C$13, $C$13, 100%, $E$13) + CHOOSE(CONTROL!$C$32, 0.0021, 0)</f>
        <v>46.284300000000002</v>
      </c>
      <c r="E474" s="4">
        <f>214.80730574707 * CHOOSE(CONTROL!$C$13, $C$13, 100%, $E$13) + CHOOSE(CONTROL!$C$32, 0.0021, 0)</f>
        <v>214.80940574707</v>
      </c>
    </row>
    <row r="475" spans="1:5" ht="15">
      <c r="A475" s="13">
        <v>55609</v>
      </c>
      <c r="B475" s="4">
        <f>35.8385 * CHOOSE(CONTROL!$C$13, $C$13, 100%, $E$13) + CHOOSE(CONTROL!$C$32, 0.0272, 0)</f>
        <v>35.865700000000004</v>
      </c>
      <c r="C475" s="4">
        <f>35.4753 * CHOOSE(CONTROL!$C$13, $C$13, 100%, $E$13) + CHOOSE(CONTROL!$C$32, 0.0272, 0)</f>
        <v>35.502499999999998</v>
      </c>
      <c r="D475" s="4">
        <f>48.6532 * CHOOSE(CONTROL!$C$13, $C$13, 100%, $E$13) + CHOOSE(CONTROL!$C$32, 0.0021, 0)</f>
        <v>48.655299999999997</v>
      </c>
      <c r="E475" s="4">
        <f>227.890506848668 * CHOOSE(CONTROL!$C$13, $C$13, 100%, $E$13) + CHOOSE(CONTROL!$C$32, 0.0021, 0)</f>
        <v>227.89260684866801</v>
      </c>
    </row>
    <row r="476" spans="1:5" ht="15">
      <c r="A476" s="13">
        <v>55639</v>
      </c>
      <c r="B476" s="4">
        <f>37.2689 * CHOOSE(CONTROL!$C$13, $C$13, 100%, $E$13) + CHOOSE(CONTROL!$C$32, 0.0272, 0)</f>
        <v>37.296100000000003</v>
      </c>
      <c r="C476" s="4">
        <f>36.9056 * CHOOSE(CONTROL!$C$13, $C$13, 100%, $E$13) + CHOOSE(CONTROL!$C$32, 0.0272, 0)</f>
        <v>36.9328</v>
      </c>
      <c r="D476" s="4">
        <f>50.0191 * CHOOSE(CONTROL!$C$13, $C$13, 100%, $E$13) + CHOOSE(CONTROL!$C$32, 0.0021, 0)</f>
        <v>50.0212</v>
      </c>
      <c r="E476" s="4">
        <f>237.186295587933 * CHOOSE(CONTROL!$C$13, $C$13, 100%, $E$13) + CHOOSE(CONTROL!$C$32, 0.0021, 0)</f>
        <v>237.188395587933</v>
      </c>
    </row>
    <row r="477" spans="1:5" ht="15">
      <c r="A477" s="13">
        <v>55670</v>
      </c>
      <c r="B477" s="4">
        <f>38.1428 * CHOOSE(CONTROL!$C$13, $C$13, 100%, $E$13) + CHOOSE(CONTROL!$C$32, 0.0272, 0)</f>
        <v>38.17</v>
      </c>
      <c r="C477" s="4">
        <f>37.7795 * CHOOSE(CONTROL!$C$13, $C$13, 100%, $E$13) + CHOOSE(CONTROL!$C$32, 0.0272, 0)</f>
        <v>37.806699999999999</v>
      </c>
      <c r="D477" s="4">
        <f>49.4794 * CHOOSE(CONTROL!$C$13, $C$13, 100%, $E$13) + CHOOSE(CONTROL!$C$32, 0.0021, 0)</f>
        <v>49.481499999999997</v>
      </c>
      <c r="E477" s="4">
        <f>242.865799718661 * CHOOSE(CONTROL!$C$13, $C$13, 100%, $E$13) + CHOOSE(CONTROL!$C$32, 0.0021, 0)</f>
        <v>242.86789971866102</v>
      </c>
    </row>
    <row r="478" spans="1:5" ht="15">
      <c r="A478" s="13">
        <v>55700</v>
      </c>
      <c r="B478" s="4">
        <f>38.261 * CHOOSE(CONTROL!$C$13, $C$13, 100%, $E$13) + CHOOSE(CONTROL!$C$32, 0.0272, 0)</f>
        <v>38.288200000000003</v>
      </c>
      <c r="C478" s="4">
        <f>37.8977 * CHOOSE(CONTROL!$C$13, $C$13, 100%, $E$13) + CHOOSE(CONTROL!$C$32, 0.0272, 0)</f>
        <v>37.924900000000001</v>
      </c>
      <c r="D478" s="4">
        <f>49.9189 * CHOOSE(CONTROL!$C$13, $C$13, 100%, $E$13) + CHOOSE(CONTROL!$C$32, 0.0021, 0)</f>
        <v>49.920999999999999</v>
      </c>
      <c r="E478" s="4">
        <f>243.634260197975 * CHOOSE(CONTROL!$C$13, $C$13, 100%, $E$13) + CHOOSE(CONTROL!$C$32, 0.0021, 0)</f>
        <v>243.63636019797502</v>
      </c>
    </row>
    <row r="479" spans="1:5" ht="15">
      <c r="A479" s="13">
        <v>55731</v>
      </c>
      <c r="B479" s="4">
        <f>38.2491 * CHOOSE(CONTROL!$C$13, $C$13, 100%, $E$13) + CHOOSE(CONTROL!$C$32, 0.0272, 0)</f>
        <v>38.276299999999999</v>
      </c>
      <c r="C479" s="4">
        <f>37.8858 * CHOOSE(CONTROL!$C$13, $C$13, 100%, $E$13) + CHOOSE(CONTROL!$C$32, 0.0272, 0)</f>
        <v>37.913000000000004</v>
      </c>
      <c r="D479" s="4">
        <f>50.712 * CHOOSE(CONTROL!$C$13, $C$13, 100%, $E$13) + CHOOSE(CONTROL!$C$32, 0.0021, 0)</f>
        <v>50.714100000000002</v>
      </c>
      <c r="E479" s="4">
        <f>243.556768384935 * CHOOSE(CONTROL!$C$13, $C$13, 100%, $E$13) + CHOOSE(CONTROL!$C$32, 0.0021, 0)</f>
        <v>243.55886838493501</v>
      </c>
    </row>
    <row r="480" spans="1:5" ht="15">
      <c r="A480" s="13">
        <v>55762</v>
      </c>
      <c r="B480" s="4">
        <f>39.1463 * CHOOSE(CONTROL!$C$13, $C$13, 100%, $E$13) + CHOOSE(CONTROL!$C$32, 0.0272, 0)</f>
        <v>39.173499999999997</v>
      </c>
      <c r="C480" s="4">
        <f>38.783 * CHOOSE(CONTROL!$C$13, $C$13, 100%, $E$13) + CHOOSE(CONTROL!$C$32, 0.0272, 0)</f>
        <v>38.810200000000002</v>
      </c>
      <c r="D480" s="4">
        <f>50.1882 * CHOOSE(CONTROL!$C$13, $C$13, 100%, $E$13) + CHOOSE(CONTROL!$C$32, 0.0021, 0)</f>
        <v>50.190300000000001</v>
      </c>
      <c r="E480" s="4">
        <f>249.3880273162 * CHOOSE(CONTROL!$C$13, $C$13, 100%, $E$13) + CHOOSE(CONTROL!$C$32, 0.0021, 0)</f>
        <v>249.39012731620002</v>
      </c>
    </row>
    <row r="481" spans="1:5" ht="15">
      <c r="A481" s="13">
        <v>55792</v>
      </c>
      <c r="B481" s="4">
        <f>37.6171 * CHOOSE(CONTROL!$C$13, $C$13, 100%, $E$13) + CHOOSE(CONTROL!$C$32, 0.0272, 0)</f>
        <v>37.644300000000001</v>
      </c>
      <c r="C481" s="4">
        <f>37.2539 * CHOOSE(CONTROL!$C$13, $C$13, 100%, $E$13) + CHOOSE(CONTROL!$C$32, 0.0272, 0)</f>
        <v>37.281100000000002</v>
      </c>
      <c r="D481" s="4">
        <f>49.9408 * CHOOSE(CONTROL!$C$13, $C$13, 100%, $E$13) + CHOOSE(CONTROL!$C$32, 0.0021, 0)</f>
        <v>49.942900000000002</v>
      </c>
      <c r="E481" s="4">
        <f>239.449702293811 * CHOOSE(CONTROL!$C$13, $C$13, 100%, $E$13) + CHOOSE(CONTROL!$C$32, 0.0021, 0)</f>
        <v>239.451802293811</v>
      </c>
    </row>
    <row r="482" spans="1:5" ht="15">
      <c r="A482" s="13">
        <v>55823</v>
      </c>
      <c r="B482" s="4">
        <f>36.393 * CHOOSE(CONTROL!$C$13, $C$13, 100%, $E$13) + CHOOSE(CONTROL!$C$32, 0.0272, 0)</f>
        <v>36.420200000000001</v>
      </c>
      <c r="C482" s="4">
        <f>36.0297 * CHOOSE(CONTROL!$C$13, $C$13, 100%, $E$13) + CHOOSE(CONTROL!$C$32, 0.0272, 0)</f>
        <v>36.056899999999999</v>
      </c>
      <c r="D482" s="4">
        <f>49.2782 * CHOOSE(CONTROL!$C$13, $C$13, 100%, $E$13) + CHOOSE(CONTROL!$C$32, 0.0021, 0)</f>
        <v>49.280299999999997</v>
      </c>
      <c r="E482" s="4">
        <f>231.493876155031 * CHOOSE(CONTROL!$C$13, $C$13, 100%, $E$13) + CHOOSE(CONTROL!$C$32, 0.0021, 0)</f>
        <v>231.495976155031</v>
      </c>
    </row>
    <row r="483" spans="1:5" ht="15">
      <c r="A483" s="13">
        <v>55853</v>
      </c>
      <c r="B483" s="4">
        <f>35.6045 * CHOOSE(CONTROL!$C$13, $C$13, 100%, $E$13) + CHOOSE(CONTROL!$C$32, 0.0272, 0)</f>
        <v>35.631700000000002</v>
      </c>
      <c r="C483" s="4">
        <f>35.2413 * CHOOSE(CONTROL!$C$13, $C$13, 100%, $E$13) + CHOOSE(CONTROL!$C$32, 0.0272, 0)</f>
        <v>35.268500000000003</v>
      </c>
      <c r="D483" s="4">
        <f>49.0504 * CHOOSE(CONTROL!$C$13, $C$13, 100%, $E$13) + CHOOSE(CONTROL!$C$32, 0.0021, 0)</f>
        <v>49.052500000000002</v>
      </c>
      <c r="E483" s="4">
        <f>226.369730017756 * CHOOSE(CONTROL!$C$13, $C$13, 100%, $E$13) + CHOOSE(CONTROL!$C$32, 0.0021, 0)</f>
        <v>226.37183001775603</v>
      </c>
    </row>
    <row r="484" spans="1:5" ht="15">
      <c r="A484" s="13">
        <v>55884</v>
      </c>
      <c r="B484" s="4">
        <f>35.059 * CHOOSE(CONTROL!$C$13, $C$13, 100%, $E$13) + CHOOSE(CONTROL!$C$32, 0.0272, 0)</f>
        <v>35.086199999999998</v>
      </c>
      <c r="C484" s="4">
        <f>34.6958 * CHOOSE(CONTROL!$C$13, $C$13, 100%, $E$13) + CHOOSE(CONTROL!$C$32, 0.0272, 0)</f>
        <v>34.722999999999999</v>
      </c>
      <c r="D484" s="4">
        <f>47.3732 * CHOOSE(CONTROL!$C$13, $C$13, 100%, $E$13) + CHOOSE(CONTROL!$C$32, 0.0021, 0)</f>
        <v>47.375299999999996</v>
      </c>
      <c r="E484" s="4">
        <f>222.824479571173 * CHOOSE(CONTROL!$C$13, $C$13, 100%, $E$13) + CHOOSE(CONTROL!$C$32, 0.0021, 0)</f>
        <v>222.826579571173</v>
      </c>
    </row>
    <row r="485" spans="1:5" ht="15">
      <c r="A485" s="13">
        <v>55915</v>
      </c>
      <c r="B485" s="4">
        <f>33.6293 * CHOOSE(CONTROL!$C$13, $C$13, 100%, $E$13) + CHOOSE(CONTROL!$C$32, 0.0272, 0)</f>
        <v>33.656500000000001</v>
      </c>
      <c r="C485" s="4">
        <f>33.266 * CHOOSE(CONTROL!$C$13, $C$13, 100%, $E$13) + CHOOSE(CONTROL!$C$32, 0.0272, 0)</f>
        <v>33.293199999999999</v>
      </c>
      <c r="D485" s="4">
        <f>45.4423 * CHOOSE(CONTROL!$C$13, $C$13, 100%, $E$13) + CHOOSE(CONTROL!$C$32, 0.0021, 0)</f>
        <v>45.444400000000002</v>
      </c>
      <c r="E485" s="4">
        <f>213.542934569788 * CHOOSE(CONTROL!$C$13, $C$13, 100%, $E$13) + CHOOSE(CONTROL!$C$32, 0.0021, 0)</f>
        <v>213.54503456978802</v>
      </c>
    </row>
    <row r="486" spans="1:5" ht="15">
      <c r="A486" s="13">
        <v>55943</v>
      </c>
      <c r="B486" s="4">
        <f>34.4094 * CHOOSE(CONTROL!$C$13, $C$13, 100%, $E$13) + CHOOSE(CONTROL!$C$32, 0.0272, 0)</f>
        <v>34.436599999999999</v>
      </c>
      <c r="C486" s="4">
        <f>34.0461 * CHOOSE(CONTROL!$C$13, $C$13, 100%, $E$13) + CHOOSE(CONTROL!$C$32, 0.0272, 0)</f>
        <v>34.073300000000003</v>
      </c>
      <c r="D486" s="4">
        <f>46.9808 * CHOOSE(CONTROL!$C$13, $C$13, 100%, $E$13) + CHOOSE(CONTROL!$C$32, 0.0021, 0)</f>
        <v>46.982900000000001</v>
      </c>
      <c r="E486" s="4">
        <f>218.613285389842 * CHOOSE(CONTROL!$C$13, $C$13, 100%, $E$13) + CHOOSE(CONTROL!$C$32, 0.0021, 0)</f>
        <v>218.615385389842</v>
      </c>
    </row>
    <row r="487" spans="1:5" ht="15">
      <c r="A487" s="13">
        <v>55974</v>
      </c>
      <c r="B487" s="4">
        <f>36.4581 * CHOOSE(CONTROL!$C$13, $C$13, 100%, $E$13) + CHOOSE(CONTROL!$C$32, 0.0272, 0)</f>
        <v>36.485300000000002</v>
      </c>
      <c r="C487" s="4">
        <f>36.0948 * CHOOSE(CONTROL!$C$13, $C$13, 100%, $E$13) + CHOOSE(CONTROL!$C$32, 0.0272, 0)</f>
        <v>36.122</v>
      </c>
      <c r="D487" s="4">
        <f>49.3892 * CHOOSE(CONTROL!$C$13, $C$13, 100%, $E$13) + CHOOSE(CONTROL!$C$32, 0.0021, 0)</f>
        <v>49.391300000000001</v>
      </c>
      <c r="E487" s="4">
        <f>231.92829609811 * CHOOSE(CONTROL!$C$13, $C$13, 100%, $E$13) + CHOOSE(CONTROL!$C$32, 0.0021, 0)</f>
        <v>231.93039609811001</v>
      </c>
    </row>
    <row r="488" spans="1:5" ht="15">
      <c r="A488" s="13">
        <v>56004</v>
      </c>
      <c r="B488" s="4">
        <f>37.9137 * CHOOSE(CONTROL!$C$13, $C$13, 100%, $E$13) + CHOOSE(CONTROL!$C$32, 0.0272, 0)</f>
        <v>37.940899999999999</v>
      </c>
      <c r="C488" s="4">
        <f>37.5504 * CHOOSE(CONTROL!$C$13, $C$13, 100%, $E$13) + CHOOSE(CONTROL!$C$32, 0.0272, 0)</f>
        <v>37.577600000000004</v>
      </c>
      <c r="D488" s="4">
        <f>50.7765 * CHOOSE(CONTROL!$C$13, $C$13, 100%, $E$13) + CHOOSE(CONTROL!$C$32, 0.0021, 0)</f>
        <v>50.778599999999997</v>
      </c>
      <c r="E488" s="4">
        <f>241.388788652183 * CHOOSE(CONTROL!$C$13, $C$13, 100%, $E$13) + CHOOSE(CONTROL!$C$32, 0.0021, 0)</f>
        <v>241.39088865218301</v>
      </c>
    </row>
    <row r="489" spans="1:5" ht="15">
      <c r="A489" s="13">
        <v>56035</v>
      </c>
      <c r="B489" s="4">
        <f>38.803 * CHOOSE(CONTROL!$C$13, $C$13, 100%, $E$13) + CHOOSE(CONTROL!$C$32, 0.0272, 0)</f>
        <v>38.830199999999998</v>
      </c>
      <c r="C489" s="4">
        <f>38.4397 * CHOOSE(CONTROL!$C$13, $C$13, 100%, $E$13) + CHOOSE(CONTROL!$C$32, 0.0272, 0)</f>
        <v>38.466900000000003</v>
      </c>
      <c r="D489" s="4">
        <f>50.2283 * CHOOSE(CONTROL!$C$13, $C$13, 100%, $E$13) + CHOOSE(CONTROL!$C$32, 0.0021, 0)</f>
        <v>50.230399999999996</v>
      </c>
      <c r="E489" s="4">
        <f>247.168922866359 * CHOOSE(CONTROL!$C$13, $C$13, 100%, $E$13) + CHOOSE(CONTROL!$C$32, 0.0021, 0)</f>
        <v>247.17102286635901</v>
      </c>
    </row>
    <row r="490" spans="1:5" ht="15">
      <c r="A490" s="13">
        <v>56065</v>
      </c>
      <c r="B490" s="4">
        <f>38.9233 * CHOOSE(CONTROL!$C$13, $C$13, 100%, $E$13) + CHOOSE(CONTROL!$C$32, 0.0272, 0)</f>
        <v>38.950499999999998</v>
      </c>
      <c r="C490" s="4">
        <f>38.5601 * CHOOSE(CONTROL!$C$13, $C$13, 100%, $E$13) + CHOOSE(CONTROL!$C$32, 0.0272, 0)</f>
        <v>38.587299999999999</v>
      </c>
      <c r="D490" s="4">
        <f>50.6748 * CHOOSE(CONTROL!$C$13, $C$13, 100%, $E$13) + CHOOSE(CONTROL!$C$32, 0.0021, 0)</f>
        <v>50.676899999999996</v>
      </c>
      <c r="E490" s="4">
        <f>247.950999013587 * CHOOSE(CONTROL!$C$13, $C$13, 100%, $E$13) + CHOOSE(CONTROL!$C$32, 0.0021, 0)</f>
        <v>247.95309901358701</v>
      </c>
    </row>
    <row r="491" spans="1:5" ht="15">
      <c r="A491" s="13">
        <v>56096</v>
      </c>
      <c r="B491" s="4">
        <f>38.9112 * CHOOSE(CONTROL!$C$13, $C$13, 100%, $E$13) + CHOOSE(CONTROL!$C$32, 0.0272, 0)</f>
        <v>38.938400000000001</v>
      </c>
      <c r="C491" s="4">
        <f>38.5479 * CHOOSE(CONTROL!$C$13, $C$13, 100%, $E$13) + CHOOSE(CONTROL!$C$32, 0.0272, 0)</f>
        <v>38.575099999999999</v>
      </c>
      <c r="D491" s="4">
        <f>51.4803 * CHOOSE(CONTROL!$C$13, $C$13, 100%, $E$13) + CHOOSE(CONTROL!$C$32, 0.0021, 0)</f>
        <v>51.482399999999998</v>
      </c>
      <c r="E491" s="4">
        <f>247.872134192018 * CHOOSE(CONTROL!$C$13, $C$13, 100%, $E$13) + CHOOSE(CONTROL!$C$32, 0.0021, 0)</f>
        <v>247.87423419201801</v>
      </c>
    </row>
    <row r="492" spans="1:5" ht="15">
      <c r="A492" s="13">
        <v>56127</v>
      </c>
      <c r="B492" s="4">
        <f>39.8243 * CHOOSE(CONTROL!$C$13, $C$13, 100%, $E$13) + CHOOSE(CONTROL!$C$32, 0.0272, 0)</f>
        <v>39.851500000000001</v>
      </c>
      <c r="C492" s="4">
        <f>39.461 * CHOOSE(CONTROL!$C$13, $C$13, 100%, $E$13) + CHOOSE(CONTROL!$C$32, 0.0272, 0)</f>
        <v>39.488199999999999</v>
      </c>
      <c r="D492" s="4">
        <f>50.9483 * CHOOSE(CONTROL!$C$13, $C$13, 100%, $E$13) + CHOOSE(CONTROL!$C$32, 0.0021, 0)</f>
        <v>50.950400000000002</v>
      </c>
      <c r="E492" s="4">
        <f>253.806712015101 * CHOOSE(CONTROL!$C$13, $C$13, 100%, $E$13) + CHOOSE(CONTROL!$C$32, 0.0021, 0)</f>
        <v>253.80881201510101</v>
      </c>
    </row>
    <row r="493" spans="1:5" ht="15">
      <c r="A493" s="13">
        <v>56157</v>
      </c>
      <c r="B493" s="4">
        <f>38.2681 * CHOOSE(CONTROL!$C$13, $C$13, 100%, $E$13) + CHOOSE(CONTROL!$C$32, 0.0272, 0)</f>
        <v>38.295299999999997</v>
      </c>
      <c r="C493" s="4">
        <f>37.9048 * CHOOSE(CONTROL!$C$13, $C$13, 100%, $E$13) + CHOOSE(CONTROL!$C$32, 0.0272, 0)</f>
        <v>37.932000000000002</v>
      </c>
      <c r="D493" s="4">
        <f>50.697 * CHOOSE(CONTROL!$C$13, $C$13, 100%, $E$13) + CHOOSE(CONTROL!$C$32, 0.0021, 0)</f>
        <v>50.699100000000001</v>
      </c>
      <c r="E493" s="4">
        <f>243.69229864885 * CHOOSE(CONTROL!$C$13, $C$13, 100%, $E$13) + CHOOSE(CONTROL!$C$32, 0.0021, 0)</f>
        <v>243.69439864885001</v>
      </c>
    </row>
    <row r="494" spans="1:5" ht="15">
      <c r="A494" s="13">
        <v>56188</v>
      </c>
      <c r="B494" s="4">
        <f>37.0223 * CHOOSE(CONTROL!$C$13, $C$13, 100%, $E$13) + CHOOSE(CONTROL!$C$32, 0.0272, 0)</f>
        <v>37.049500000000002</v>
      </c>
      <c r="C494" s="4">
        <f>36.659 * CHOOSE(CONTROL!$C$13, $C$13, 100%, $E$13) + CHOOSE(CONTROL!$C$32, 0.0272, 0)</f>
        <v>36.686199999999999</v>
      </c>
      <c r="D494" s="4">
        <f>50.0239 * CHOOSE(CONTROL!$C$13, $C$13, 100%, $E$13) + CHOOSE(CONTROL!$C$32, 0.0021, 0)</f>
        <v>50.025999999999996</v>
      </c>
      <c r="E494" s="4">
        <f>235.595510301078 * CHOOSE(CONTROL!$C$13, $C$13, 100%, $E$13) + CHOOSE(CONTROL!$C$32, 0.0021, 0)</f>
        <v>235.59761030107802</v>
      </c>
    </row>
    <row r="495" spans="1:5" ht="15">
      <c r="A495" s="13">
        <v>56218</v>
      </c>
      <c r="B495" s="4">
        <f>36.2199 * CHOOSE(CONTROL!$C$13, $C$13, 100%, $E$13) + CHOOSE(CONTROL!$C$32, 0.0272, 0)</f>
        <v>36.247100000000003</v>
      </c>
      <c r="C495" s="4">
        <f>35.8567 * CHOOSE(CONTROL!$C$13, $C$13, 100%, $E$13) + CHOOSE(CONTROL!$C$32, 0.0272, 0)</f>
        <v>35.883899999999997</v>
      </c>
      <c r="D495" s="4">
        <f>49.7926 * CHOOSE(CONTROL!$C$13, $C$13, 100%, $E$13) + CHOOSE(CONTROL!$C$32, 0.0021, 0)</f>
        <v>49.794699999999999</v>
      </c>
      <c r="E495" s="4">
        <f>230.380573974814 * CHOOSE(CONTROL!$C$13, $C$13, 100%, $E$13) + CHOOSE(CONTROL!$C$32, 0.0021, 0)</f>
        <v>230.38267397481403</v>
      </c>
    </row>
    <row r="496" spans="1:5" ht="15">
      <c r="A496" s="13">
        <v>56249</v>
      </c>
      <c r="B496" s="4">
        <f>35.6648 * CHOOSE(CONTROL!$C$13, $C$13, 100%, $E$13) + CHOOSE(CONTROL!$C$32, 0.0272, 0)</f>
        <v>35.692</v>
      </c>
      <c r="C496" s="4">
        <f>35.3015 * CHOOSE(CONTROL!$C$13, $C$13, 100%, $E$13) + CHOOSE(CONTROL!$C$32, 0.0272, 0)</f>
        <v>35.328699999999998</v>
      </c>
      <c r="D496" s="4">
        <f>48.089 * CHOOSE(CONTROL!$C$13, $C$13, 100%, $E$13) + CHOOSE(CONTROL!$C$32, 0.0021, 0)</f>
        <v>48.091099999999997</v>
      </c>
      <c r="E496" s="4">
        <f>226.772508388023 * CHOOSE(CONTROL!$C$13, $C$13, 100%, $E$13) + CHOOSE(CONTROL!$C$32, 0.0021, 0)</f>
        <v>226.77460838802301</v>
      </c>
    </row>
    <row r="497" spans="1:5" ht="15">
      <c r="A497" s="13">
        <v>56280</v>
      </c>
      <c r="B497" s="4">
        <f>34.2098 * CHOOSE(CONTROL!$C$13, $C$13, 100%, $E$13) + CHOOSE(CONTROL!$C$32, 0.0272, 0)</f>
        <v>34.237000000000002</v>
      </c>
      <c r="C497" s="4">
        <f>33.8465 * CHOOSE(CONTROL!$C$13, $C$13, 100%, $E$13) + CHOOSE(CONTROL!$C$32, 0.0272, 0)</f>
        <v>33.873699999999999</v>
      </c>
      <c r="D497" s="4">
        <f>46.1278 * CHOOSE(CONTROL!$C$13, $C$13, 100%, $E$13) + CHOOSE(CONTROL!$C$32, 0.0021, 0)</f>
        <v>46.129899999999999</v>
      </c>
      <c r="E497" s="4">
        <f>217.326511943956 * CHOOSE(CONTROL!$C$13, $C$13, 100%, $E$13) + CHOOSE(CONTROL!$C$32, 0.0021, 0)</f>
        <v>217.32861194395602</v>
      </c>
    </row>
    <row r="498" spans="1:5" ht="15">
      <c r="A498" s="13">
        <v>56308</v>
      </c>
      <c r="B498" s="4">
        <f>35.0037 * CHOOSE(CONTROL!$C$13, $C$13, 100%, $E$13) + CHOOSE(CONTROL!$C$32, 0.0272, 0)</f>
        <v>35.030900000000003</v>
      </c>
      <c r="C498" s="4">
        <f>34.6404 * CHOOSE(CONTROL!$C$13, $C$13, 100%, $E$13) + CHOOSE(CONTROL!$C$32, 0.0272, 0)</f>
        <v>34.6676</v>
      </c>
      <c r="D498" s="4">
        <f>47.6905 * CHOOSE(CONTROL!$C$13, $C$13, 100%, $E$13) + CHOOSE(CONTROL!$C$32, 0.0021, 0)</f>
        <v>47.692599999999999</v>
      </c>
      <c r="E498" s="4">
        <f>222.486699801608 * CHOOSE(CONTROL!$C$13, $C$13, 100%, $E$13) + CHOOSE(CONTROL!$C$32, 0.0021, 0)</f>
        <v>222.48879980160802</v>
      </c>
    </row>
    <row r="499" spans="1:5" ht="15">
      <c r="A499" s="13">
        <v>56339</v>
      </c>
      <c r="B499" s="4">
        <f>37.0886 * CHOOSE(CONTROL!$C$13, $C$13, 100%, $E$13) + CHOOSE(CONTROL!$C$32, 0.0272, 0)</f>
        <v>37.1158</v>
      </c>
      <c r="C499" s="4">
        <f>36.7253 * CHOOSE(CONTROL!$C$13, $C$13, 100%, $E$13) + CHOOSE(CONTROL!$C$32, 0.0272, 0)</f>
        <v>36.752499999999998</v>
      </c>
      <c r="D499" s="4">
        <f>50.1367 * CHOOSE(CONTROL!$C$13, $C$13, 100%, $E$13) + CHOOSE(CONTROL!$C$32, 0.0021, 0)</f>
        <v>50.138799999999996</v>
      </c>
      <c r="E499" s="4">
        <f>236.03762734484 * CHOOSE(CONTROL!$C$13, $C$13, 100%, $E$13) + CHOOSE(CONTROL!$C$32, 0.0021, 0)</f>
        <v>236.03972734484</v>
      </c>
    </row>
    <row r="500" spans="1:5" ht="15">
      <c r="A500" s="13">
        <v>56369</v>
      </c>
      <c r="B500" s="4">
        <f>38.5699 * CHOOSE(CONTROL!$C$13, $C$13, 100%, $E$13) + CHOOSE(CONTROL!$C$32, 0.0272, 0)</f>
        <v>38.597099999999998</v>
      </c>
      <c r="C500" s="4">
        <f>38.2066 * CHOOSE(CONTROL!$C$13, $C$13, 100%, $E$13) + CHOOSE(CONTROL!$C$32, 0.0272, 0)</f>
        <v>38.233800000000002</v>
      </c>
      <c r="D500" s="4">
        <f>51.5458 * CHOOSE(CONTROL!$C$13, $C$13, 100%, $E$13) + CHOOSE(CONTROL!$C$32, 0.0021, 0)</f>
        <v>51.547899999999998</v>
      </c>
      <c r="E500" s="4">
        <f>245.66574195416 * CHOOSE(CONTROL!$C$13, $C$13, 100%, $E$13) + CHOOSE(CONTROL!$C$32, 0.0021, 0)</f>
        <v>245.66784195416002</v>
      </c>
    </row>
    <row r="501" spans="1:5" ht="15">
      <c r="A501" s="13">
        <v>56400</v>
      </c>
      <c r="B501" s="4">
        <f>39.4749 * CHOOSE(CONTROL!$C$13, $C$13, 100%, $E$13) + CHOOSE(CONTROL!$C$32, 0.0272, 0)</f>
        <v>39.502099999999999</v>
      </c>
      <c r="C501" s="4">
        <f>39.1117 * CHOOSE(CONTROL!$C$13, $C$13, 100%, $E$13) + CHOOSE(CONTROL!$C$32, 0.0272, 0)</f>
        <v>39.1389</v>
      </c>
      <c r="D501" s="4">
        <f>50.989 * CHOOSE(CONTROL!$C$13, $C$13, 100%, $E$13) + CHOOSE(CONTROL!$C$32, 0.0021, 0)</f>
        <v>50.991099999999996</v>
      </c>
      <c r="E501" s="4">
        <f>251.548289226752 * CHOOSE(CONTROL!$C$13, $C$13, 100%, $E$13) + CHOOSE(CONTROL!$C$32, 0.0021, 0)</f>
        <v>251.550389226752</v>
      </c>
    </row>
    <row r="502" spans="1:5" ht="15">
      <c r="A502" s="13">
        <v>56430</v>
      </c>
      <c r="B502" s="4">
        <f>39.5974 * CHOOSE(CONTROL!$C$13, $C$13, 100%, $E$13) + CHOOSE(CONTROL!$C$32, 0.0272, 0)</f>
        <v>39.624600000000001</v>
      </c>
      <c r="C502" s="4">
        <f>39.2341 * CHOOSE(CONTROL!$C$13, $C$13, 100%, $E$13) + CHOOSE(CONTROL!$C$32, 0.0272, 0)</f>
        <v>39.261299999999999</v>
      </c>
      <c r="D502" s="4">
        <f>51.4425 * CHOOSE(CONTROL!$C$13, $C$13, 100%, $E$13) + CHOOSE(CONTROL!$C$32, 0.0021, 0)</f>
        <v>51.444600000000001</v>
      </c>
      <c r="E502" s="4">
        <f>252.344222285807 * CHOOSE(CONTROL!$C$13, $C$13, 100%, $E$13) + CHOOSE(CONTROL!$C$32, 0.0021, 0)</f>
        <v>252.34632228580702</v>
      </c>
    </row>
    <row r="503" spans="1:5" ht="15">
      <c r="A503" s="13">
        <v>56461</v>
      </c>
      <c r="B503" s="4">
        <f>39.585 * CHOOSE(CONTROL!$C$13, $C$13, 100%, $E$13) + CHOOSE(CONTROL!$C$32, 0.0272, 0)</f>
        <v>39.612200000000001</v>
      </c>
      <c r="C503" s="4">
        <f>39.2218 * CHOOSE(CONTROL!$C$13, $C$13, 100%, $E$13) + CHOOSE(CONTROL!$C$32, 0.0272, 0)</f>
        <v>39.249000000000002</v>
      </c>
      <c r="D503" s="4">
        <f>52.2607 * CHOOSE(CONTROL!$C$13, $C$13, 100%, $E$13) + CHOOSE(CONTROL!$C$32, 0.0021, 0)</f>
        <v>52.262799999999999</v>
      </c>
      <c r="E503" s="4">
        <f>252.263960128591 * CHOOSE(CONTROL!$C$13, $C$13, 100%, $E$13) + CHOOSE(CONTROL!$C$32, 0.0021, 0)</f>
        <v>252.26606012859102</v>
      </c>
    </row>
    <row r="504" spans="1:5" ht="15">
      <c r="A504" s="13">
        <v>56492</v>
      </c>
      <c r="B504" s="4">
        <f>40.5143 * CHOOSE(CONTROL!$C$13, $C$13, 100%, $E$13) + CHOOSE(CONTROL!$C$32, 0.0272, 0)</f>
        <v>40.541499999999999</v>
      </c>
      <c r="C504" s="4">
        <f>40.151 * CHOOSE(CONTROL!$C$13, $C$13, 100%, $E$13) + CHOOSE(CONTROL!$C$32, 0.0272, 0)</f>
        <v>40.178200000000004</v>
      </c>
      <c r="D504" s="4">
        <f>51.7204 * CHOOSE(CONTROL!$C$13, $C$13, 100%, $E$13) + CHOOSE(CONTROL!$C$32, 0.0021, 0)</f>
        <v>51.722499999999997</v>
      </c>
      <c r="E504" s="4">
        <f>258.303687459064 * CHOOSE(CONTROL!$C$13, $C$13, 100%, $E$13) + CHOOSE(CONTROL!$C$32, 0.0021, 0)</f>
        <v>258.30578745906399</v>
      </c>
    </row>
    <row r="505" spans="1:5" ht="15">
      <c r="A505" s="13">
        <v>56522</v>
      </c>
      <c r="B505" s="4">
        <f>38.9306 * CHOOSE(CONTROL!$C$13, $C$13, 100%, $E$13) + CHOOSE(CONTROL!$C$32, 0.0272, 0)</f>
        <v>38.957799999999999</v>
      </c>
      <c r="C505" s="4">
        <f>38.5673 * CHOOSE(CONTROL!$C$13, $C$13, 100%, $E$13) + CHOOSE(CONTROL!$C$32, 0.0272, 0)</f>
        <v>38.594500000000004</v>
      </c>
      <c r="D505" s="4">
        <f>51.4651 * CHOOSE(CONTROL!$C$13, $C$13, 100%, $E$13) + CHOOSE(CONTROL!$C$32, 0.0021, 0)</f>
        <v>51.467199999999998</v>
      </c>
      <c r="E505" s="4">
        <f>248.010065796165 * CHOOSE(CONTROL!$C$13, $C$13, 100%, $E$13) + CHOOSE(CONTROL!$C$32, 0.0021, 0)</f>
        <v>248.01216579616502</v>
      </c>
    </row>
    <row r="506" spans="1:5" ht="15">
      <c r="A506" s="13">
        <v>56553</v>
      </c>
      <c r="B506" s="4">
        <f>37.6628 * CHOOSE(CONTROL!$C$13, $C$13, 100%, $E$13) + CHOOSE(CONTROL!$C$32, 0.0272, 0)</f>
        <v>37.69</v>
      </c>
      <c r="C506" s="4">
        <f>37.2995 * CHOOSE(CONTROL!$C$13, $C$13, 100%, $E$13) + CHOOSE(CONTROL!$C$32, 0.0272, 0)</f>
        <v>37.326700000000002</v>
      </c>
      <c r="D506" s="4">
        <f>50.7814 * CHOOSE(CONTROL!$C$13, $C$13, 100%, $E$13) + CHOOSE(CONTROL!$C$32, 0.0021, 0)</f>
        <v>50.783499999999997</v>
      </c>
      <c r="E506" s="4">
        <f>239.769817655365 * CHOOSE(CONTROL!$C$13, $C$13, 100%, $E$13) + CHOOSE(CONTROL!$C$32, 0.0021, 0)</f>
        <v>239.771917655365</v>
      </c>
    </row>
    <row r="507" spans="1:5" ht="15">
      <c r="A507" s="13">
        <v>56583</v>
      </c>
      <c r="B507" s="4">
        <f>36.8462 * CHOOSE(CONTROL!$C$13, $C$13, 100%, $E$13) + CHOOSE(CONTROL!$C$32, 0.0272, 0)</f>
        <v>36.873400000000004</v>
      </c>
      <c r="C507" s="4">
        <f>36.4829 * CHOOSE(CONTROL!$C$13, $C$13, 100%, $E$13) + CHOOSE(CONTROL!$C$32, 0.0272, 0)</f>
        <v>36.510100000000001</v>
      </c>
      <c r="D507" s="4">
        <f>50.5464 * CHOOSE(CONTROL!$C$13, $C$13, 100%, $E$13) + CHOOSE(CONTROL!$C$32, 0.0021, 0)</f>
        <v>50.548499999999997</v>
      </c>
      <c r="E507" s="4">
        <f>234.462482509484 * CHOOSE(CONTROL!$C$13, $C$13, 100%, $E$13) + CHOOSE(CONTROL!$C$32, 0.0021, 0)</f>
        <v>234.46458250948402</v>
      </c>
    </row>
    <row r="508" spans="1:5" ht="15">
      <c r="A508" s="13">
        <v>56614</v>
      </c>
      <c r="B508" s="4">
        <f>36.2813 * CHOOSE(CONTROL!$C$13, $C$13, 100%, $E$13) + CHOOSE(CONTROL!$C$32, 0.0272, 0)</f>
        <v>36.308500000000002</v>
      </c>
      <c r="C508" s="4">
        <f>35.918 * CHOOSE(CONTROL!$C$13, $C$13, 100%, $E$13) + CHOOSE(CONTROL!$C$32, 0.0272, 0)</f>
        <v>35.9452</v>
      </c>
      <c r="D508" s="4">
        <f>48.8161 * CHOOSE(CONTROL!$C$13, $C$13, 100%, $E$13) + CHOOSE(CONTROL!$C$32, 0.0021, 0)</f>
        <v>48.818199999999997</v>
      </c>
      <c r="E508" s="4">
        <f>230.790488816871 * CHOOSE(CONTROL!$C$13, $C$13, 100%, $E$13) + CHOOSE(CONTROL!$C$32, 0.0021, 0)</f>
        <v>230.79258881687102</v>
      </c>
    </row>
    <row r="509" spans="1:5" ht="15">
      <c r="A509" s="13">
        <v>56645</v>
      </c>
      <c r="B509" s="4">
        <f>34.8006 * CHOOSE(CONTROL!$C$13, $C$13, 100%, $E$13) + CHOOSE(CONTROL!$C$32, 0.0272, 0)</f>
        <v>34.827800000000003</v>
      </c>
      <c r="C509" s="4">
        <f>34.4373 * CHOOSE(CONTROL!$C$13, $C$13, 100%, $E$13) + CHOOSE(CONTROL!$C$32, 0.0272, 0)</f>
        <v>34.464500000000001</v>
      </c>
      <c r="D509" s="4">
        <f>46.824 * CHOOSE(CONTROL!$C$13, $C$13, 100%, $E$13) + CHOOSE(CONTROL!$C$32, 0.0021, 0)</f>
        <v>46.826099999999997</v>
      </c>
      <c r="E509" s="4">
        <f>221.17712716124 * CHOOSE(CONTROL!$C$13, $C$13, 100%, $E$13) + CHOOSE(CONTROL!$C$32, 0.0021, 0)</f>
        <v>221.17922716124002</v>
      </c>
    </row>
    <row r="510" spans="1:5" ht="15">
      <c r="A510" s="13">
        <v>56673</v>
      </c>
      <c r="B510" s="4">
        <f>35.6085 * CHOOSE(CONTROL!$C$13, $C$13, 100%, $E$13) + CHOOSE(CONTROL!$C$32, 0.0272, 0)</f>
        <v>35.6357</v>
      </c>
      <c r="C510" s="4">
        <f>35.2452 * CHOOSE(CONTROL!$C$13, $C$13, 100%, $E$13) + CHOOSE(CONTROL!$C$32, 0.0272, 0)</f>
        <v>35.272399999999998</v>
      </c>
      <c r="D510" s="4">
        <f>48.4113 * CHOOSE(CONTROL!$C$13, $C$13, 100%, $E$13) + CHOOSE(CONTROL!$C$32, 0.0021, 0)</f>
        <v>48.413399999999996</v>
      </c>
      <c r="E510" s="4">
        <f>226.428743799077 * CHOOSE(CONTROL!$C$13, $C$13, 100%, $E$13) + CHOOSE(CONTROL!$C$32, 0.0021, 0)</f>
        <v>226.43084379907702</v>
      </c>
    </row>
    <row r="511" spans="1:5" ht="15">
      <c r="A511" s="13">
        <v>56704</v>
      </c>
      <c r="B511" s="4">
        <f>37.7302 * CHOOSE(CONTROL!$C$13, $C$13, 100%, $E$13) + CHOOSE(CONTROL!$C$32, 0.0272, 0)</f>
        <v>37.757400000000004</v>
      </c>
      <c r="C511" s="4">
        <f>37.3669 * CHOOSE(CONTROL!$C$13, $C$13, 100%, $E$13) + CHOOSE(CONTROL!$C$32, 0.0272, 0)</f>
        <v>37.394100000000002</v>
      </c>
      <c r="D511" s="4">
        <f>50.896 * CHOOSE(CONTROL!$C$13, $C$13, 100%, $E$13) + CHOOSE(CONTROL!$C$32, 0.0021, 0)</f>
        <v>50.898099999999999</v>
      </c>
      <c r="E511" s="4">
        <f>240.219768177892 * CHOOSE(CONTROL!$C$13, $C$13, 100%, $E$13) + CHOOSE(CONTROL!$C$32, 0.0021, 0)</f>
        <v>240.22186817789202</v>
      </c>
    </row>
    <row r="512" spans="1:5" ht="15">
      <c r="A512" s="13">
        <v>56734</v>
      </c>
      <c r="B512" s="4">
        <f>39.2377 * CHOOSE(CONTROL!$C$13, $C$13, 100%, $E$13) + CHOOSE(CONTROL!$C$32, 0.0272, 0)</f>
        <v>39.264899999999997</v>
      </c>
      <c r="C512" s="4">
        <f>38.8744 * CHOOSE(CONTROL!$C$13, $C$13, 100%, $E$13) + CHOOSE(CONTROL!$C$32, 0.0272, 0)</f>
        <v>38.901600000000002</v>
      </c>
      <c r="D512" s="4">
        <f>52.3273 * CHOOSE(CONTROL!$C$13, $C$13, 100%, $E$13) + CHOOSE(CONTROL!$C$32, 0.0021, 0)</f>
        <v>52.3294</v>
      </c>
      <c r="E512" s="4">
        <f>250.018474788606 * CHOOSE(CONTROL!$C$13, $C$13, 100%, $E$13) + CHOOSE(CONTROL!$C$32, 0.0021, 0)</f>
        <v>250.02057478860601</v>
      </c>
    </row>
    <row r="513" spans="1:5" ht="15">
      <c r="A513" s="13">
        <v>56765</v>
      </c>
      <c r="B513" s="4">
        <f>40.1587 * CHOOSE(CONTROL!$C$13, $C$13, 100%, $E$13) + CHOOSE(CONTROL!$C$32, 0.0272, 0)</f>
        <v>40.185900000000004</v>
      </c>
      <c r="C513" s="4">
        <f>39.7954 * CHOOSE(CONTROL!$C$13, $C$13, 100%, $E$13) + CHOOSE(CONTROL!$C$32, 0.0272, 0)</f>
        <v>39.822600000000001</v>
      </c>
      <c r="D513" s="4">
        <f>51.7617 * CHOOSE(CONTROL!$C$13, $C$13, 100%, $E$13) + CHOOSE(CONTROL!$C$32, 0.0021, 0)</f>
        <v>51.763799999999996</v>
      </c>
      <c r="E513" s="4">
        <f>256.00524968553 * CHOOSE(CONTROL!$C$13, $C$13, 100%, $E$13) + CHOOSE(CONTROL!$C$32, 0.0021, 0)</f>
        <v>256.00734968552996</v>
      </c>
    </row>
    <row r="514" spans="1:5" ht="15">
      <c r="A514" s="13">
        <v>56795</v>
      </c>
      <c r="B514" s="4">
        <f>40.2833 * CHOOSE(CONTROL!$C$13, $C$13, 100%, $E$13) + CHOOSE(CONTROL!$C$32, 0.0272, 0)</f>
        <v>40.310499999999998</v>
      </c>
      <c r="C514" s="4">
        <f>39.9201 * CHOOSE(CONTROL!$C$13, $C$13, 100%, $E$13) + CHOOSE(CONTROL!$C$32, 0.0272, 0)</f>
        <v>39.947299999999998</v>
      </c>
      <c r="D514" s="4">
        <f>52.2223 * CHOOSE(CONTROL!$C$13, $C$13, 100%, $E$13) + CHOOSE(CONTROL!$C$32, 0.0021, 0)</f>
        <v>52.224399999999996</v>
      </c>
      <c r="E514" s="4">
        <f>256.81528517471 * CHOOSE(CONTROL!$C$13, $C$13, 100%, $E$13) + CHOOSE(CONTROL!$C$32, 0.0021, 0)</f>
        <v>256.81738517471001</v>
      </c>
    </row>
    <row r="515" spans="1:5" ht="15">
      <c r="A515" s="13">
        <v>56826</v>
      </c>
      <c r="B515" s="4">
        <f>40.2708 * CHOOSE(CONTROL!$C$13, $C$13, 100%, $E$13) + CHOOSE(CONTROL!$C$32, 0.0272, 0)</f>
        <v>40.298000000000002</v>
      </c>
      <c r="C515" s="4">
        <f>39.9075 * CHOOSE(CONTROL!$C$13, $C$13, 100%, $E$13) + CHOOSE(CONTROL!$C$32, 0.0272, 0)</f>
        <v>39.934699999999999</v>
      </c>
      <c r="D515" s="4">
        <f>53.0534 * CHOOSE(CONTROL!$C$13, $C$13, 100%, $E$13) + CHOOSE(CONTROL!$C$32, 0.0021, 0)</f>
        <v>53.055500000000002</v>
      </c>
      <c r="E515" s="4">
        <f>256.733600923701 * CHOOSE(CONTROL!$C$13, $C$13, 100%, $E$13) + CHOOSE(CONTROL!$C$32, 0.0021, 0)</f>
        <v>256.73570092370096</v>
      </c>
    </row>
    <row r="516" spans="1:5" ht="15">
      <c r="A516" s="13">
        <v>56857</v>
      </c>
      <c r="B516" s="4">
        <f>41.2164 * CHOOSE(CONTROL!$C$13, $C$13, 100%, $E$13) + CHOOSE(CONTROL!$C$32, 0.0272, 0)</f>
        <v>41.243600000000001</v>
      </c>
      <c r="C516" s="4">
        <f>40.8531 * CHOOSE(CONTROL!$C$13, $C$13, 100%, $E$13) + CHOOSE(CONTROL!$C$32, 0.0272, 0)</f>
        <v>40.880299999999998</v>
      </c>
      <c r="D516" s="4">
        <f>52.5046 * CHOOSE(CONTROL!$C$13, $C$13, 100%, $E$13) + CHOOSE(CONTROL!$C$32, 0.0021, 0)</f>
        <v>52.506700000000002</v>
      </c>
      <c r="E516" s="4">
        <f>262.880340812186 * CHOOSE(CONTROL!$C$13, $C$13, 100%, $E$13) + CHOOSE(CONTROL!$C$32, 0.0021, 0)</f>
        <v>262.88244081218596</v>
      </c>
    </row>
    <row r="517" spans="1:5" ht="15">
      <c r="A517" s="13">
        <v>56887</v>
      </c>
      <c r="B517" s="4">
        <f>39.6047 * CHOOSE(CONTROL!$C$13, $C$13, 100%, $E$13) + CHOOSE(CONTROL!$C$32, 0.0272, 0)</f>
        <v>39.631900000000002</v>
      </c>
      <c r="C517" s="4">
        <f>39.2415 * CHOOSE(CONTROL!$C$13, $C$13, 100%, $E$13) + CHOOSE(CONTROL!$C$32, 0.0272, 0)</f>
        <v>39.268700000000003</v>
      </c>
      <c r="D517" s="4">
        <f>52.2452 * CHOOSE(CONTROL!$C$13, $C$13, 100%, $E$13) + CHOOSE(CONTROL!$C$32, 0.0021, 0)</f>
        <v>52.247299999999996</v>
      </c>
      <c r="E517" s="4">
        <f>252.404335620183 * CHOOSE(CONTROL!$C$13, $C$13, 100%, $E$13) + CHOOSE(CONTROL!$C$32, 0.0021, 0)</f>
        <v>252.406435620183</v>
      </c>
    </row>
    <row r="518" spans="1:5" ht="15">
      <c r="A518" s="13">
        <v>56918</v>
      </c>
      <c r="B518" s="4">
        <f>38.3145 * CHOOSE(CONTROL!$C$13, $C$13, 100%, $E$13) + CHOOSE(CONTROL!$C$32, 0.0272, 0)</f>
        <v>38.341700000000003</v>
      </c>
      <c r="C518" s="4">
        <f>37.9513 * CHOOSE(CONTROL!$C$13, $C$13, 100%, $E$13) + CHOOSE(CONTROL!$C$32, 0.0272, 0)</f>
        <v>37.978500000000004</v>
      </c>
      <c r="D518" s="4">
        <f>51.5509 * CHOOSE(CONTROL!$C$13, $C$13, 100%, $E$13) + CHOOSE(CONTROL!$C$32, 0.0021, 0)</f>
        <v>51.552999999999997</v>
      </c>
      <c r="E518" s="4">
        <f>244.018085849847 * CHOOSE(CONTROL!$C$13, $C$13, 100%, $E$13) + CHOOSE(CONTROL!$C$32, 0.0021, 0)</f>
        <v>244.02018584984702</v>
      </c>
    </row>
    <row r="519" spans="1:5" ht="15">
      <c r="A519" s="13">
        <v>56948</v>
      </c>
      <c r="B519" s="4">
        <f>37.4836 * CHOOSE(CONTROL!$C$13, $C$13, 100%, $E$13) + CHOOSE(CONTROL!$C$32, 0.0272, 0)</f>
        <v>37.510800000000003</v>
      </c>
      <c r="C519" s="4">
        <f>37.1203 * CHOOSE(CONTROL!$C$13, $C$13, 100%, $E$13) + CHOOSE(CONTROL!$C$32, 0.0272, 0)</f>
        <v>37.147500000000001</v>
      </c>
      <c r="D519" s="4">
        <f>51.3121 * CHOOSE(CONTROL!$C$13, $C$13, 100%, $E$13) + CHOOSE(CONTROL!$C$32, 0.0021, 0)</f>
        <v>51.3142</v>
      </c>
      <c r="E519" s="4">
        <f>238.616714751826 * CHOOSE(CONTROL!$C$13, $C$13, 100%, $E$13) + CHOOSE(CONTROL!$C$32, 0.0021, 0)</f>
        <v>238.61881475182602</v>
      </c>
    </row>
    <row r="520" spans="1:5" ht="15">
      <c r="A520" s="13">
        <v>56979</v>
      </c>
      <c r="B520" s="4">
        <f>36.9086 * CHOOSE(CONTROL!$C$13, $C$13, 100%, $E$13) + CHOOSE(CONTROL!$C$32, 0.0272, 0)</f>
        <v>36.9358</v>
      </c>
      <c r="C520" s="4">
        <f>36.5454 * CHOOSE(CONTROL!$C$13, $C$13, 100%, $E$13) + CHOOSE(CONTROL!$C$32, 0.0272, 0)</f>
        <v>36.572600000000001</v>
      </c>
      <c r="D520" s="4">
        <f>49.5546 * CHOOSE(CONTROL!$C$13, $C$13, 100%, $E$13) + CHOOSE(CONTROL!$C$32, 0.0021, 0)</f>
        <v>49.556699999999999</v>
      </c>
      <c r="E520" s="4">
        <f>234.879660268129 * CHOOSE(CONTROL!$C$13, $C$13, 100%, $E$13) + CHOOSE(CONTROL!$C$32, 0.0021, 0)</f>
        <v>234.881760268129</v>
      </c>
    </row>
    <row r="521" spans="1:5" ht="15">
      <c r="A521" s="13">
        <v>57010</v>
      </c>
      <c r="B521" s="4">
        <f>35.4018 * CHOOSE(CONTROL!$C$13, $C$13, 100%, $E$13) + CHOOSE(CONTROL!$C$32, 0.0272, 0)</f>
        <v>35.429000000000002</v>
      </c>
      <c r="C521" s="4">
        <f>35.0385 * CHOOSE(CONTROL!$C$13, $C$13, 100%, $E$13) + CHOOSE(CONTROL!$C$32, 0.0272, 0)</f>
        <v>35.0657</v>
      </c>
      <c r="D521" s="4">
        <f>47.5312 * CHOOSE(CONTROL!$C$13, $C$13, 100%, $E$13) + CHOOSE(CONTROL!$C$32, 0.0021, 0)</f>
        <v>47.533299999999997</v>
      </c>
      <c r="E521" s="4">
        <f>225.095968005573 * CHOOSE(CONTROL!$C$13, $C$13, 100%, $E$13) + CHOOSE(CONTROL!$C$32, 0.0021, 0)</f>
        <v>225.09806800557303</v>
      </c>
    </row>
    <row r="522" spans="1:5" ht="15">
      <c r="A522" s="13">
        <v>57038</v>
      </c>
      <c r="B522" s="4">
        <f>36.224 * CHOOSE(CONTROL!$C$13, $C$13, 100%, $E$13) + CHOOSE(CONTROL!$C$32, 0.0272, 0)</f>
        <v>36.251199999999997</v>
      </c>
      <c r="C522" s="4">
        <f>35.8607 * CHOOSE(CONTROL!$C$13, $C$13, 100%, $E$13) + CHOOSE(CONTROL!$C$32, 0.0272, 0)</f>
        <v>35.887900000000002</v>
      </c>
      <c r="D522" s="4">
        <f>49.1434 * CHOOSE(CONTROL!$C$13, $C$13, 100%, $E$13) + CHOOSE(CONTROL!$C$32, 0.0021, 0)</f>
        <v>49.145499999999998</v>
      </c>
      <c r="E522" s="4">
        <f>230.44063336885 * CHOOSE(CONTROL!$C$13, $C$13, 100%, $E$13) + CHOOSE(CONTROL!$C$32, 0.0021, 0)</f>
        <v>230.44273336885001</v>
      </c>
    </row>
    <row r="523" spans="1:5" ht="15">
      <c r="A523" s="13">
        <v>57070</v>
      </c>
      <c r="B523" s="4">
        <f>38.3832 * CHOOSE(CONTROL!$C$13, $C$13, 100%, $E$13) + CHOOSE(CONTROL!$C$32, 0.0272, 0)</f>
        <v>38.410400000000003</v>
      </c>
      <c r="C523" s="4">
        <f>38.0199 * CHOOSE(CONTROL!$C$13, $C$13, 100%, $E$13) + CHOOSE(CONTROL!$C$32, 0.0272, 0)</f>
        <v>38.0471</v>
      </c>
      <c r="D523" s="4">
        <f>51.6672 * CHOOSE(CONTROL!$C$13, $C$13, 100%, $E$13) + CHOOSE(CONTROL!$C$32, 0.0021, 0)</f>
        <v>51.6693</v>
      </c>
      <c r="E523" s="4">
        <f>244.476008645585 * CHOOSE(CONTROL!$C$13, $C$13, 100%, $E$13) + CHOOSE(CONTROL!$C$32, 0.0021, 0)</f>
        <v>244.47810864558502</v>
      </c>
    </row>
    <row r="524" spans="1:5" ht="15">
      <c r="A524" s="13">
        <v>57100</v>
      </c>
      <c r="B524" s="4">
        <f>39.9173 * CHOOSE(CONTROL!$C$13, $C$13, 100%, $E$13) + CHOOSE(CONTROL!$C$32, 0.0272, 0)</f>
        <v>39.944499999999998</v>
      </c>
      <c r="C524" s="4">
        <f>39.554 * CHOOSE(CONTROL!$C$13, $C$13, 100%, $E$13) + CHOOSE(CONTROL!$C$32, 0.0272, 0)</f>
        <v>39.581200000000003</v>
      </c>
      <c r="D524" s="4">
        <f>53.121 * CHOOSE(CONTROL!$C$13, $C$13, 100%, $E$13) + CHOOSE(CONTROL!$C$32, 0.0021, 0)</f>
        <v>53.123100000000001</v>
      </c>
      <c r="E524" s="4">
        <f>254.448329825673 * CHOOSE(CONTROL!$C$13, $C$13, 100%, $E$13) + CHOOSE(CONTROL!$C$32, 0.0021, 0)</f>
        <v>254.45042982567301</v>
      </c>
    </row>
    <row r="525" spans="1:5" ht="15">
      <c r="A525" s="13">
        <v>57131</v>
      </c>
      <c r="B525" s="4">
        <f>40.8546 * CHOOSE(CONTROL!$C$13, $C$13, 100%, $E$13) + CHOOSE(CONTROL!$C$32, 0.0272, 0)</f>
        <v>40.881799999999998</v>
      </c>
      <c r="C525" s="4">
        <f>40.4913 * CHOOSE(CONTROL!$C$13, $C$13, 100%, $E$13) + CHOOSE(CONTROL!$C$32, 0.0272, 0)</f>
        <v>40.518500000000003</v>
      </c>
      <c r="D525" s="4">
        <f>52.5465 * CHOOSE(CONTROL!$C$13, $C$13, 100%, $E$13) + CHOOSE(CONTROL!$C$32, 0.0021, 0)</f>
        <v>52.5486</v>
      </c>
      <c r="E525" s="4">
        <f>260.541179063525 * CHOOSE(CONTROL!$C$13, $C$13, 100%, $E$13) + CHOOSE(CONTROL!$C$32, 0.0021, 0)</f>
        <v>260.54327906352501</v>
      </c>
    </row>
    <row r="526" spans="1:5" ht="15">
      <c r="A526" s="13">
        <v>57161</v>
      </c>
      <c r="B526" s="4">
        <f>40.9814 * CHOOSE(CONTROL!$C$13, $C$13, 100%, $E$13) + CHOOSE(CONTROL!$C$32, 0.0272, 0)</f>
        <v>41.008600000000001</v>
      </c>
      <c r="C526" s="4">
        <f>40.6181 * CHOOSE(CONTROL!$C$13, $C$13, 100%, $E$13) + CHOOSE(CONTROL!$C$32, 0.0272, 0)</f>
        <v>40.645299999999999</v>
      </c>
      <c r="D526" s="4">
        <f>53.0144 * CHOOSE(CONTROL!$C$13, $C$13, 100%, $E$13) + CHOOSE(CONTROL!$C$32, 0.0021, 0)</f>
        <v>53.016500000000001</v>
      </c>
      <c r="E526" s="4">
        <f>261.36556685125 * CHOOSE(CONTROL!$C$13, $C$13, 100%, $E$13) + CHOOSE(CONTROL!$C$32, 0.0021, 0)</f>
        <v>261.36766685124996</v>
      </c>
    </row>
    <row r="527" spans="1:5" ht="15">
      <c r="A527" s="13">
        <v>57192</v>
      </c>
      <c r="B527" s="4">
        <f>40.9686 * CHOOSE(CONTROL!$C$13, $C$13, 100%, $E$13) + CHOOSE(CONTROL!$C$32, 0.0272, 0)</f>
        <v>40.995800000000003</v>
      </c>
      <c r="C527" s="4">
        <f>40.6053 * CHOOSE(CONTROL!$C$13, $C$13, 100%, $E$13) + CHOOSE(CONTROL!$C$32, 0.0272, 0)</f>
        <v>40.6325</v>
      </c>
      <c r="D527" s="4">
        <f>53.8586 * CHOOSE(CONTROL!$C$13, $C$13, 100%, $E$13) + CHOOSE(CONTROL!$C$32, 0.0021, 0)</f>
        <v>53.860700000000001</v>
      </c>
      <c r="E527" s="4">
        <f>261.282435309631 * CHOOSE(CONTROL!$C$13, $C$13, 100%, $E$13) + CHOOSE(CONTROL!$C$32, 0.0021, 0)</f>
        <v>261.284535309631</v>
      </c>
    </row>
    <row r="528" spans="1:5" ht="15">
      <c r="A528" s="13">
        <v>57223</v>
      </c>
      <c r="B528" s="4">
        <f>41.931 * CHOOSE(CONTROL!$C$13, $C$13, 100%, $E$13) + CHOOSE(CONTROL!$C$32, 0.0272, 0)</f>
        <v>41.958199999999998</v>
      </c>
      <c r="C528" s="4">
        <f>41.5677 * CHOOSE(CONTROL!$C$13, $C$13, 100%, $E$13) + CHOOSE(CONTROL!$C$32, 0.0272, 0)</f>
        <v>41.594900000000003</v>
      </c>
      <c r="D528" s="4">
        <f>53.3011 * CHOOSE(CONTROL!$C$13, $C$13, 100%, $E$13) + CHOOSE(CONTROL!$C$32, 0.0021, 0)</f>
        <v>53.303199999999997</v>
      </c>
      <c r="E528" s="4">
        <f>267.538083816487 * CHOOSE(CONTROL!$C$13, $C$13, 100%, $E$13) + CHOOSE(CONTROL!$C$32, 0.0021, 0)</f>
        <v>267.540183816487</v>
      </c>
    </row>
    <row r="529" spans="1:5" ht="15">
      <c r="A529" s="13">
        <v>57253</v>
      </c>
      <c r="B529" s="4">
        <f>40.2908 * CHOOSE(CONTROL!$C$13, $C$13, 100%, $E$13) + CHOOSE(CONTROL!$C$32, 0.0272, 0)</f>
        <v>40.317999999999998</v>
      </c>
      <c r="C529" s="4">
        <f>39.9275 * CHOOSE(CONTROL!$C$13, $C$13, 100%, $E$13) + CHOOSE(CONTROL!$C$32, 0.0272, 0)</f>
        <v>39.954700000000003</v>
      </c>
      <c r="D529" s="4">
        <f>53.0377 * CHOOSE(CONTROL!$C$13, $C$13, 100%, $E$13) + CHOOSE(CONTROL!$C$32, 0.0021, 0)</f>
        <v>53.0398</v>
      </c>
      <c r="E529" s="4">
        <f>256.876463603805 * CHOOSE(CONTROL!$C$13, $C$13, 100%, $E$13) + CHOOSE(CONTROL!$C$32, 0.0021, 0)</f>
        <v>256.87856360380499</v>
      </c>
    </row>
    <row r="530" spans="1:5" ht="15">
      <c r="A530" s="13">
        <v>57284</v>
      </c>
      <c r="B530" s="4">
        <f>38.9778 * CHOOSE(CONTROL!$C$13, $C$13, 100%, $E$13) + CHOOSE(CONTROL!$C$32, 0.0272, 0)</f>
        <v>39.005000000000003</v>
      </c>
      <c r="C530" s="4">
        <f>38.6146 * CHOOSE(CONTROL!$C$13, $C$13, 100%, $E$13) + CHOOSE(CONTROL!$C$32, 0.0272, 0)</f>
        <v>38.641800000000003</v>
      </c>
      <c r="D530" s="4">
        <f>52.3324 * CHOOSE(CONTROL!$C$13, $C$13, 100%, $E$13) + CHOOSE(CONTROL!$C$32, 0.0021, 0)</f>
        <v>52.334499999999998</v>
      </c>
      <c r="E530" s="4">
        <f>248.341625330885 * CHOOSE(CONTROL!$C$13, $C$13, 100%, $E$13) + CHOOSE(CONTROL!$C$32, 0.0021, 0)</f>
        <v>248.34372533088501</v>
      </c>
    </row>
    <row r="531" spans="1:5" ht="15">
      <c r="A531" s="13">
        <v>57314</v>
      </c>
      <c r="B531" s="4">
        <f>38.1322 * CHOOSE(CONTROL!$C$13, $C$13, 100%, $E$13) + CHOOSE(CONTROL!$C$32, 0.0272, 0)</f>
        <v>38.159399999999998</v>
      </c>
      <c r="C531" s="4">
        <f>37.7689 * CHOOSE(CONTROL!$C$13, $C$13, 100%, $E$13) + CHOOSE(CONTROL!$C$32, 0.0272, 0)</f>
        <v>37.796100000000003</v>
      </c>
      <c r="D531" s="4">
        <f>52.0899 * CHOOSE(CONTROL!$C$13, $C$13, 100%, $E$13) + CHOOSE(CONTROL!$C$32, 0.0021, 0)</f>
        <v>52.091999999999999</v>
      </c>
      <c r="E531" s="4">
        <f>242.844552141305 * CHOOSE(CONTROL!$C$13, $C$13, 100%, $E$13) + CHOOSE(CONTROL!$C$32, 0.0021, 0)</f>
        <v>242.84665214130501</v>
      </c>
    </row>
    <row r="532" spans="1:5" ht="15">
      <c r="A532" s="13">
        <v>57345</v>
      </c>
      <c r="B532" s="4">
        <f>37.5471 * CHOOSE(CONTROL!$C$13, $C$13, 100%, $E$13) + CHOOSE(CONTROL!$C$32, 0.0272, 0)</f>
        <v>37.574300000000001</v>
      </c>
      <c r="C532" s="4">
        <f>37.1838 * CHOOSE(CONTROL!$C$13, $C$13, 100%, $E$13) + CHOOSE(CONTROL!$C$32, 0.0272, 0)</f>
        <v>37.210999999999999</v>
      </c>
      <c r="D532" s="4">
        <f>50.3048 * CHOOSE(CONTROL!$C$13, $C$13, 100%, $E$13) + CHOOSE(CONTROL!$C$32, 0.0021, 0)</f>
        <v>50.306899999999999</v>
      </c>
      <c r="E532" s="4">
        <f>239.041284112219 * CHOOSE(CONTROL!$C$13, $C$13, 100%, $E$13) + CHOOSE(CONTROL!$C$32, 0.0021, 0)</f>
        <v>239.043384112219</v>
      </c>
    </row>
    <row r="533" spans="1:5" ht="15">
      <c r="A533" s="13">
        <v>57376</v>
      </c>
      <c r="B533" s="4">
        <f>36.0136 * CHOOSE(CONTROL!$C$13, $C$13, 100%, $E$13) + CHOOSE(CONTROL!$C$32, 0.0272, 0)</f>
        <v>36.040799999999997</v>
      </c>
      <c r="C533" s="4">
        <f>35.6503 * CHOOSE(CONTROL!$C$13, $C$13, 100%, $E$13) + CHOOSE(CONTROL!$C$32, 0.0272, 0)</f>
        <v>35.677500000000002</v>
      </c>
      <c r="D533" s="4">
        <f>48.2495 * CHOOSE(CONTROL!$C$13, $C$13, 100%, $E$13) + CHOOSE(CONTROL!$C$32, 0.0021, 0)</f>
        <v>48.251599999999996</v>
      </c>
      <c r="E533" s="4">
        <f>229.084243306172 * CHOOSE(CONTROL!$C$13, $C$13, 100%, $E$13) + CHOOSE(CONTROL!$C$32, 0.0021, 0)</f>
        <v>229.08634330617201</v>
      </c>
    </row>
    <row r="534" spans="1:5" ht="15">
      <c r="A534" s="13">
        <v>57404</v>
      </c>
      <c r="B534" s="4">
        <f>36.8503 * CHOOSE(CONTROL!$C$13, $C$13, 100%, $E$13) + CHOOSE(CONTROL!$C$32, 0.0272, 0)</f>
        <v>36.877499999999998</v>
      </c>
      <c r="C534" s="4">
        <f>36.4871 * CHOOSE(CONTROL!$C$13, $C$13, 100%, $E$13) + CHOOSE(CONTROL!$C$32, 0.0272, 0)</f>
        <v>36.514299999999999</v>
      </c>
      <c r="D534" s="4">
        <f>49.8871 * CHOOSE(CONTROL!$C$13, $C$13, 100%, $E$13) + CHOOSE(CONTROL!$C$32, 0.0021, 0)</f>
        <v>49.889199999999995</v>
      </c>
      <c r="E534" s="4">
        <f>234.523606042518 * CHOOSE(CONTROL!$C$13, $C$13, 100%, $E$13) + CHOOSE(CONTROL!$C$32, 0.0021, 0)</f>
        <v>234.52570604251801</v>
      </c>
    </row>
    <row r="535" spans="1:5" ht="15">
      <c r="A535" s="13">
        <v>57435</v>
      </c>
      <c r="B535" s="4">
        <f>39.0477 * CHOOSE(CONTROL!$C$13, $C$13, 100%, $E$13) + CHOOSE(CONTROL!$C$32, 0.0272, 0)</f>
        <v>39.0749</v>
      </c>
      <c r="C535" s="4">
        <f>38.6844 * CHOOSE(CONTROL!$C$13, $C$13, 100%, $E$13) + CHOOSE(CONTROL!$C$32, 0.0272, 0)</f>
        <v>38.711599999999997</v>
      </c>
      <c r="D535" s="4">
        <f>52.4506 * CHOOSE(CONTROL!$C$13, $C$13, 100%, $E$13) + CHOOSE(CONTROL!$C$32, 0.0021, 0)</f>
        <v>52.4527</v>
      </c>
      <c r="E535" s="4">
        <f>248.807661653453 * CHOOSE(CONTROL!$C$13, $C$13, 100%, $E$13) + CHOOSE(CONTROL!$C$32, 0.0021, 0)</f>
        <v>248.80976165345302</v>
      </c>
    </row>
    <row r="536" spans="1:5" ht="15">
      <c r="A536" s="13">
        <v>57465</v>
      </c>
      <c r="B536" s="4">
        <f>40.6089 * CHOOSE(CONTROL!$C$13, $C$13, 100%, $E$13) + CHOOSE(CONTROL!$C$32, 0.0272, 0)</f>
        <v>40.636099999999999</v>
      </c>
      <c r="C536" s="4">
        <f>40.2456 * CHOOSE(CONTROL!$C$13, $C$13, 100%, $E$13) + CHOOSE(CONTROL!$C$32, 0.0272, 0)</f>
        <v>40.272800000000004</v>
      </c>
      <c r="D536" s="4">
        <f>53.9272 * CHOOSE(CONTROL!$C$13, $C$13, 100%, $E$13) + CHOOSE(CONTROL!$C$32, 0.0021, 0)</f>
        <v>53.929299999999998</v>
      </c>
      <c r="E536" s="4">
        <f>258.956673525092 * CHOOSE(CONTROL!$C$13, $C$13, 100%, $E$13) + CHOOSE(CONTROL!$C$32, 0.0021, 0)</f>
        <v>258.958773525092</v>
      </c>
    </row>
    <row r="537" spans="1:5" ht="15">
      <c r="A537" s="13">
        <v>57496</v>
      </c>
      <c r="B537" s="4">
        <f>41.5628 * CHOOSE(CONTROL!$C$13, $C$13, 100%, $E$13) + CHOOSE(CONTROL!$C$32, 0.0272, 0)</f>
        <v>41.59</v>
      </c>
      <c r="C537" s="4">
        <f>41.1995 * CHOOSE(CONTROL!$C$13, $C$13, 100%, $E$13) + CHOOSE(CONTROL!$C$32, 0.0272, 0)</f>
        <v>41.226700000000001</v>
      </c>
      <c r="D537" s="4">
        <f>53.3437 * CHOOSE(CONTROL!$C$13, $C$13, 100%, $E$13) + CHOOSE(CONTROL!$C$32, 0.0021, 0)</f>
        <v>53.345799999999997</v>
      </c>
      <c r="E537" s="4">
        <f>265.157476540797 * CHOOSE(CONTROL!$C$13, $C$13, 100%, $E$13) + CHOOSE(CONTROL!$C$32, 0.0021, 0)</f>
        <v>265.15957654079699</v>
      </c>
    </row>
    <row r="538" spans="1:5" ht="15">
      <c r="A538" s="13">
        <v>57526</v>
      </c>
      <c r="B538" s="4">
        <f>41.6918 * CHOOSE(CONTROL!$C$13, $C$13, 100%, $E$13) + CHOOSE(CONTROL!$C$32, 0.0272, 0)</f>
        <v>41.719000000000001</v>
      </c>
      <c r="C538" s="4">
        <f>41.3285 * CHOOSE(CONTROL!$C$13, $C$13, 100%, $E$13) + CHOOSE(CONTROL!$C$32, 0.0272, 0)</f>
        <v>41.355699999999999</v>
      </c>
      <c r="D538" s="4">
        <f>53.8189 * CHOOSE(CONTROL!$C$13, $C$13, 100%, $E$13) + CHOOSE(CONTROL!$C$32, 0.0021, 0)</f>
        <v>53.820999999999998</v>
      </c>
      <c r="E538" s="4">
        <f>265.996470922683 * CHOOSE(CONTROL!$C$13, $C$13, 100%, $E$13) + CHOOSE(CONTROL!$C$32, 0.0021, 0)</f>
        <v>265.99857092268297</v>
      </c>
    </row>
    <row r="539" spans="1:5" ht="15">
      <c r="A539" s="13">
        <v>57557</v>
      </c>
      <c r="B539" s="4">
        <f>41.6788 * CHOOSE(CONTROL!$C$13, $C$13, 100%, $E$13) + CHOOSE(CONTROL!$C$32, 0.0272, 0)</f>
        <v>41.706000000000003</v>
      </c>
      <c r="C539" s="4">
        <f>41.3155 * CHOOSE(CONTROL!$C$13, $C$13, 100%, $E$13) + CHOOSE(CONTROL!$C$32, 0.0272, 0)</f>
        <v>41.342700000000001</v>
      </c>
      <c r="D539" s="4">
        <f>54.6764 * CHOOSE(CONTROL!$C$13, $C$13, 100%, $E$13) + CHOOSE(CONTROL!$C$32, 0.0021, 0)</f>
        <v>54.6785</v>
      </c>
      <c r="E539" s="4">
        <f>265.911866447198 * CHOOSE(CONTROL!$C$13, $C$13, 100%, $E$13) + CHOOSE(CONTROL!$C$32, 0.0021, 0)</f>
        <v>265.91396644719799</v>
      </c>
    </row>
    <row r="540" spans="1:5" ht="15">
      <c r="A540" s="13">
        <v>57588</v>
      </c>
      <c r="B540" s="4">
        <f>42.6582 * CHOOSE(CONTROL!$C$13, $C$13, 100%, $E$13) + CHOOSE(CONTROL!$C$32, 0.0272, 0)</f>
        <v>42.685400000000001</v>
      </c>
      <c r="C540" s="4">
        <f>42.2949 * CHOOSE(CONTROL!$C$13, $C$13, 100%, $E$13) + CHOOSE(CONTROL!$C$32, 0.0272, 0)</f>
        <v>42.322099999999999</v>
      </c>
      <c r="D540" s="4">
        <f>54.1101 * CHOOSE(CONTROL!$C$13, $C$13, 100%, $E$13) + CHOOSE(CONTROL!$C$32, 0.0021, 0)</f>
        <v>54.112200000000001</v>
      </c>
      <c r="E540" s="4">
        <f>272.278353227393 * CHOOSE(CONTROL!$C$13, $C$13, 100%, $E$13) + CHOOSE(CONTROL!$C$32, 0.0021, 0)</f>
        <v>272.28045322739297</v>
      </c>
    </row>
    <row r="541" spans="1:5" ht="15">
      <c r="A541" s="13">
        <v>57618</v>
      </c>
      <c r="B541" s="4">
        <f>40.989 * CHOOSE(CONTROL!$C$13, $C$13, 100%, $E$13) + CHOOSE(CONTROL!$C$32, 0.0272, 0)</f>
        <v>41.016199999999998</v>
      </c>
      <c r="C541" s="4">
        <f>40.6257 * CHOOSE(CONTROL!$C$13, $C$13, 100%, $E$13) + CHOOSE(CONTROL!$C$32, 0.0272, 0)</f>
        <v>40.652900000000002</v>
      </c>
      <c r="D541" s="4">
        <f>53.8426 * CHOOSE(CONTROL!$C$13, $C$13, 100%, $E$13) + CHOOSE(CONTROL!$C$32, 0.0021, 0)</f>
        <v>53.844699999999996</v>
      </c>
      <c r="E541" s="4">
        <f>261.42782924653 * CHOOSE(CONTROL!$C$13, $C$13, 100%, $E$13) + CHOOSE(CONTROL!$C$32, 0.0021, 0)</f>
        <v>261.42992924652998</v>
      </c>
    </row>
    <row r="542" spans="1:5" ht="15">
      <c r="A542" s="13">
        <v>57649</v>
      </c>
      <c r="B542" s="4">
        <f>39.6528 * CHOOSE(CONTROL!$C$13, $C$13, 100%, $E$13) + CHOOSE(CONTROL!$C$32, 0.0272, 0)</f>
        <v>39.68</v>
      </c>
      <c r="C542" s="4">
        <f>39.2896 * CHOOSE(CONTROL!$C$13, $C$13, 100%, $E$13) + CHOOSE(CONTROL!$C$32, 0.0272, 0)</f>
        <v>39.316800000000001</v>
      </c>
      <c r="D542" s="4">
        <f>53.1262 * CHOOSE(CONTROL!$C$13, $C$13, 100%, $E$13) + CHOOSE(CONTROL!$C$32, 0.0021, 0)</f>
        <v>53.128299999999996</v>
      </c>
      <c r="E542" s="4">
        <f>252.741769763474 * CHOOSE(CONTROL!$C$13, $C$13, 100%, $E$13) + CHOOSE(CONTROL!$C$32, 0.0021, 0)</f>
        <v>252.74386976347401</v>
      </c>
    </row>
    <row r="543" spans="1:5" ht="15">
      <c r="A543" s="13">
        <v>57679</v>
      </c>
      <c r="B543" s="4">
        <f>38.7922 * CHOOSE(CONTROL!$C$13, $C$13, 100%, $E$13) + CHOOSE(CONTROL!$C$32, 0.0272, 0)</f>
        <v>38.819400000000002</v>
      </c>
      <c r="C543" s="4">
        <f>38.429 * CHOOSE(CONTROL!$C$13, $C$13, 100%, $E$13) + CHOOSE(CONTROL!$C$32, 0.0272, 0)</f>
        <v>38.456200000000003</v>
      </c>
      <c r="D543" s="4">
        <f>52.8799 * CHOOSE(CONTROL!$C$13, $C$13, 100%, $E$13) + CHOOSE(CONTROL!$C$32, 0.0021, 0)</f>
        <v>52.881999999999998</v>
      </c>
      <c r="E543" s="4">
        <f>247.147298822073 * CHOOSE(CONTROL!$C$13, $C$13, 100%, $E$13) + CHOOSE(CONTROL!$C$32, 0.0021, 0)</f>
        <v>247.14939882207301</v>
      </c>
    </row>
    <row r="544" spans="1:5" ht="15">
      <c r="A544" s="13">
        <v>57710</v>
      </c>
      <c r="B544" s="4">
        <f>38.1968 * CHOOSE(CONTROL!$C$13, $C$13, 100%, $E$13) + CHOOSE(CONTROL!$C$32, 0.0272, 0)</f>
        <v>38.224000000000004</v>
      </c>
      <c r="C544" s="4">
        <f>37.8335 * CHOOSE(CONTROL!$C$13, $C$13, 100%, $E$13) + CHOOSE(CONTROL!$C$32, 0.0272, 0)</f>
        <v>37.860700000000001</v>
      </c>
      <c r="D544" s="4">
        <f>51.0667 * CHOOSE(CONTROL!$C$13, $C$13, 100%, $E$13) + CHOOSE(CONTROL!$C$32, 0.0021, 0)</f>
        <v>51.068799999999996</v>
      </c>
      <c r="E544" s="4">
        <f>243.276644068666 * CHOOSE(CONTROL!$C$13, $C$13, 100%, $E$13) + CHOOSE(CONTROL!$C$32, 0.0021, 0)</f>
        <v>243.27874406866601</v>
      </c>
    </row>
    <row r="545" spans="1:5" ht="15">
      <c r="A545" s="13">
        <v>57741</v>
      </c>
      <c r="B545" s="4">
        <f>36.6362 * CHOOSE(CONTROL!$C$13, $C$13, 100%, $E$13) + CHOOSE(CONTROL!$C$32, 0.0272, 0)</f>
        <v>36.663400000000003</v>
      </c>
      <c r="C545" s="4">
        <f>36.2729 * CHOOSE(CONTROL!$C$13, $C$13, 100%, $E$13) + CHOOSE(CONTROL!$C$32, 0.0272, 0)</f>
        <v>36.3001</v>
      </c>
      <c r="D545" s="4">
        <f>48.9791 * CHOOSE(CONTROL!$C$13, $C$13, 100%, $E$13) + CHOOSE(CONTROL!$C$32, 0.0021, 0)</f>
        <v>48.981200000000001</v>
      </c>
      <c r="E545" s="4">
        <f>233.143183310428 * CHOOSE(CONTROL!$C$13, $C$13, 100%, $E$13) + CHOOSE(CONTROL!$C$32, 0.0021, 0)</f>
        <v>233.145283310428</v>
      </c>
    </row>
    <row r="546" spans="1:5" ht="15">
      <c r="A546" s="13">
        <v>57769</v>
      </c>
      <c r="B546" s="4">
        <f>37.4877 * CHOOSE(CONTROL!$C$13, $C$13, 100%, $E$13) + CHOOSE(CONTROL!$C$32, 0.0272, 0)</f>
        <v>37.514899999999997</v>
      </c>
      <c r="C546" s="4">
        <f>37.1245 * CHOOSE(CONTROL!$C$13, $C$13, 100%, $E$13) + CHOOSE(CONTROL!$C$32, 0.0272, 0)</f>
        <v>37.151699999999998</v>
      </c>
      <c r="D546" s="4">
        <f>50.6424 * CHOOSE(CONTROL!$C$13, $C$13, 100%, $E$13) + CHOOSE(CONTROL!$C$32, 0.0021, 0)</f>
        <v>50.644500000000001</v>
      </c>
      <c r="E546" s="4">
        <f>238.67892127839 * CHOOSE(CONTROL!$C$13, $C$13, 100%, $E$13) + CHOOSE(CONTROL!$C$32, 0.0021, 0)</f>
        <v>238.68102127839001</v>
      </c>
    </row>
    <row r="547" spans="1:5" ht="15">
      <c r="A547" s="13">
        <v>57800</v>
      </c>
      <c r="B547" s="4">
        <f>39.7239 * CHOOSE(CONTROL!$C$13, $C$13, 100%, $E$13) + CHOOSE(CONTROL!$C$32, 0.0272, 0)</f>
        <v>39.751100000000001</v>
      </c>
      <c r="C547" s="4">
        <f>39.3606 * CHOOSE(CONTROL!$C$13, $C$13, 100%, $E$13) + CHOOSE(CONTROL!$C$32, 0.0272, 0)</f>
        <v>39.387799999999999</v>
      </c>
      <c r="D547" s="4">
        <f>53.2462 * CHOOSE(CONTROL!$C$13, $C$13, 100%, $E$13) + CHOOSE(CONTROL!$C$32, 0.0021, 0)</f>
        <v>53.2483</v>
      </c>
      <c r="E547" s="4">
        <f>253.21606336924 * CHOOSE(CONTROL!$C$13, $C$13, 100%, $E$13) + CHOOSE(CONTROL!$C$32, 0.0021, 0)</f>
        <v>253.21816336924002</v>
      </c>
    </row>
    <row r="548" spans="1:5" ht="15">
      <c r="A548" s="13">
        <v>57830</v>
      </c>
      <c r="B548" s="4">
        <f>41.3127 * CHOOSE(CONTROL!$C$13, $C$13, 100%, $E$13) + CHOOSE(CONTROL!$C$32, 0.0272, 0)</f>
        <v>41.3399</v>
      </c>
      <c r="C548" s="4">
        <f>40.9494 * CHOOSE(CONTROL!$C$13, $C$13, 100%, $E$13) + CHOOSE(CONTROL!$C$32, 0.0272, 0)</f>
        <v>40.976599999999998</v>
      </c>
      <c r="D548" s="4">
        <f>54.7461 * CHOOSE(CONTROL!$C$13, $C$13, 100%, $E$13) + CHOOSE(CONTROL!$C$32, 0.0021, 0)</f>
        <v>54.748199999999997</v>
      </c>
      <c r="E548" s="4">
        <f>263.544896557679 * CHOOSE(CONTROL!$C$13, $C$13, 100%, $E$13) + CHOOSE(CONTROL!$C$32, 0.0021, 0)</f>
        <v>263.54699655767899</v>
      </c>
    </row>
    <row r="549" spans="1:5" ht="15">
      <c r="A549" s="13">
        <v>57861</v>
      </c>
      <c r="B549" s="4">
        <f>42.2834 * CHOOSE(CONTROL!$C$13, $C$13, 100%, $E$13) + CHOOSE(CONTROL!$C$32, 0.0272, 0)</f>
        <v>42.310600000000001</v>
      </c>
      <c r="C549" s="4">
        <f>41.9202 * CHOOSE(CONTROL!$C$13, $C$13, 100%, $E$13) + CHOOSE(CONTROL!$C$32, 0.0272, 0)</f>
        <v>41.947400000000002</v>
      </c>
      <c r="D549" s="4">
        <f>54.1534 * CHOOSE(CONTROL!$C$13, $C$13, 100%, $E$13) + CHOOSE(CONTROL!$C$32, 0.0021, 0)</f>
        <v>54.155499999999996</v>
      </c>
      <c r="E549" s="4">
        <f>269.855566088233 * CHOOSE(CONTROL!$C$13, $C$13, 100%, $E$13) + CHOOSE(CONTROL!$C$32, 0.0021, 0)</f>
        <v>269.85766608823297</v>
      </c>
    </row>
    <row r="550" spans="1:5" ht="15">
      <c r="A550" s="13">
        <v>57891</v>
      </c>
      <c r="B550" s="4">
        <f>42.4148 * CHOOSE(CONTROL!$C$13, $C$13, 100%, $E$13) + CHOOSE(CONTROL!$C$32, 0.0272, 0)</f>
        <v>42.442</v>
      </c>
      <c r="C550" s="4">
        <f>42.0515 * CHOOSE(CONTROL!$C$13, $C$13, 100%, $E$13) + CHOOSE(CONTROL!$C$32, 0.0272, 0)</f>
        <v>42.078699999999998</v>
      </c>
      <c r="D550" s="4">
        <f>54.6361 * CHOOSE(CONTROL!$C$13, $C$13, 100%, $E$13) + CHOOSE(CONTROL!$C$32, 0.0021, 0)</f>
        <v>54.638199999999998</v>
      </c>
      <c r="E550" s="4">
        <f>270.709425865533 * CHOOSE(CONTROL!$C$13, $C$13, 100%, $E$13) + CHOOSE(CONTROL!$C$32, 0.0021, 0)</f>
        <v>270.71152586553296</v>
      </c>
    </row>
    <row r="551" spans="1:5" ht="15">
      <c r="A551" s="13">
        <v>57922</v>
      </c>
      <c r="B551" s="4">
        <f>42.4015 * CHOOSE(CONTROL!$C$13, $C$13, 100%, $E$13) + CHOOSE(CONTROL!$C$32, 0.0272, 0)</f>
        <v>42.428699999999999</v>
      </c>
      <c r="C551" s="4">
        <f>42.0383 * CHOOSE(CONTROL!$C$13, $C$13, 100%, $E$13) + CHOOSE(CONTROL!$C$32, 0.0272, 0)</f>
        <v>42.0655</v>
      </c>
      <c r="D551" s="4">
        <f>55.507 * CHOOSE(CONTROL!$C$13, $C$13, 100%, $E$13) + CHOOSE(CONTROL!$C$32, 0.0021, 0)</f>
        <v>55.509099999999997</v>
      </c>
      <c r="E551" s="4">
        <f>270.623322358579 * CHOOSE(CONTROL!$C$13, $C$13, 100%, $E$13) + CHOOSE(CONTROL!$C$32, 0.0021, 0)</f>
        <v>270.62542235857899</v>
      </c>
    </row>
    <row r="552" spans="1:5" ht="15">
      <c r="A552" s="13">
        <v>57953</v>
      </c>
      <c r="B552" s="4">
        <f>43.3982 * CHOOSE(CONTROL!$C$13, $C$13, 100%, $E$13) + CHOOSE(CONTROL!$C$32, 0.0272, 0)</f>
        <v>43.425400000000003</v>
      </c>
      <c r="C552" s="4">
        <f>43.0349 * CHOOSE(CONTROL!$C$13, $C$13, 100%, $E$13) + CHOOSE(CONTROL!$C$32, 0.0272, 0)</f>
        <v>43.062100000000001</v>
      </c>
      <c r="D552" s="4">
        <f>54.9319 * CHOOSE(CONTROL!$C$13, $C$13, 100%, $E$13) + CHOOSE(CONTROL!$C$32, 0.0021, 0)</f>
        <v>54.933999999999997</v>
      </c>
      <c r="E552" s="4">
        <f>277.102611256919 * CHOOSE(CONTROL!$C$13, $C$13, 100%, $E$13) + CHOOSE(CONTROL!$C$32, 0.0021, 0)</f>
        <v>277.10471125691896</v>
      </c>
    </row>
    <row r="553" spans="1:5" ht="15">
      <c r="A553" s="13">
        <v>57983</v>
      </c>
      <c r="B553" s="4">
        <f>41.6996 * CHOOSE(CONTROL!$C$13, $C$13, 100%, $E$13) + CHOOSE(CONTROL!$C$32, 0.0272, 0)</f>
        <v>41.726799999999997</v>
      </c>
      <c r="C553" s="4">
        <f>41.3363 * CHOOSE(CONTROL!$C$13, $C$13, 100%, $E$13) + CHOOSE(CONTROL!$C$32, 0.0272, 0)</f>
        <v>41.363500000000002</v>
      </c>
      <c r="D553" s="4">
        <f>54.6601 * CHOOSE(CONTROL!$C$13, $C$13, 100%, $E$13) + CHOOSE(CONTROL!$C$32, 0.0021, 0)</f>
        <v>54.662199999999999</v>
      </c>
      <c r="E553" s="4">
        <f>266.05983648998 * CHOOSE(CONTROL!$C$13, $C$13, 100%, $E$13) + CHOOSE(CONTROL!$C$32, 0.0021, 0)</f>
        <v>266.06193648997998</v>
      </c>
    </row>
    <row r="554" spans="1:5" ht="15">
      <c r="A554" s="13">
        <v>58014</v>
      </c>
      <c r="B554" s="4">
        <f>40.3398 * CHOOSE(CONTROL!$C$13, $C$13, 100%, $E$13) + CHOOSE(CONTROL!$C$32, 0.0272, 0)</f>
        <v>40.366999999999997</v>
      </c>
      <c r="C554" s="4">
        <f>39.9765 * CHOOSE(CONTROL!$C$13, $C$13, 100%, $E$13) + CHOOSE(CONTROL!$C$32, 0.0272, 0)</f>
        <v>40.003700000000002</v>
      </c>
      <c r="D554" s="4">
        <f>53.9325 * CHOOSE(CONTROL!$C$13, $C$13, 100%, $E$13) + CHOOSE(CONTROL!$C$32, 0.0021, 0)</f>
        <v>53.934599999999996</v>
      </c>
      <c r="E554" s="4">
        <f>257.219876442633 * CHOOSE(CONTROL!$C$13, $C$13, 100%, $E$13) + CHOOSE(CONTROL!$C$32, 0.0021, 0)</f>
        <v>257.22197644263298</v>
      </c>
    </row>
    <row r="555" spans="1:5" ht="15">
      <c r="A555" s="13">
        <v>58044</v>
      </c>
      <c r="B555" s="4">
        <f>39.464 * CHOOSE(CONTROL!$C$13, $C$13, 100%, $E$13) + CHOOSE(CONTROL!$C$32, 0.0272, 0)</f>
        <v>39.491199999999999</v>
      </c>
      <c r="C555" s="4">
        <f>39.1007 * CHOOSE(CONTROL!$C$13, $C$13, 100%, $E$13) + CHOOSE(CONTROL!$C$32, 0.0272, 0)</f>
        <v>39.127900000000004</v>
      </c>
      <c r="D555" s="4">
        <f>53.6823 * CHOOSE(CONTROL!$C$13, $C$13, 100%, $E$13) + CHOOSE(CONTROL!$C$32, 0.0021, 0)</f>
        <v>53.684399999999997</v>
      </c>
      <c r="E555" s="4">
        <f>251.526282045254 * CHOOSE(CONTROL!$C$13, $C$13, 100%, $E$13) + CHOOSE(CONTROL!$C$32, 0.0021, 0)</f>
        <v>251.52838204525401</v>
      </c>
    </row>
    <row r="556" spans="1:5" ht="15">
      <c r="A556" s="13">
        <v>58075</v>
      </c>
      <c r="B556" s="4">
        <f>38.858 * CHOOSE(CONTROL!$C$13, $C$13, 100%, $E$13) + CHOOSE(CONTROL!$C$32, 0.0272, 0)</f>
        <v>38.885199999999998</v>
      </c>
      <c r="C556" s="4">
        <f>38.4947 * CHOOSE(CONTROL!$C$13, $C$13, 100%, $E$13) + CHOOSE(CONTROL!$C$32, 0.0272, 0)</f>
        <v>38.521900000000002</v>
      </c>
      <c r="D556" s="4">
        <f>51.8406 * CHOOSE(CONTROL!$C$13, $C$13, 100%, $E$13) + CHOOSE(CONTROL!$C$32, 0.0021, 0)</f>
        <v>51.842700000000001</v>
      </c>
      <c r="E556" s="4">
        <f>247.587046602077 * CHOOSE(CONTROL!$C$13, $C$13, 100%, $E$13) + CHOOSE(CONTROL!$C$32, 0.0021, 0)</f>
        <v>247.58914660207702</v>
      </c>
    </row>
    <row r="557" spans="1:5" ht="15">
      <c r="A557" s="13">
        <v>58106</v>
      </c>
      <c r="B557" s="4">
        <f>37.2699 * CHOOSE(CONTROL!$C$13, $C$13, 100%, $E$13) + CHOOSE(CONTROL!$C$32, 0.0272, 0)</f>
        <v>37.2971</v>
      </c>
      <c r="C557" s="4">
        <f>36.9066 * CHOOSE(CONTROL!$C$13, $C$13, 100%, $E$13) + CHOOSE(CONTROL!$C$32, 0.0272, 0)</f>
        <v>36.933799999999998</v>
      </c>
      <c r="D557" s="4">
        <f>49.7202 * CHOOSE(CONTROL!$C$13, $C$13, 100%, $E$13) + CHOOSE(CONTROL!$C$32, 0.0021, 0)</f>
        <v>49.722299999999997</v>
      </c>
      <c r="E557" s="4">
        <f>237.27404006339 * CHOOSE(CONTROL!$C$13, $C$13, 100%, $E$13) + CHOOSE(CONTROL!$C$32, 0.0021, 0)</f>
        <v>237.27614006339002</v>
      </c>
    </row>
    <row r="558" spans="1:5" ht="15">
      <c r="A558" s="13">
        <v>58134</v>
      </c>
      <c r="B558" s="4">
        <f>38.1364 * CHOOSE(CONTROL!$C$13, $C$13, 100%, $E$13) + CHOOSE(CONTROL!$C$32, 0.0272, 0)</f>
        <v>38.163600000000002</v>
      </c>
      <c r="C558" s="4">
        <f>37.7731 * CHOOSE(CONTROL!$C$13, $C$13, 100%, $E$13) + CHOOSE(CONTROL!$C$32, 0.0272, 0)</f>
        <v>37.8003</v>
      </c>
      <c r="D558" s="4">
        <f>51.4097 * CHOOSE(CONTROL!$C$13, $C$13, 100%, $E$13) + CHOOSE(CONTROL!$C$32, 0.0021, 0)</f>
        <v>51.411799999999999</v>
      </c>
      <c r="E558" s="4">
        <f>242.907860849999 * CHOOSE(CONTROL!$C$13, $C$13, 100%, $E$13) + CHOOSE(CONTROL!$C$32, 0.0021, 0)</f>
        <v>242.90996084999901</v>
      </c>
    </row>
    <row r="559" spans="1:5" ht="15">
      <c r="A559" s="13">
        <v>58165</v>
      </c>
      <c r="B559" s="4">
        <f>40.4121 * CHOOSE(CONTROL!$C$13, $C$13, 100%, $E$13) + CHOOSE(CONTROL!$C$32, 0.0272, 0)</f>
        <v>40.439300000000003</v>
      </c>
      <c r="C559" s="4">
        <f>40.0488 * CHOOSE(CONTROL!$C$13, $C$13, 100%, $E$13) + CHOOSE(CONTROL!$C$32, 0.0272, 0)</f>
        <v>40.076000000000001</v>
      </c>
      <c r="D559" s="4">
        <f>54.0544 * CHOOSE(CONTROL!$C$13, $C$13, 100%, $E$13) + CHOOSE(CONTROL!$C$32, 0.0021, 0)</f>
        <v>54.0565</v>
      </c>
      <c r="E559" s="4">
        <f>257.702573635055 * CHOOSE(CONTROL!$C$13, $C$13, 100%, $E$13) + CHOOSE(CONTROL!$C$32, 0.0021, 0)</f>
        <v>257.70467363505497</v>
      </c>
    </row>
    <row r="560" spans="1:5" ht="15">
      <c r="A560" s="13">
        <v>58195</v>
      </c>
      <c r="B560" s="4">
        <f>42.029 * CHOOSE(CONTROL!$C$13, $C$13, 100%, $E$13) + CHOOSE(CONTROL!$C$32, 0.0272, 0)</f>
        <v>42.056200000000004</v>
      </c>
      <c r="C560" s="4">
        <f>41.6657 * CHOOSE(CONTROL!$C$13, $C$13, 100%, $E$13) + CHOOSE(CONTROL!$C$32, 0.0272, 0)</f>
        <v>41.692900000000002</v>
      </c>
      <c r="D560" s="4">
        <f>55.5778 * CHOOSE(CONTROL!$C$13, $C$13, 100%, $E$13) + CHOOSE(CONTROL!$C$32, 0.0021, 0)</f>
        <v>55.579900000000002</v>
      </c>
      <c r="E560" s="4">
        <f>268.214414234309 * CHOOSE(CONTROL!$C$13, $C$13, 100%, $E$13) + CHOOSE(CONTROL!$C$32, 0.0021, 0)</f>
        <v>268.21651423430899</v>
      </c>
    </row>
    <row r="561" spans="1:5" ht="15">
      <c r="A561" s="13">
        <v>58226</v>
      </c>
      <c r="B561" s="4">
        <f>43.0168 * CHOOSE(CONTROL!$C$13, $C$13, 100%, $E$13) + CHOOSE(CONTROL!$C$32, 0.0272, 0)</f>
        <v>43.044000000000004</v>
      </c>
      <c r="C561" s="4">
        <f>42.6536 * CHOOSE(CONTROL!$C$13, $C$13, 100%, $E$13) + CHOOSE(CONTROL!$C$32, 0.0272, 0)</f>
        <v>42.680799999999998</v>
      </c>
      <c r="D561" s="4">
        <f>54.9758 * CHOOSE(CONTROL!$C$13, $C$13, 100%, $E$13) + CHOOSE(CONTROL!$C$32, 0.0021, 0)</f>
        <v>54.977899999999998</v>
      </c>
      <c r="E561" s="4">
        <f>274.636896906795 * CHOOSE(CONTROL!$C$13, $C$13, 100%, $E$13) + CHOOSE(CONTROL!$C$32, 0.0021, 0)</f>
        <v>274.638996906795</v>
      </c>
    </row>
    <row r="562" spans="1:5" ht="15">
      <c r="A562" s="13">
        <v>58256</v>
      </c>
      <c r="B562" s="4">
        <f>43.1505 * CHOOSE(CONTROL!$C$13, $C$13, 100%, $E$13) + CHOOSE(CONTROL!$C$32, 0.0272, 0)</f>
        <v>43.177700000000002</v>
      </c>
      <c r="C562" s="4">
        <f>42.7872 * CHOOSE(CONTROL!$C$13, $C$13, 100%, $E$13) + CHOOSE(CONTROL!$C$32, 0.0272, 0)</f>
        <v>42.814399999999999</v>
      </c>
      <c r="D562" s="4">
        <f>55.4661 * CHOOSE(CONTROL!$C$13, $C$13, 100%, $E$13) + CHOOSE(CONTROL!$C$32, 0.0021, 0)</f>
        <v>55.468199999999996</v>
      </c>
      <c r="E562" s="4">
        <f>275.505885466233 * CHOOSE(CONTROL!$C$13, $C$13, 100%, $E$13) + CHOOSE(CONTROL!$C$32, 0.0021, 0)</f>
        <v>275.50798546623298</v>
      </c>
    </row>
    <row r="563" spans="1:5" ht="15">
      <c r="A563" s="13">
        <v>58287</v>
      </c>
      <c r="B563" s="4">
        <f>43.137 * CHOOSE(CONTROL!$C$13, $C$13, 100%, $E$13) + CHOOSE(CONTROL!$C$32, 0.0272, 0)</f>
        <v>43.164200000000001</v>
      </c>
      <c r="C563" s="4">
        <f>42.7737 * CHOOSE(CONTROL!$C$13, $C$13, 100%, $E$13) + CHOOSE(CONTROL!$C$32, 0.0272, 0)</f>
        <v>42.800899999999999</v>
      </c>
      <c r="D563" s="4">
        <f>56.3508 * CHOOSE(CONTROL!$C$13, $C$13, 100%, $E$13) + CHOOSE(CONTROL!$C$32, 0.0021, 0)</f>
        <v>56.352899999999998</v>
      </c>
      <c r="E563" s="4">
        <f>275.418256367802 * CHOOSE(CONTROL!$C$13, $C$13, 100%, $E$13) + CHOOSE(CONTROL!$C$32, 0.0021, 0)</f>
        <v>275.42035636780196</v>
      </c>
    </row>
    <row r="564" spans="1:5" ht="15">
      <c r="A564" s="13">
        <v>58318</v>
      </c>
      <c r="B564" s="4">
        <f>44.1513 * CHOOSE(CONTROL!$C$13, $C$13, 100%, $E$13) + CHOOSE(CONTROL!$C$32, 0.0272, 0)</f>
        <v>44.1785</v>
      </c>
      <c r="C564" s="4">
        <f>43.788 * CHOOSE(CONTROL!$C$13, $C$13, 100%, $E$13) + CHOOSE(CONTROL!$C$32, 0.0272, 0)</f>
        <v>43.815199999999997</v>
      </c>
      <c r="D564" s="4">
        <f>55.7665 * CHOOSE(CONTROL!$C$13, $C$13, 100%, $E$13) + CHOOSE(CONTROL!$C$32, 0.0021, 0)</f>
        <v>55.768599999999999</v>
      </c>
      <c r="E564" s="4">
        <f>282.012346024715 * CHOOSE(CONTROL!$C$13, $C$13, 100%, $E$13) + CHOOSE(CONTROL!$C$32, 0.0021, 0)</f>
        <v>282.01444602471497</v>
      </c>
    </row>
    <row r="565" spans="1:5" ht="15">
      <c r="A565" s="13">
        <v>58348</v>
      </c>
      <c r="B565" s="4">
        <f>42.4227 * CHOOSE(CONTROL!$C$13, $C$13, 100%, $E$13) + CHOOSE(CONTROL!$C$32, 0.0272, 0)</f>
        <v>42.4499</v>
      </c>
      <c r="C565" s="4">
        <f>42.0594 * CHOOSE(CONTROL!$C$13, $C$13, 100%, $E$13) + CHOOSE(CONTROL!$C$32, 0.0272, 0)</f>
        <v>42.086599999999997</v>
      </c>
      <c r="D565" s="4">
        <f>55.4905 * CHOOSE(CONTROL!$C$13, $C$13, 100%, $E$13) + CHOOSE(CONTROL!$C$32, 0.0021, 0)</f>
        <v>55.492599999999996</v>
      </c>
      <c r="E565" s="4">
        <f>270.773914150973 * CHOOSE(CONTROL!$C$13, $C$13, 100%, $E$13) + CHOOSE(CONTROL!$C$32, 0.0021, 0)</f>
        <v>270.77601415097297</v>
      </c>
    </row>
    <row r="566" spans="1:5" ht="15">
      <c r="A566" s="13">
        <v>58379</v>
      </c>
      <c r="B566" s="4">
        <f>41.0388 * CHOOSE(CONTROL!$C$13, $C$13, 100%, $E$13) + CHOOSE(CONTROL!$C$32, 0.0272, 0)</f>
        <v>41.066000000000003</v>
      </c>
      <c r="C566" s="4">
        <f>40.6756 * CHOOSE(CONTROL!$C$13, $C$13, 100%, $E$13) + CHOOSE(CONTROL!$C$32, 0.0272, 0)</f>
        <v>40.702800000000003</v>
      </c>
      <c r="D566" s="4">
        <f>54.7514 * CHOOSE(CONTROL!$C$13, $C$13, 100%, $E$13) + CHOOSE(CONTROL!$C$32, 0.0021, 0)</f>
        <v>54.753499999999995</v>
      </c>
      <c r="E566" s="4">
        <f>261.777326712084 * CHOOSE(CONTROL!$C$13, $C$13, 100%, $E$13) + CHOOSE(CONTROL!$C$32, 0.0021, 0)</f>
        <v>261.77942671208399</v>
      </c>
    </row>
    <row r="567" spans="1:5" ht="15">
      <c r="A567" s="13">
        <v>58409</v>
      </c>
      <c r="B567" s="4">
        <f>40.1476 * CHOOSE(CONTROL!$C$13, $C$13, 100%, $E$13) + CHOOSE(CONTROL!$C$32, 0.0272, 0)</f>
        <v>40.174799999999998</v>
      </c>
      <c r="C567" s="4">
        <f>39.7843 * CHOOSE(CONTROL!$C$13, $C$13, 100%, $E$13) + CHOOSE(CONTROL!$C$32, 0.0272, 0)</f>
        <v>39.811500000000002</v>
      </c>
      <c r="D567" s="4">
        <f>54.4973 * CHOOSE(CONTROL!$C$13, $C$13, 100%, $E$13) + CHOOSE(CONTROL!$C$32, 0.0021, 0)</f>
        <v>54.499400000000001</v>
      </c>
      <c r="E567" s="4">
        <f>255.982852578352 * CHOOSE(CONTROL!$C$13, $C$13, 100%, $E$13) + CHOOSE(CONTROL!$C$32, 0.0021, 0)</f>
        <v>255.98495257835202</v>
      </c>
    </row>
    <row r="568" spans="1:5" ht="15">
      <c r="A568" s="13">
        <v>58440</v>
      </c>
      <c r="B568" s="4">
        <f>39.5309 * CHOOSE(CONTROL!$C$13, $C$13, 100%, $E$13) + CHOOSE(CONTROL!$C$32, 0.0272, 0)</f>
        <v>39.558100000000003</v>
      </c>
      <c r="C568" s="4">
        <f>39.1676 * CHOOSE(CONTROL!$C$13, $C$13, 100%, $E$13) + CHOOSE(CONTROL!$C$32, 0.0272, 0)</f>
        <v>39.194800000000001</v>
      </c>
      <c r="D568" s="4">
        <f>52.6267 * CHOOSE(CONTROL!$C$13, $C$13, 100%, $E$13) + CHOOSE(CONTROL!$C$32, 0.0021, 0)</f>
        <v>52.628799999999998</v>
      </c>
      <c r="E568" s="4">
        <f>251.973821325146 * CHOOSE(CONTROL!$C$13, $C$13, 100%, $E$13) + CHOOSE(CONTROL!$C$32, 0.0021, 0)</f>
        <v>251.975921325146</v>
      </c>
    </row>
    <row r="569" spans="1:5" ht="15">
      <c r="A569" s="13">
        <v>58471</v>
      </c>
      <c r="B569" s="4">
        <f>37.9147 * CHOOSE(CONTROL!$C$13, $C$13, 100%, $E$13) + CHOOSE(CONTROL!$C$32, 0.0272, 0)</f>
        <v>37.941900000000004</v>
      </c>
      <c r="C569" s="4">
        <f>37.5514 * CHOOSE(CONTROL!$C$13, $C$13, 100%, $E$13) + CHOOSE(CONTROL!$C$32, 0.0272, 0)</f>
        <v>37.578600000000002</v>
      </c>
      <c r="D569" s="4">
        <f>50.4729 * CHOOSE(CONTROL!$C$13, $C$13, 100%, $E$13) + CHOOSE(CONTROL!$C$32, 0.0021, 0)</f>
        <v>50.475000000000001</v>
      </c>
      <c r="E569" s="4">
        <f>241.478087793978 * CHOOSE(CONTROL!$C$13, $C$13, 100%, $E$13) + CHOOSE(CONTROL!$C$32, 0.0021, 0)</f>
        <v>241.48018779397802</v>
      </c>
    </row>
    <row r="570" spans="1:5" ht="15">
      <c r="A570" s="13">
        <v>58499</v>
      </c>
      <c r="B570" s="4">
        <f>38.7966 * CHOOSE(CONTROL!$C$13, $C$13, 100%, $E$13) + CHOOSE(CONTROL!$C$32, 0.0272, 0)</f>
        <v>38.823799999999999</v>
      </c>
      <c r="C570" s="4">
        <f>38.4333 * CHOOSE(CONTROL!$C$13, $C$13, 100%, $E$13) + CHOOSE(CONTROL!$C$32, 0.0272, 0)</f>
        <v>38.460500000000003</v>
      </c>
      <c r="D570" s="4">
        <f>52.189 * CHOOSE(CONTROL!$C$13, $C$13, 100%, $E$13) + CHOOSE(CONTROL!$C$32, 0.0021, 0)</f>
        <v>52.191099999999999</v>
      </c>
      <c r="E570" s="4">
        <f>247.211729241483 * CHOOSE(CONTROL!$C$13, $C$13, 100%, $E$13) + CHOOSE(CONTROL!$C$32, 0.0021, 0)</f>
        <v>247.21382924148301</v>
      </c>
    </row>
    <row r="571" spans="1:5" ht="15">
      <c r="A571" s="13">
        <v>58531</v>
      </c>
      <c r="B571" s="4">
        <f>41.1124 * CHOOSE(CONTROL!$C$13, $C$13, 100%, $E$13) + CHOOSE(CONTROL!$C$32, 0.0272, 0)</f>
        <v>41.139600000000002</v>
      </c>
      <c r="C571" s="4">
        <f>40.7491 * CHOOSE(CONTROL!$C$13, $C$13, 100%, $E$13) + CHOOSE(CONTROL!$C$32, 0.0272, 0)</f>
        <v>40.776299999999999</v>
      </c>
      <c r="D571" s="4">
        <f>54.8753 * CHOOSE(CONTROL!$C$13, $C$13, 100%, $E$13) + CHOOSE(CONTROL!$C$32, 0.0021, 0)</f>
        <v>54.877400000000002</v>
      </c>
      <c r="E571" s="4">
        <f>262.268576386842 * CHOOSE(CONTROL!$C$13, $C$13, 100%, $E$13) + CHOOSE(CONTROL!$C$32, 0.0021, 0)</f>
        <v>262.27067638684201</v>
      </c>
    </row>
    <row r="572" spans="1:5" ht="15">
      <c r="A572" s="13">
        <v>58561</v>
      </c>
      <c r="B572" s="4">
        <f>42.7579 * CHOOSE(CONTROL!$C$13, $C$13, 100%, $E$13) + CHOOSE(CONTROL!$C$32, 0.0272, 0)</f>
        <v>42.7851</v>
      </c>
      <c r="C572" s="4">
        <f>42.3946 * CHOOSE(CONTROL!$C$13, $C$13, 100%, $E$13) + CHOOSE(CONTROL!$C$32, 0.0272, 0)</f>
        <v>42.421799999999998</v>
      </c>
      <c r="D572" s="4">
        <f>56.4227 * CHOOSE(CONTROL!$C$13, $C$13, 100%, $E$13) + CHOOSE(CONTROL!$C$32, 0.0021, 0)</f>
        <v>56.424799999999998</v>
      </c>
      <c r="E572" s="4">
        <f>272.966666942491 * CHOOSE(CONTROL!$C$13, $C$13, 100%, $E$13) + CHOOSE(CONTROL!$C$32, 0.0021, 0)</f>
        <v>272.96876694249096</v>
      </c>
    </row>
    <row r="573" spans="1:5" ht="15">
      <c r="A573" s="13">
        <v>58592</v>
      </c>
      <c r="B573" s="4">
        <f>43.7632 * CHOOSE(CONTROL!$C$13, $C$13, 100%, $E$13) + CHOOSE(CONTROL!$C$32, 0.0272, 0)</f>
        <v>43.790399999999998</v>
      </c>
      <c r="C573" s="4">
        <f>43.3999 * CHOOSE(CONTROL!$C$13, $C$13, 100%, $E$13) + CHOOSE(CONTROL!$C$32, 0.0272, 0)</f>
        <v>43.427100000000003</v>
      </c>
      <c r="D573" s="4">
        <f>55.8112 * CHOOSE(CONTROL!$C$13, $C$13, 100%, $E$13) + CHOOSE(CONTROL!$C$32, 0.0021, 0)</f>
        <v>55.813299999999998</v>
      </c>
      <c r="E573" s="4">
        <f>279.502943874546 * CHOOSE(CONTROL!$C$13, $C$13, 100%, $E$13) + CHOOSE(CONTROL!$C$32, 0.0021, 0)</f>
        <v>279.505043874546</v>
      </c>
    </row>
    <row r="574" spans="1:5" ht="15">
      <c r="A574" s="13">
        <v>58622</v>
      </c>
      <c r="B574" s="4">
        <f>43.8992 * CHOOSE(CONTROL!$C$13, $C$13, 100%, $E$13) + CHOOSE(CONTROL!$C$32, 0.0272, 0)</f>
        <v>43.926400000000001</v>
      </c>
      <c r="C574" s="4">
        <f>43.536 * CHOOSE(CONTROL!$C$13, $C$13, 100%, $E$13) + CHOOSE(CONTROL!$C$32, 0.0272, 0)</f>
        <v>43.563200000000002</v>
      </c>
      <c r="D574" s="4">
        <f>56.3092 * CHOOSE(CONTROL!$C$13, $C$13, 100%, $E$13) + CHOOSE(CONTROL!$C$32, 0.0021, 0)</f>
        <v>56.311299999999996</v>
      </c>
      <c r="E574" s="4">
        <f>280.38732926956 * CHOOSE(CONTROL!$C$13, $C$13, 100%, $E$13) + CHOOSE(CONTROL!$C$32, 0.0021, 0)</f>
        <v>280.38942926955997</v>
      </c>
    </row>
    <row r="575" spans="1:5" ht="15">
      <c r="A575" s="13">
        <v>58653</v>
      </c>
      <c r="B575" s="4">
        <f>43.8855 * CHOOSE(CONTROL!$C$13, $C$13, 100%, $E$13) + CHOOSE(CONTROL!$C$32, 0.0272, 0)</f>
        <v>43.912700000000001</v>
      </c>
      <c r="C575" s="4">
        <f>43.5222 * CHOOSE(CONTROL!$C$13, $C$13, 100%, $E$13) + CHOOSE(CONTROL!$C$32, 0.0272, 0)</f>
        <v>43.549399999999999</v>
      </c>
      <c r="D575" s="4">
        <f>57.2078 * CHOOSE(CONTROL!$C$13, $C$13, 100%, $E$13) + CHOOSE(CONTROL!$C$32, 0.0021, 0)</f>
        <v>57.209899999999998</v>
      </c>
      <c r="E575" s="4">
        <f>280.298147549055 * CHOOSE(CONTROL!$C$13, $C$13, 100%, $E$13) + CHOOSE(CONTROL!$C$32, 0.0021, 0)</f>
        <v>280.30024754905497</v>
      </c>
    </row>
    <row r="576" spans="1:5" ht="15">
      <c r="A576" s="13">
        <v>58684</v>
      </c>
      <c r="B576" s="4">
        <f>44.9177 * CHOOSE(CONTROL!$C$13, $C$13, 100%, $E$13) + CHOOSE(CONTROL!$C$32, 0.0272, 0)</f>
        <v>44.944900000000004</v>
      </c>
      <c r="C576" s="4">
        <f>44.5544 * CHOOSE(CONTROL!$C$13, $C$13, 100%, $E$13) + CHOOSE(CONTROL!$C$32, 0.0272, 0)</f>
        <v>44.581600000000002</v>
      </c>
      <c r="D576" s="4">
        <f>56.6143 * CHOOSE(CONTROL!$C$13, $C$13, 100%, $E$13) + CHOOSE(CONTROL!$C$32, 0.0021, 0)</f>
        <v>56.616399999999999</v>
      </c>
      <c r="E576" s="4">
        <f>287.0090720171 * CHOOSE(CONTROL!$C$13, $C$13, 100%, $E$13) + CHOOSE(CONTROL!$C$32, 0.0021, 0)</f>
        <v>287.01117201709997</v>
      </c>
    </row>
    <row r="577" spans="1:5" ht="15">
      <c r="A577" s="13">
        <v>58714</v>
      </c>
      <c r="B577" s="4">
        <f>43.1585 * CHOOSE(CONTROL!$C$13, $C$13, 100%, $E$13) + CHOOSE(CONTROL!$C$32, 0.0272, 0)</f>
        <v>43.185699999999997</v>
      </c>
      <c r="C577" s="4">
        <f>42.7952 * CHOOSE(CONTROL!$C$13, $C$13, 100%, $E$13) + CHOOSE(CONTROL!$C$32, 0.0272, 0)</f>
        <v>42.822400000000002</v>
      </c>
      <c r="D577" s="4">
        <f>56.334 * CHOOSE(CONTROL!$C$13, $C$13, 100%, $E$13) + CHOOSE(CONTROL!$C$32, 0.0021, 0)</f>
        <v>56.336100000000002</v>
      </c>
      <c r="E577" s="4">
        <f>275.571516362259 * CHOOSE(CONTROL!$C$13, $C$13, 100%, $E$13) + CHOOSE(CONTROL!$C$32, 0.0021, 0)</f>
        <v>275.57361636225897</v>
      </c>
    </row>
    <row r="578" spans="1:5" ht="15">
      <c r="A578" s="13">
        <v>58745</v>
      </c>
      <c r="B578" s="4">
        <f>41.7503 * CHOOSE(CONTROL!$C$13, $C$13, 100%, $E$13) + CHOOSE(CONTROL!$C$32, 0.0272, 0)</f>
        <v>41.777500000000003</v>
      </c>
      <c r="C578" s="4">
        <f>41.387 * CHOOSE(CONTROL!$C$13, $C$13, 100%, $E$13) + CHOOSE(CONTROL!$C$32, 0.0272, 0)</f>
        <v>41.414200000000001</v>
      </c>
      <c r="D578" s="4">
        <f>55.5833 * CHOOSE(CONTROL!$C$13, $C$13, 100%, $E$13) + CHOOSE(CONTROL!$C$32, 0.0021, 0)</f>
        <v>55.5854</v>
      </c>
      <c r="E578" s="4">
        <f>266.415526390352 * CHOOSE(CONTROL!$C$13, $C$13, 100%, $E$13) + CHOOSE(CONTROL!$C$32, 0.0021, 0)</f>
        <v>266.41762639035198</v>
      </c>
    </row>
    <row r="579" spans="1:5" ht="15">
      <c r="A579" s="13">
        <v>58775</v>
      </c>
      <c r="B579" s="4">
        <f>40.8432 * CHOOSE(CONTROL!$C$13, $C$13, 100%, $E$13) + CHOOSE(CONTROL!$C$32, 0.0272, 0)</f>
        <v>40.870400000000004</v>
      </c>
      <c r="C579" s="4">
        <f>40.48 * CHOOSE(CONTROL!$C$13, $C$13, 100%, $E$13) + CHOOSE(CONTROL!$C$32, 0.0272, 0)</f>
        <v>40.507199999999997</v>
      </c>
      <c r="D579" s="4">
        <f>55.3252 * CHOOSE(CONTROL!$C$13, $C$13, 100%, $E$13) + CHOOSE(CONTROL!$C$32, 0.0021, 0)</f>
        <v>55.327300000000001</v>
      </c>
      <c r="E579" s="4">
        <f>260.51838512192 * CHOOSE(CONTROL!$C$13, $C$13, 100%, $E$13) + CHOOSE(CONTROL!$C$32, 0.0021, 0)</f>
        <v>260.52048512191999</v>
      </c>
    </row>
    <row r="580" spans="1:5" ht="15">
      <c r="A580" s="13">
        <v>58806</v>
      </c>
      <c r="B580" s="4">
        <f>40.2157 * CHOOSE(CONTROL!$C$13, $C$13, 100%, $E$13) + CHOOSE(CONTROL!$C$32, 0.0272, 0)</f>
        <v>40.242899999999999</v>
      </c>
      <c r="C580" s="4">
        <f>39.8524 * CHOOSE(CONTROL!$C$13, $C$13, 100%, $E$13) + CHOOSE(CONTROL!$C$32, 0.0272, 0)</f>
        <v>39.879600000000003</v>
      </c>
      <c r="D580" s="4">
        <f>53.4251 * CHOOSE(CONTROL!$C$13, $C$13, 100%, $E$13) + CHOOSE(CONTROL!$C$32, 0.0021, 0)</f>
        <v>53.427199999999999</v>
      </c>
      <c r="E580" s="4">
        <f>256.438321408789 * CHOOSE(CONTROL!$C$13, $C$13, 100%, $E$13) + CHOOSE(CONTROL!$C$32, 0.0021, 0)</f>
        <v>256.44042140878901</v>
      </c>
    </row>
    <row r="581" spans="1:5" ht="15">
      <c r="A581" s="13">
        <v>58837</v>
      </c>
      <c r="B581" s="4">
        <f>38.5709 * CHOOSE(CONTROL!$C$13, $C$13, 100%, $E$13) + CHOOSE(CONTROL!$C$32, 0.0272, 0)</f>
        <v>38.598100000000002</v>
      </c>
      <c r="C581" s="4">
        <f>38.2076 * CHOOSE(CONTROL!$C$13, $C$13, 100%, $E$13) + CHOOSE(CONTROL!$C$32, 0.0272, 0)</f>
        <v>38.2348</v>
      </c>
      <c r="D581" s="4">
        <f>51.2375 * CHOOSE(CONTROL!$C$13, $C$13, 100%, $E$13) + CHOOSE(CONTROL!$C$32, 0.0021, 0)</f>
        <v>51.239599999999996</v>
      </c>
      <c r="E581" s="4">
        <f>245.756623308043 * CHOOSE(CONTROL!$C$13, $C$13, 100%, $E$13) + CHOOSE(CONTROL!$C$32, 0.0021, 0)</f>
        <v>245.75872330804302</v>
      </c>
    </row>
    <row r="582" spans="1:5" ht="15">
      <c r="A582" s="13">
        <v>58865</v>
      </c>
      <c r="B582" s="4">
        <f>39.4684 * CHOOSE(CONTROL!$C$13, $C$13, 100%, $E$13) + CHOOSE(CONTROL!$C$32, 0.0272, 0)</f>
        <v>39.495600000000003</v>
      </c>
      <c r="C582" s="4">
        <f>39.1051 * CHOOSE(CONTROL!$C$13, $C$13, 100%, $E$13) + CHOOSE(CONTROL!$C$32, 0.0272, 0)</f>
        <v>39.132300000000001</v>
      </c>
      <c r="D582" s="4">
        <f>52.9805 * CHOOSE(CONTROL!$C$13, $C$13, 100%, $E$13) + CHOOSE(CONTROL!$C$32, 0.0021, 0)</f>
        <v>52.982599999999998</v>
      </c>
      <c r="E582" s="4">
        <f>251.591854049973 * CHOOSE(CONTROL!$C$13, $C$13, 100%, $E$13) + CHOOSE(CONTROL!$C$32, 0.0021, 0)</f>
        <v>251.59395404997301</v>
      </c>
    </row>
    <row r="583" spans="1:5" ht="15">
      <c r="A583" s="13">
        <v>58893</v>
      </c>
      <c r="B583" s="4">
        <f>41.8252 * CHOOSE(CONTROL!$C$13, $C$13, 100%, $E$13) + CHOOSE(CONTROL!$C$32, 0.0272, 0)</f>
        <v>41.852400000000003</v>
      </c>
      <c r="C583" s="4">
        <f>41.4619 * CHOOSE(CONTROL!$C$13, $C$13, 100%, $E$13) + CHOOSE(CONTROL!$C$32, 0.0272, 0)</f>
        <v>41.489100000000001</v>
      </c>
      <c r="D583" s="4">
        <f>55.7091 * CHOOSE(CONTROL!$C$13, $C$13, 100%, $E$13) + CHOOSE(CONTROL!$C$32, 0.0021, 0)</f>
        <v>55.711199999999998</v>
      </c>
      <c r="E583" s="4">
        <f>266.915480081275 * CHOOSE(CONTROL!$C$13, $C$13, 100%, $E$13) + CHOOSE(CONTROL!$C$32, 0.0021, 0)</f>
        <v>266.91758008127499</v>
      </c>
    </row>
    <row r="584" spans="1:5" ht="15">
      <c r="A584" s="13">
        <v>58926</v>
      </c>
      <c r="B584" s="4">
        <f>43.4997 * CHOOSE(CONTROL!$C$13, $C$13, 100%, $E$13) + CHOOSE(CONTROL!$C$32, 0.0272, 0)</f>
        <v>43.526899999999998</v>
      </c>
      <c r="C584" s="4">
        <f>43.1364 * CHOOSE(CONTROL!$C$13, $C$13, 100%, $E$13) + CHOOSE(CONTROL!$C$32, 0.0272, 0)</f>
        <v>43.163600000000002</v>
      </c>
      <c r="D584" s="4">
        <f>57.2808 * CHOOSE(CONTROL!$C$13, $C$13, 100%, $E$13) + CHOOSE(CONTROL!$C$32, 0.0021, 0)</f>
        <v>57.282899999999998</v>
      </c>
      <c r="E584" s="4">
        <f>277.803120590683 * CHOOSE(CONTROL!$C$13, $C$13, 100%, $E$13) + CHOOSE(CONTROL!$C$32, 0.0021, 0)</f>
        <v>277.80522059068301</v>
      </c>
    </row>
    <row r="585" spans="1:5" ht="15">
      <c r="A585" s="13">
        <v>58957</v>
      </c>
      <c r="B585" s="4">
        <f>44.5228 * CHOOSE(CONTROL!$C$13, $C$13, 100%, $E$13) + CHOOSE(CONTROL!$C$32, 0.0272, 0)</f>
        <v>44.55</v>
      </c>
      <c r="C585" s="4">
        <f>44.1595 * CHOOSE(CONTROL!$C$13, $C$13, 100%, $E$13) + CHOOSE(CONTROL!$C$32, 0.0272, 0)</f>
        <v>44.186700000000002</v>
      </c>
      <c r="D585" s="4">
        <f>56.6597 * CHOOSE(CONTROL!$C$13, $C$13, 100%, $E$13) + CHOOSE(CONTROL!$C$32, 0.0021, 0)</f>
        <v>56.661799999999999</v>
      </c>
      <c r="E585" s="4">
        <f>284.455208001606 * CHOOSE(CONTROL!$C$13, $C$13, 100%, $E$13) + CHOOSE(CONTROL!$C$32, 0.0021, 0)</f>
        <v>284.45730800160601</v>
      </c>
    </row>
    <row r="586" spans="1:5" ht="15">
      <c r="A586" s="13">
        <v>58987</v>
      </c>
      <c r="B586" s="4">
        <f>44.6612 * CHOOSE(CONTROL!$C$13, $C$13, 100%, $E$13) + CHOOSE(CONTROL!$C$32, 0.0272, 0)</f>
        <v>44.688400000000001</v>
      </c>
      <c r="C586" s="4">
        <f>44.2979 * CHOOSE(CONTROL!$C$13, $C$13, 100%, $E$13) + CHOOSE(CONTROL!$C$32, 0.0272, 0)</f>
        <v>44.325099999999999</v>
      </c>
      <c r="D586" s="4">
        <f>57.1655 * CHOOSE(CONTROL!$C$13, $C$13, 100%, $E$13) + CHOOSE(CONTROL!$C$32, 0.0021, 0)</f>
        <v>57.1676</v>
      </c>
      <c r="E586" s="4">
        <f>285.355263035034 * CHOOSE(CONTROL!$C$13, $C$13, 100%, $E$13) + CHOOSE(CONTROL!$C$32, 0.0021, 0)</f>
        <v>285.35736303503398</v>
      </c>
    </row>
    <row r="587" spans="1:5" ht="15">
      <c r="A587" s="13">
        <v>59018</v>
      </c>
      <c r="B587" s="4">
        <f>44.6472 * CHOOSE(CONTROL!$C$13, $C$13, 100%, $E$13) + CHOOSE(CONTROL!$C$32, 0.0272, 0)</f>
        <v>44.674399999999999</v>
      </c>
      <c r="C587" s="4">
        <f>44.284 * CHOOSE(CONTROL!$C$13, $C$13, 100%, $E$13) + CHOOSE(CONTROL!$C$32, 0.0272, 0)</f>
        <v>44.311199999999999</v>
      </c>
      <c r="D587" s="4">
        <f>58.0782 * CHOOSE(CONTROL!$C$13, $C$13, 100%, $E$13) + CHOOSE(CONTROL!$C$32, 0.0021, 0)</f>
        <v>58.080300000000001</v>
      </c>
      <c r="E587" s="4">
        <f>285.264501182924 * CHOOSE(CONTROL!$C$13, $C$13, 100%, $E$13) + CHOOSE(CONTROL!$C$32, 0.0021, 0)</f>
        <v>285.26660118292398</v>
      </c>
    </row>
    <row r="588" spans="1:5" ht="15">
      <c r="A588" s="13">
        <v>59049</v>
      </c>
      <c r="B588" s="4">
        <f>45.6977 * CHOOSE(CONTROL!$C$13, $C$13, 100%, $E$13) + CHOOSE(CONTROL!$C$32, 0.0272, 0)</f>
        <v>45.724899999999998</v>
      </c>
      <c r="C588" s="4">
        <f>45.3344 * CHOOSE(CONTROL!$C$13, $C$13, 100%, $E$13) + CHOOSE(CONTROL!$C$32, 0.0272, 0)</f>
        <v>45.361600000000003</v>
      </c>
      <c r="D588" s="4">
        <f>57.4755 * CHOOSE(CONTROL!$C$13, $C$13, 100%, $E$13) + CHOOSE(CONTROL!$C$32, 0.0021, 0)</f>
        <v>57.477599999999995</v>
      </c>
      <c r="E588" s="4">
        <f>292.09433055423 * CHOOSE(CONTROL!$C$13, $C$13, 100%, $E$13) + CHOOSE(CONTROL!$C$32, 0.0021, 0)</f>
        <v>292.09643055422998</v>
      </c>
    </row>
    <row r="589" spans="1:5" ht="15">
      <c r="A589" s="13">
        <v>59079</v>
      </c>
      <c r="B589" s="4">
        <f>43.9074 * CHOOSE(CONTROL!$C$13, $C$13, 100%, $E$13) + CHOOSE(CONTROL!$C$32, 0.0272, 0)</f>
        <v>43.934600000000003</v>
      </c>
      <c r="C589" s="4">
        <f>43.5441 * CHOOSE(CONTROL!$C$13, $C$13, 100%, $E$13) + CHOOSE(CONTROL!$C$32, 0.0272, 0)</f>
        <v>43.571300000000001</v>
      </c>
      <c r="D589" s="4">
        <f>57.1907 * CHOOSE(CONTROL!$C$13, $C$13, 100%, $E$13) + CHOOSE(CONTROL!$C$32, 0.0021, 0)</f>
        <v>57.192799999999998</v>
      </c>
      <c r="E589" s="4">
        <f>280.454123021074 * CHOOSE(CONTROL!$C$13, $C$13, 100%, $E$13) + CHOOSE(CONTROL!$C$32, 0.0021, 0)</f>
        <v>280.45622302107398</v>
      </c>
    </row>
    <row r="590" spans="1:5" ht="15">
      <c r="A590" s="13">
        <v>59110</v>
      </c>
      <c r="B590" s="4">
        <f>42.4743 * CHOOSE(CONTROL!$C$13, $C$13, 100%, $E$13) + CHOOSE(CONTROL!$C$32, 0.0272, 0)</f>
        <v>42.5015</v>
      </c>
      <c r="C590" s="4">
        <f>42.111 * CHOOSE(CONTROL!$C$13, $C$13, 100%, $E$13) + CHOOSE(CONTROL!$C$32, 0.0272, 0)</f>
        <v>42.138199999999998</v>
      </c>
      <c r="D590" s="4">
        <f>56.4282 * CHOOSE(CONTROL!$C$13, $C$13, 100%, $E$13) + CHOOSE(CONTROL!$C$32, 0.0021, 0)</f>
        <v>56.430299999999995</v>
      </c>
      <c r="E590" s="4">
        <f>271.135906204408 * CHOOSE(CONTROL!$C$13, $C$13, 100%, $E$13) + CHOOSE(CONTROL!$C$32, 0.0021, 0)</f>
        <v>271.13800620440799</v>
      </c>
    </row>
    <row r="591" spans="1:5" ht="15">
      <c r="A591" s="13">
        <v>59140</v>
      </c>
      <c r="B591" s="4">
        <f>41.5512 * CHOOSE(CONTROL!$C$13, $C$13, 100%, $E$13) + CHOOSE(CONTROL!$C$32, 0.0272, 0)</f>
        <v>41.578400000000002</v>
      </c>
      <c r="C591" s="4">
        <f>41.1879 * CHOOSE(CONTROL!$C$13, $C$13, 100%, $E$13) + CHOOSE(CONTROL!$C$32, 0.0272, 0)</f>
        <v>41.2151</v>
      </c>
      <c r="D591" s="4">
        <f>56.166 * CHOOSE(CONTROL!$C$13, $C$13, 100%, $E$13) + CHOOSE(CONTROL!$C$32, 0.0021, 0)</f>
        <v>56.168099999999995</v>
      </c>
      <c r="E591" s="4">
        <f>265.134278733609 * CHOOSE(CONTROL!$C$13, $C$13, 100%, $E$13) + CHOOSE(CONTROL!$C$32, 0.0021, 0)</f>
        <v>265.13637873360898</v>
      </c>
    </row>
    <row r="592" spans="1:5" ht="15">
      <c r="A592" s="13">
        <v>59171</v>
      </c>
      <c r="B592" s="4">
        <f>40.9126 * CHOOSE(CONTROL!$C$13, $C$13, 100%, $E$13) + CHOOSE(CONTROL!$C$32, 0.0272, 0)</f>
        <v>40.939799999999998</v>
      </c>
      <c r="C592" s="4">
        <f>40.5493 * CHOOSE(CONTROL!$C$13, $C$13, 100%, $E$13) + CHOOSE(CONTROL!$C$32, 0.0272, 0)</f>
        <v>40.576500000000003</v>
      </c>
      <c r="D592" s="4">
        <f>54.2361 * CHOOSE(CONTROL!$C$13, $C$13, 100%, $E$13) + CHOOSE(CONTROL!$C$32, 0.0021, 0)</f>
        <v>54.238199999999999</v>
      </c>
      <c r="E592" s="4">
        <f>260.981923999559 * CHOOSE(CONTROL!$C$13, $C$13, 100%, $E$13) + CHOOSE(CONTROL!$C$32, 0.0021, 0)</f>
        <v>260.98402399955899</v>
      </c>
    </row>
    <row r="593" spans="1:5" ht="15">
      <c r="A593" s="13">
        <v>59202</v>
      </c>
      <c r="B593" s="4">
        <f>39.2387 * CHOOSE(CONTROL!$C$13, $C$13, 100%, $E$13) + CHOOSE(CONTROL!$C$32, 0.0272, 0)</f>
        <v>39.265900000000002</v>
      </c>
      <c r="C593" s="4">
        <f>38.8754 * CHOOSE(CONTROL!$C$13, $C$13, 100%, $E$13) + CHOOSE(CONTROL!$C$32, 0.0272, 0)</f>
        <v>38.9026</v>
      </c>
      <c r="D593" s="4">
        <f>52.0141 * CHOOSE(CONTROL!$C$13, $C$13, 100%, $E$13) + CHOOSE(CONTROL!$C$32, 0.0021, 0)</f>
        <v>52.016199999999998</v>
      </c>
      <c r="E593" s="4">
        <f>250.110966388386 * CHOOSE(CONTROL!$C$13, $C$13, 100%, $E$13) + CHOOSE(CONTROL!$C$32, 0.0021, 0)</f>
        <v>250.11306638838602</v>
      </c>
    </row>
    <row r="594" spans="1:5" ht="15">
      <c r="A594" s="13">
        <v>59230</v>
      </c>
      <c r="B594" s="4">
        <f>40.152 * CHOOSE(CONTROL!$C$13, $C$13, 100%, $E$13) + CHOOSE(CONTROL!$C$32, 0.0272, 0)</f>
        <v>40.179200000000002</v>
      </c>
      <c r="C594" s="4">
        <f>39.7888 * CHOOSE(CONTROL!$C$13, $C$13, 100%, $E$13) + CHOOSE(CONTROL!$C$32, 0.0272, 0)</f>
        <v>39.816000000000003</v>
      </c>
      <c r="D594" s="4">
        <f>53.7845 * CHOOSE(CONTROL!$C$13, $C$13, 100%, $E$13) + CHOOSE(CONTROL!$C$32, 0.0021, 0)</f>
        <v>53.7866</v>
      </c>
      <c r="E594" s="4">
        <f>256.049586395115 * CHOOSE(CONTROL!$C$13, $C$13, 100%, $E$13) + CHOOSE(CONTROL!$C$32, 0.0021, 0)</f>
        <v>256.05168639511498</v>
      </c>
    </row>
    <row r="595" spans="1:5" ht="15">
      <c r="A595" s="13">
        <v>59261</v>
      </c>
      <c r="B595" s="4">
        <f>42.5505 * CHOOSE(CONTROL!$C$13, $C$13, 100%, $E$13) + CHOOSE(CONTROL!$C$32, 0.0272, 0)</f>
        <v>42.5777</v>
      </c>
      <c r="C595" s="4">
        <f>42.1872 * CHOOSE(CONTROL!$C$13, $C$13, 100%, $E$13) + CHOOSE(CONTROL!$C$32, 0.0272, 0)</f>
        <v>42.214399999999998</v>
      </c>
      <c r="D595" s="4">
        <f>56.556 * CHOOSE(CONTROL!$C$13, $C$13, 100%, $E$13) + CHOOSE(CONTROL!$C$32, 0.0021, 0)</f>
        <v>56.558099999999996</v>
      </c>
      <c r="E595" s="4">
        <f>271.644718130219 * CHOOSE(CONTROL!$C$13, $C$13, 100%, $E$13) + CHOOSE(CONTROL!$C$32, 0.0021, 0)</f>
        <v>271.646818130219</v>
      </c>
    </row>
    <row r="596" spans="1:5" ht="15">
      <c r="A596" s="13">
        <v>59291</v>
      </c>
      <c r="B596" s="4">
        <f>44.2546 * CHOOSE(CONTROL!$C$13, $C$13, 100%, $E$13) + CHOOSE(CONTROL!$C$32, 0.0272, 0)</f>
        <v>44.281800000000004</v>
      </c>
      <c r="C596" s="4">
        <f>43.8913 * CHOOSE(CONTROL!$C$13, $C$13, 100%, $E$13) + CHOOSE(CONTROL!$C$32, 0.0272, 0)</f>
        <v>43.918500000000002</v>
      </c>
      <c r="D596" s="4">
        <f>58.1524 * CHOOSE(CONTROL!$C$13, $C$13, 100%, $E$13) + CHOOSE(CONTROL!$C$32, 0.0021, 0)</f>
        <v>58.154499999999999</v>
      </c>
      <c r="E596" s="4">
        <f>282.725267060467 * CHOOSE(CONTROL!$C$13, $C$13, 100%, $E$13) + CHOOSE(CONTROL!$C$32, 0.0021, 0)</f>
        <v>282.72736706046697</v>
      </c>
    </row>
    <row r="597" spans="1:5" ht="15">
      <c r="A597" s="13">
        <v>59322</v>
      </c>
      <c r="B597" s="4">
        <f>45.2957 * CHOOSE(CONTROL!$C$13, $C$13, 100%, $E$13) + CHOOSE(CONTROL!$C$32, 0.0272, 0)</f>
        <v>45.322899999999997</v>
      </c>
      <c r="C597" s="4">
        <f>44.9325 * CHOOSE(CONTROL!$C$13, $C$13, 100%, $E$13) + CHOOSE(CONTROL!$C$32, 0.0272, 0)</f>
        <v>44.959699999999998</v>
      </c>
      <c r="D597" s="4">
        <f>57.5216 * CHOOSE(CONTROL!$C$13, $C$13, 100%, $E$13) + CHOOSE(CONTROL!$C$32, 0.0021, 0)</f>
        <v>57.523699999999998</v>
      </c>
      <c r="E597" s="4">
        <f>289.495216893154 * CHOOSE(CONTROL!$C$13, $C$13, 100%, $E$13) + CHOOSE(CONTROL!$C$32, 0.0021, 0)</f>
        <v>289.49731689315399</v>
      </c>
    </row>
    <row r="598" spans="1:5" ht="15">
      <c r="A598" s="13">
        <v>59352</v>
      </c>
      <c r="B598" s="4">
        <f>45.4366 * CHOOSE(CONTROL!$C$13, $C$13, 100%, $E$13) + CHOOSE(CONTROL!$C$32, 0.0272, 0)</f>
        <v>45.463799999999999</v>
      </c>
      <c r="C598" s="4">
        <f>45.0733 * CHOOSE(CONTROL!$C$13, $C$13, 100%, $E$13) + CHOOSE(CONTROL!$C$32, 0.0272, 0)</f>
        <v>45.100500000000004</v>
      </c>
      <c r="D598" s="4">
        <f>58.0353 * CHOOSE(CONTROL!$C$13, $C$13, 100%, $E$13) + CHOOSE(CONTROL!$C$32, 0.0021, 0)</f>
        <v>58.037399999999998</v>
      </c>
      <c r="E598" s="4">
        <f>290.411219201386 * CHOOSE(CONTROL!$C$13, $C$13, 100%, $E$13) + CHOOSE(CONTROL!$C$32, 0.0021, 0)</f>
        <v>290.413319201386</v>
      </c>
    </row>
    <row r="599" spans="1:5" ht="15">
      <c r="A599" s="13">
        <v>59383</v>
      </c>
      <c r="B599" s="4">
        <f>45.4224 * CHOOSE(CONTROL!$C$13, $C$13, 100%, $E$13) + CHOOSE(CONTROL!$C$32, 0.0272, 0)</f>
        <v>45.449600000000004</v>
      </c>
      <c r="C599" s="4">
        <f>45.0591 * CHOOSE(CONTROL!$C$13, $C$13, 100%, $E$13) + CHOOSE(CONTROL!$C$32, 0.0272, 0)</f>
        <v>45.086300000000001</v>
      </c>
      <c r="D599" s="4">
        <f>58.9624 * CHOOSE(CONTROL!$C$13, $C$13, 100%, $E$13) + CHOOSE(CONTROL!$C$32, 0.0021, 0)</f>
        <v>58.964500000000001</v>
      </c>
      <c r="E599" s="4">
        <f>290.318849220724 * CHOOSE(CONTROL!$C$13, $C$13, 100%, $E$13) + CHOOSE(CONTROL!$C$32, 0.0021, 0)</f>
        <v>290.320949220724</v>
      </c>
    </row>
    <row r="600" spans="1:5" ht="15">
      <c r="A600" s="13">
        <v>59414</v>
      </c>
      <c r="B600" s="4">
        <f>46.4914 * CHOOSE(CONTROL!$C$13, $C$13, 100%, $E$13) + CHOOSE(CONTROL!$C$32, 0.0272, 0)</f>
        <v>46.518599999999999</v>
      </c>
      <c r="C600" s="4">
        <f>46.1281 * CHOOSE(CONTROL!$C$13, $C$13, 100%, $E$13) + CHOOSE(CONTROL!$C$32, 0.0272, 0)</f>
        <v>46.155300000000004</v>
      </c>
      <c r="D600" s="4">
        <f>58.3502 * CHOOSE(CONTROL!$C$13, $C$13, 100%, $E$13) + CHOOSE(CONTROL!$C$32, 0.0021, 0)</f>
        <v>58.3523</v>
      </c>
      <c r="E600" s="4">
        <f>297.269690265541 * CHOOSE(CONTROL!$C$13, $C$13, 100%, $E$13) + CHOOSE(CONTROL!$C$32, 0.0021, 0)</f>
        <v>297.27179026554097</v>
      </c>
    </row>
    <row r="601" spans="1:5" ht="15">
      <c r="A601" s="13">
        <v>59444</v>
      </c>
      <c r="B601" s="4">
        <f>44.6695 * CHOOSE(CONTROL!$C$13, $C$13, 100%, $E$13) + CHOOSE(CONTROL!$C$32, 0.0272, 0)</f>
        <v>44.6967</v>
      </c>
      <c r="C601" s="4">
        <f>44.3062 * CHOOSE(CONTROL!$C$13, $C$13, 100%, $E$13) + CHOOSE(CONTROL!$C$32, 0.0272, 0)</f>
        <v>44.333399999999997</v>
      </c>
      <c r="D601" s="4">
        <f>58.0609 * CHOOSE(CONTROL!$C$13, $C$13, 100%, $E$13) + CHOOSE(CONTROL!$C$32, 0.0021, 0)</f>
        <v>58.062999999999995</v>
      </c>
      <c r="E601" s="4">
        <f>285.423240245637 * CHOOSE(CONTROL!$C$13, $C$13, 100%, $E$13) + CHOOSE(CONTROL!$C$32, 0.0021, 0)</f>
        <v>285.42534024563696</v>
      </c>
    </row>
    <row r="602" spans="1:5" ht="15">
      <c r="A602" s="13">
        <v>59475</v>
      </c>
      <c r="B602" s="4">
        <f>43.211 * CHOOSE(CONTROL!$C$13, $C$13, 100%, $E$13) + CHOOSE(CONTROL!$C$32, 0.0272, 0)</f>
        <v>43.238199999999999</v>
      </c>
      <c r="C602" s="4">
        <f>42.8478 * CHOOSE(CONTROL!$C$13, $C$13, 100%, $E$13) + CHOOSE(CONTROL!$C$32, 0.0272, 0)</f>
        <v>42.875</v>
      </c>
      <c r="D602" s="4">
        <f>57.2864 * CHOOSE(CONTROL!$C$13, $C$13, 100%, $E$13) + CHOOSE(CONTROL!$C$32, 0.0021, 0)</f>
        <v>57.288499999999999</v>
      </c>
      <c r="E602" s="4">
        <f>275.939922231003 * CHOOSE(CONTROL!$C$13, $C$13, 100%, $E$13) + CHOOSE(CONTROL!$C$32, 0.0021, 0)</f>
        <v>275.94202223100297</v>
      </c>
    </row>
    <row r="603" spans="1:5" ht="15">
      <c r="A603" s="13">
        <v>59505</v>
      </c>
      <c r="B603" s="4">
        <f>42.2717 * CHOOSE(CONTROL!$C$13, $C$13, 100%, $E$13) + CHOOSE(CONTROL!$C$32, 0.0272, 0)</f>
        <v>42.298900000000003</v>
      </c>
      <c r="C603" s="4">
        <f>41.9084 * CHOOSE(CONTROL!$C$13, $C$13, 100%, $E$13) + CHOOSE(CONTROL!$C$32, 0.0272, 0)</f>
        <v>41.935600000000001</v>
      </c>
      <c r="D603" s="4">
        <f>57.0201 * CHOOSE(CONTROL!$C$13, $C$13, 100%, $E$13) + CHOOSE(CONTROL!$C$32, 0.0021, 0)</f>
        <v>57.022199999999998</v>
      </c>
      <c r="E603" s="4">
        <f>269.831957259727 * CHOOSE(CONTROL!$C$13, $C$13, 100%, $E$13) + CHOOSE(CONTROL!$C$32, 0.0021, 0)</f>
        <v>269.83405725972699</v>
      </c>
    </row>
    <row r="604" spans="1:5" ht="15">
      <c r="A604" s="13">
        <v>59536</v>
      </c>
      <c r="B604" s="4">
        <f>41.6218 * CHOOSE(CONTROL!$C$13, $C$13, 100%, $E$13) + CHOOSE(CONTROL!$C$32, 0.0272, 0)</f>
        <v>41.649000000000001</v>
      </c>
      <c r="C604" s="4">
        <f>41.2585 * CHOOSE(CONTROL!$C$13, $C$13, 100%, $E$13) + CHOOSE(CONTROL!$C$32, 0.0272, 0)</f>
        <v>41.285699999999999</v>
      </c>
      <c r="D604" s="4">
        <f>55.0598 * CHOOSE(CONTROL!$C$13, $C$13, 100%, $E$13) + CHOOSE(CONTROL!$C$32, 0.0021, 0)</f>
        <v>55.061900000000001</v>
      </c>
      <c r="E604" s="4">
        <f>265.60603064444 * CHOOSE(CONTROL!$C$13, $C$13, 100%, $E$13) + CHOOSE(CONTROL!$C$32, 0.0021, 0)</f>
        <v>265.60813064444</v>
      </c>
    </row>
    <row r="605" spans="1:5" ht="15">
      <c r="A605" s="13">
        <v>59567</v>
      </c>
      <c r="B605" s="4">
        <f>39.9183 * CHOOSE(CONTROL!$C$13, $C$13, 100%, $E$13) + CHOOSE(CONTROL!$C$32, 0.0272, 0)</f>
        <v>39.945500000000003</v>
      </c>
      <c r="C605" s="4">
        <f>39.5551 * CHOOSE(CONTROL!$C$13, $C$13, 100%, $E$13) + CHOOSE(CONTROL!$C$32, 0.0272, 0)</f>
        <v>39.582300000000004</v>
      </c>
      <c r="D605" s="4">
        <f>52.8029 * CHOOSE(CONTROL!$C$13, $C$13, 100%, $E$13) + CHOOSE(CONTROL!$C$32, 0.0021, 0)</f>
        <v>52.805</v>
      </c>
      <c r="E605" s="4">
        <f>254.542460201866 * CHOOSE(CONTROL!$C$13, $C$13, 100%, $E$13) + CHOOSE(CONTROL!$C$32, 0.0021, 0)</f>
        <v>254.54456020186601</v>
      </c>
    </row>
    <row r="606" spans="1:5" ht="15">
      <c r="A606" s="13">
        <v>59595</v>
      </c>
      <c r="B606" s="4">
        <f>40.8478 * CHOOSE(CONTROL!$C$13, $C$13, 100%, $E$13) + CHOOSE(CONTROL!$C$32, 0.0272, 0)</f>
        <v>40.875</v>
      </c>
      <c r="C606" s="4">
        <f>40.4845 * CHOOSE(CONTROL!$C$13, $C$13, 100%, $E$13) + CHOOSE(CONTROL!$C$32, 0.0272, 0)</f>
        <v>40.511699999999998</v>
      </c>
      <c r="D606" s="4">
        <f>54.6011 * CHOOSE(CONTROL!$C$13, $C$13, 100%, $E$13) + CHOOSE(CONTROL!$C$32, 0.0021, 0)</f>
        <v>54.603200000000001</v>
      </c>
      <c r="E606" s="4">
        <f>260.586301335843 * CHOOSE(CONTROL!$C$13, $C$13, 100%, $E$13) + CHOOSE(CONTROL!$C$32, 0.0021, 0)</f>
        <v>260.588401335843</v>
      </c>
    </row>
    <row r="607" spans="1:5" ht="15">
      <c r="A607" s="13">
        <v>59626</v>
      </c>
      <c r="B607" s="4">
        <f>43.2886 * CHOOSE(CONTROL!$C$13, $C$13, 100%, $E$13) + CHOOSE(CONTROL!$C$32, 0.0272, 0)</f>
        <v>43.315800000000003</v>
      </c>
      <c r="C607" s="4">
        <f>42.9253 * CHOOSE(CONTROL!$C$13, $C$13, 100%, $E$13) + CHOOSE(CONTROL!$C$32, 0.0272, 0)</f>
        <v>42.952500000000001</v>
      </c>
      <c r="D607" s="4">
        <f>57.4162 * CHOOSE(CONTROL!$C$13, $C$13, 100%, $E$13) + CHOOSE(CONTROL!$C$32, 0.0021, 0)</f>
        <v>57.418300000000002</v>
      </c>
      <c r="E607" s="4">
        <f>276.45774934289 * CHOOSE(CONTROL!$C$13, $C$13, 100%, $E$13) + CHOOSE(CONTROL!$C$32, 0.0021, 0)</f>
        <v>276.45984934288998</v>
      </c>
    </row>
    <row r="608" spans="1:5" ht="15">
      <c r="A608" s="13">
        <v>59656</v>
      </c>
      <c r="B608" s="4">
        <f>45.0228 * CHOOSE(CONTROL!$C$13, $C$13, 100%, $E$13) + CHOOSE(CONTROL!$C$32, 0.0272, 0)</f>
        <v>45.05</v>
      </c>
      <c r="C608" s="4">
        <f>44.6595 * CHOOSE(CONTROL!$C$13, $C$13, 100%, $E$13) + CHOOSE(CONTROL!$C$32, 0.0272, 0)</f>
        <v>44.686700000000002</v>
      </c>
      <c r="D608" s="4">
        <f>59.0377 * CHOOSE(CONTROL!$C$13, $C$13, 100%, $E$13) + CHOOSE(CONTROL!$C$32, 0.0021, 0)</f>
        <v>59.0398</v>
      </c>
      <c r="E608" s="4">
        <f>287.734624666752 * CHOOSE(CONTROL!$C$13, $C$13, 100%, $E$13) + CHOOSE(CONTROL!$C$32, 0.0021, 0)</f>
        <v>287.73672466675197</v>
      </c>
    </row>
    <row r="609" spans="1:5" ht="15">
      <c r="A609" s="13">
        <v>59687</v>
      </c>
      <c r="B609" s="4">
        <f>46.0824 * CHOOSE(CONTROL!$C$13, $C$13, 100%, $E$13) + CHOOSE(CONTROL!$C$32, 0.0272, 0)</f>
        <v>46.1096</v>
      </c>
      <c r="C609" s="4">
        <f>45.7191 * CHOOSE(CONTROL!$C$13, $C$13, 100%, $E$13) + CHOOSE(CONTROL!$C$32, 0.0272, 0)</f>
        <v>45.746299999999998</v>
      </c>
      <c r="D609" s="4">
        <f>58.397 * CHOOSE(CONTROL!$C$13, $C$13, 100%, $E$13) + CHOOSE(CONTROL!$C$32, 0.0021, 0)</f>
        <v>58.399099999999997</v>
      </c>
      <c r="E609" s="4">
        <f>294.62452522065 * CHOOSE(CONTROL!$C$13, $C$13, 100%, $E$13) + CHOOSE(CONTROL!$C$32, 0.0021, 0)</f>
        <v>294.62662522065</v>
      </c>
    </row>
    <row r="610" spans="1:5" ht="15">
      <c r="A610" s="13">
        <v>59717</v>
      </c>
      <c r="B610" s="4">
        <f>46.2257 * CHOOSE(CONTROL!$C$13, $C$13, 100%, $E$13) + CHOOSE(CONTROL!$C$32, 0.0272, 0)</f>
        <v>46.252900000000004</v>
      </c>
      <c r="C610" s="4">
        <f>45.8625 * CHOOSE(CONTROL!$C$13, $C$13, 100%, $E$13) + CHOOSE(CONTROL!$C$32, 0.0272, 0)</f>
        <v>45.889699999999998</v>
      </c>
      <c r="D610" s="4">
        <f>58.9188 * CHOOSE(CONTROL!$C$13, $C$13, 100%, $E$13) + CHOOSE(CONTROL!$C$32, 0.0021, 0)</f>
        <v>58.920899999999996</v>
      </c>
      <c r="E610" s="4">
        <f>295.556757359267 * CHOOSE(CONTROL!$C$13, $C$13, 100%, $E$13) + CHOOSE(CONTROL!$C$32, 0.0021, 0)</f>
        <v>295.55885735926699</v>
      </c>
    </row>
    <row r="611" spans="1:5" ht="15">
      <c r="A611" s="13">
        <v>59748</v>
      </c>
      <c r="B611" s="4">
        <f>46.2113 * CHOOSE(CONTROL!$C$13, $C$13, 100%, $E$13) + CHOOSE(CONTROL!$C$32, 0.0272, 0)</f>
        <v>46.238500000000002</v>
      </c>
      <c r="C611" s="4">
        <f>45.848 * CHOOSE(CONTROL!$C$13, $C$13, 100%, $E$13) + CHOOSE(CONTROL!$C$32, 0.0272, 0)</f>
        <v>45.8752</v>
      </c>
      <c r="D611" s="4">
        <f>59.8604 * CHOOSE(CONTROL!$C$13, $C$13, 100%, $E$13) + CHOOSE(CONTROL!$C$32, 0.0021, 0)</f>
        <v>59.862499999999997</v>
      </c>
      <c r="E611" s="4">
        <f>295.462750757054 * CHOOSE(CONTROL!$C$13, $C$13, 100%, $E$13) + CHOOSE(CONTROL!$C$32, 0.0021, 0)</f>
        <v>295.46485075705397</v>
      </c>
    </row>
    <row r="612" spans="1:5" ht="15">
      <c r="A612" s="13">
        <v>59779</v>
      </c>
      <c r="B612" s="4">
        <f>47.2992 * CHOOSE(CONTROL!$C$13, $C$13, 100%, $E$13) + CHOOSE(CONTROL!$C$32, 0.0272, 0)</f>
        <v>47.3264</v>
      </c>
      <c r="C612" s="4">
        <f>46.9359 * CHOOSE(CONTROL!$C$13, $C$13, 100%, $E$13) + CHOOSE(CONTROL!$C$32, 0.0272, 0)</f>
        <v>46.963099999999997</v>
      </c>
      <c r="D612" s="4">
        <f>59.2386 * CHOOSE(CONTROL!$C$13, $C$13, 100%, $E$13) + CHOOSE(CONTROL!$C$32, 0.0021, 0)</f>
        <v>59.240699999999997</v>
      </c>
      <c r="E612" s="4">
        <f>302.53674757362 * CHOOSE(CONTROL!$C$13, $C$13, 100%, $E$13) + CHOOSE(CONTROL!$C$32, 0.0021, 0)</f>
        <v>302.53884757361999</v>
      </c>
    </row>
    <row r="613" spans="1:5" ht="15">
      <c r="A613" s="13">
        <v>59809</v>
      </c>
      <c r="B613" s="4">
        <f>45.4451 * CHOOSE(CONTROL!$C$13, $C$13, 100%, $E$13) + CHOOSE(CONTROL!$C$32, 0.0272, 0)</f>
        <v>45.472299999999997</v>
      </c>
      <c r="C613" s="4">
        <f>45.0818 * CHOOSE(CONTROL!$C$13, $C$13, 100%, $E$13) + CHOOSE(CONTROL!$C$32, 0.0272, 0)</f>
        <v>45.109000000000002</v>
      </c>
      <c r="D613" s="4">
        <f>58.9448 * CHOOSE(CONTROL!$C$13, $C$13, 100%, $E$13) + CHOOSE(CONTROL!$C$32, 0.0021, 0)</f>
        <v>58.946899999999999</v>
      </c>
      <c r="E613" s="4">
        <f>290.480400839738 * CHOOSE(CONTROL!$C$13, $C$13, 100%, $E$13) + CHOOSE(CONTROL!$C$32, 0.0021, 0)</f>
        <v>290.48250083973801</v>
      </c>
    </row>
    <row r="614" spans="1:5" ht="15">
      <c r="A614" s="13">
        <v>59840</v>
      </c>
      <c r="B614" s="4">
        <f>43.9608 * CHOOSE(CONTROL!$C$13, $C$13, 100%, $E$13) + CHOOSE(CONTROL!$C$32, 0.0272, 0)</f>
        <v>43.988</v>
      </c>
      <c r="C614" s="4">
        <f>43.5976 * CHOOSE(CONTROL!$C$13, $C$13, 100%, $E$13) + CHOOSE(CONTROL!$C$32, 0.0272, 0)</f>
        <v>43.6248</v>
      </c>
      <c r="D614" s="4">
        <f>58.1581 * CHOOSE(CONTROL!$C$13, $C$13, 100%, $E$13) + CHOOSE(CONTROL!$C$32, 0.0021, 0)</f>
        <v>58.160199999999996</v>
      </c>
      <c r="E614" s="4">
        <f>280.829056345818 * CHOOSE(CONTROL!$C$13, $C$13, 100%, $E$13) + CHOOSE(CONTROL!$C$32, 0.0021, 0)</f>
        <v>280.83115634581799</v>
      </c>
    </row>
    <row r="615" spans="1:5" ht="15">
      <c r="A615" s="13">
        <v>59870</v>
      </c>
      <c r="B615" s="4">
        <f>43.0049 * CHOOSE(CONTROL!$C$13, $C$13, 100%, $E$13) + CHOOSE(CONTROL!$C$32, 0.0272, 0)</f>
        <v>43.0321</v>
      </c>
      <c r="C615" s="4">
        <f>42.6416 * CHOOSE(CONTROL!$C$13, $C$13, 100%, $E$13) + CHOOSE(CONTROL!$C$32, 0.0272, 0)</f>
        <v>42.668799999999997</v>
      </c>
      <c r="D615" s="4">
        <f>57.8876 * CHOOSE(CONTROL!$C$13, $C$13, 100%, $E$13) + CHOOSE(CONTROL!$C$32, 0.0021, 0)</f>
        <v>57.889699999999998</v>
      </c>
      <c r="E615" s="4">
        <f>274.61286977445 * CHOOSE(CONTROL!$C$13, $C$13, 100%, $E$13) + CHOOSE(CONTROL!$C$32, 0.0021, 0)</f>
        <v>274.61496977445</v>
      </c>
    </row>
    <row r="616" spans="1:5" ht="15">
      <c r="A616" s="13">
        <v>59901</v>
      </c>
      <c r="B616" s="4">
        <f>42.3435 * CHOOSE(CONTROL!$C$13, $C$13, 100%, $E$13) + CHOOSE(CONTROL!$C$32, 0.0272, 0)</f>
        <v>42.370699999999999</v>
      </c>
      <c r="C616" s="4">
        <f>41.9802 * CHOOSE(CONTROL!$C$13, $C$13, 100%, $E$13) + CHOOSE(CONTROL!$C$32, 0.0272, 0)</f>
        <v>42.007400000000004</v>
      </c>
      <c r="D616" s="4">
        <f>55.8965 * CHOOSE(CONTROL!$C$13, $C$13, 100%, $E$13) + CHOOSE(CONTROL!$C$32, 0.0021, 0)</f>
        <v>55.898600000000002</v>
      </c>
      <c r="E616" s="4">
        <f>270.312067723182 * CHOOSE(CONTROL!$C$13, $C$13, 100%, $E$13) + CHOOSE(CONTROL!$C$32, 0.0021, 0)</f>
        <v>270.31416772318198</v>
      </c>
    </row>
    <row r="617" spans="1:5" ht="15">
      <c r="A617" s="13">
        <v>59932</v>
      </c>
      <c r="B617" s="4">
        <f>40.61 * CHOOSE(CONTROL!$C$13, $C$13, 100%, $E$13) + CHOOSE(CONTROL!$C$32, 0.0272, 0)</f>
        <v>40.6372</v>
      </c>
      <c r="C617" s="4">
        <f>40.2467 * CHOOSE(CONTROL!$C$13, $C$13, 100%, $E$13) + CHOOSE(CONTROL!$C$32, 0.0272, 0)</f>
        <v>40.273899999999998</v>
      </c>
      <c r="D617" s="4">
        <f>53.6041 * CHOOSE(CONTROL!$C$13, $C$13, 100%, $E$13) + CHOOSE(CONTROL!$C$32, 0.0021, 0)</f>
        <v>53.606200000000001</v>
      </c>
      <c r="E617" s="4">
        <f>259.052471713719 * CHOOSE(CONTROL!$C$13, $C$13, 100%, $E$13) + CHOOSE(CONTROL!$C$32, 0.0021, 0)</f>
        <v>259.05457171371899</v>
      </c>
    </row>
    <row r="618" spans="1:5" ht="15">
      <c r="A618" s="13">
        <v>59961</v>
      </c>
      <c r="B618" s="4">
        <f>41.5558 * CHOOSE(CONTROL!$C$13, $C$13, 100%, $E$13) + CHOOSE(CONTROL!$C$32, 0.0272, 0)</f>
        <v>41.582999999999998</v>
      </c>
      <c r="C618" s="4">
        <f>41.1926 * CHOOSE(CONTROL!$C$13, $C$13, 100%, $E$13) + CHOOSE(CONTROL!$C$32, 0.0272, 0)</f>
        <v>41.219799999999999</v>
      </c>
      <c r="D618" s="4">
        <f>55.4306 * CHOOSE(CONTROL!$C$13, $C$13, 100%, $E$13) + CHOOSE(CONTROL!$C$32, 0.0021, 0)</f>
        <v>55.432699999999997</v>
      </c>
      <c r="E618" s="4">
        <f>265.203398294535 * CHOOSE(CONTROL!$C$13, $C$13, 100%, $E$13) + CHOOSE(CONTROL!$C$32, 0.0021, 0)</f>
        <v>265.205498294535</v>
      </c>
    </row>
    <row r="619" spans="1:5" ht="15">
      <c r="A619" s="13">
        <v>59992</v>
      </c>
      <c r="B619" s="4">
        <f>44.0398 * CHOOSE(CONTROL!$C$13, $C$13, 100%, $E$13) + CHOOSE(CONTROL!$C$32, 0.0272, 0)</f>
        <v>44.067</v>
      </c>
      <c r="C619" s="4">
        <f>43.6765 * CHOOSE(CONTROL!$C$13, $C$13, 100%, $E$13) + CHOOSE(CONTROL!$C$32, 0.0272, 0)</f>
        <v>43.703699999999998</v>
      </c>
      <c r="D619" s="4">
        <f>58.2899 * CHOOSE(CONTROL!$C$13, $C$13, 100%, $E$13) + CHOOSE(CONTROL!$C$32, 0.0021, 0)</f>
        <v>58.292000000000002</v>
      </c>
      <c r="E619" s="4">
        <f>281.356058375846 * CHOOSE(CONTROL!$C$13, $C$13, 100%, $E$13) + CHOOSE(CONTROL!$C$32, 0.0021, 0)</f>
        <v>281.35815837584596</v>
      </c>
    </row>
    <row r="620" spans="1:5" ht="15">
      <c r="A620" s="13">
        <v>60022</v>
      </c>
      <c r="B620" s="4">
        <f>45.8046 * CHOOSE(CONTROL!$C$13, $C$13, 100%, $E$13) + CHOOSE(CONTROL!$C$32, 0.0272, 0)</f>
        <v>45.831800000000001</v>
      </c>
      <c r="C620" s="4">
        <f>45.4413 * CHOOSE(CONTROL!$C$13, $C$13, 100%, $E$13) + CHOOSE(CONTROL!$C$32, 0.0272, 0)</f>
        <v>45.468499999999999</v>
      </c>
      <c r="D620" s="4">
        <f>59.937 * CHOOSE(CONTROL!$C$13, $C$13, 100%, $E$13) + CHOOSE(CONTROL!$C$32, 0.0021, 0)</f>
        <v>59.939099999999996</v>
      </c>
      <c r="E620" s="4">
        <f>292.832738626116 * CHOOSE(CONTROL!$C$13, $C$13, 100%, $E$13) + CHOOSE(CONTROL!$C$32, 0.0021, 0)</f>
        <v>292.83483862611598</v>
      </c>
    </row>
    <row r="621" spans="1:5" ht="15">
      <c r="A621" s="13">
        <v>60053</v>
      </c>
      <c r="B621" s="4">
        <f>46.8829 * CHOOSE(CONTROL!$C$13, $C$13, 100%, $E$13) + CHOOSE(CONTROL!$C$32, 0.0272, 0)</f>
        <v>46.9101</v>
      </c>
      <c r="C621" s="4">
        <f>46.5196 * CHOOSE(CONTROL!$C$13, $C$13, 100%, $E$13) + CHOOSE(CONTROL!$C$32, 0.0272, 0)</f>
        <v>46.546799999999998</v>
      </c>
      <c r="D621" s="4">
        <f>59.2861 * CHOOSE(CONTROL!$C$13, $C$13, 100%, $E$13) + CHOOSE(CONTROL!$C$32, 0.0021, 0)</f>
        <v>59.288199999999996</v>
      </c>
      <c r="E621" s="4">
        <f>299.844715201393 * CHOOSE(CONTROL!$C$13, $C$13, 100%, $E$13) + CHOOSE(CONTROL!$C$32, 0.0021, 0)</f>
        <v>299.84681520139299</v>
      </c>
    </row>
    <row r="622" spans="1:5" ht="15">
      <c r="A622" s="13">
        <v>60083</v>
      </c>
      <c r="B622" s="4">
        <f>47.0288 * CHOOSE(CONTROL!$C$13, $C$13, 100%, $E$13) + CHOOSE(CONTROL!$C$32, 0.0272, 0)</f>
        <v>47.055999999999997</v>
      </c>
      <c r="C622" s="4">
        <f>46.6655 * CHOOSE(CONTROL!$C$13, $C$13, 100%, $E$13) + CHOOSE(CONTROL!$C$32, 0.0272, 0)</f>
        <v>46.692700000000002</v>
      </c>
      <c r="D622" s="4">
        <f>59.8162 * CHOOSE(CONTROL!$C$13, $C$13, 100%, $E$13) + CHOOSE(CONTROL!$C$32, 0.0021, 0)</f>
        <v>59.818300000000001</v>
      </c>
      <c r="E622" s="4">
        <f>300.793464732329 * CHOOSE(CONTROL!$C$13, $C$13, 100%, $E$13) + CHOOSE(CONTROL!$C$32, 0.0021, 0)</f>
        <v>300.79556473232901</v>
      </c>
    </row>
    <row r="623" spans="1:5" ht="15">
      <c r="A623" s="13">
        <v>60114</v>
      </c>
      <c r="B623" s="4">
        <f>47.0141 * CHOOSE(CONTROL!$C$13, $C$13, 100%, $E$13) + CHOOSE(CONTROL!$C$32, 0.0272, 0)</f>
        <v>47.0413</v>
      </c>
      <c r="C623" s="4">
        <f>46.6508 * CHOOSE(CONTROL!$C$13, $C$13, 100%, $E$13) + CHOOSE(CONTROL!$C$32, 0.0272, 0)</f>
        <v>46.677999999999997</v>
      </c>
      <c r="D623" s="4">
        <f>60.7726 * CHOOSE(CONTROL!$C$13, $C$13, 100%, $E$13) + CHOOSE(CONTROL!$C$32, 0.0021, 0)</f>
        <v>60.774699999999996</v>
      </c>
      <c r="E623" s="4">
        <f>300.697792510722 * CHOOSE(CONTROL!$C$13, $C$13, 100%, $E$13) + CHOOSE(CONTROL!$C$32, 0.0021, 0)</f>
        <v>300.69989251072201</v>
      </c>
    </row>
    <row r="624" spans="1:5" ht="15">
      <c r="A624" s="13">
        <v>60145</v>
      </c>
      <c r="B624" s="4">
        <f>48.1212 * CHOOSE(CONTROL!$C$13, $C$13, 100%, $E$13) + CHOOSE(CONTROL!$C$32, 0.0272, 0)</f>
        <v>48.148400000000002</v>
      </c>
      <c r="C624" s="4">
        <f>47.7579 * CHOOSE(CONTROL!$C$13, $C$13, 100%, $E$13) + CHOOSE(CONTROL!$C$32, 0.0272, 0)</f>
        <v>47.7851</v>
      </c>
      <c r="D624" s="4">
        <f>60.141 * CHOOSE(CONTROL!$C$13, $C$13, 100%, $E$13) + CHOOSE(CONTROL!$C$32, 0.0021, 0)</f>
        <v>60.143099999999997</v>
      </c>
      <c r="E624" s="4">
        <f>307.897127186647 * CHOOSE(CONTROL!$C$13, $C$13, 100%, $E$13) + CHOOSE(CONTROL!$C$32, 0.0021, 0)</f>
        <v>307.89922718664701</v>
      </c>
    </row>
    <row r="625" spans="1:5" ht="15">
      <c r="A625" s="13">
        <v>60175</v>
      </c>
      <c r="B625" s="4">
        <f>46.2343 * CHOOSE(CONTROL!$C$13, $C$13, 100%, $E$13) + CHOOSE(CONTROL!$C$32, 0.0272, 0)</f>
        <v>46.261499999999998</v>
      </c>
      <c r="C625" s="4">
        <f>45.8711 * CHOOSE(CONTROL!$C$13, $C$13, 100%, $E$13) + CHOOSE(CONTROL!$C$32, 0.0272, 0)</f>
        <v>45.898299999999999</v>
      </c>
      <c r="D625" s="4">
        <f>59.8426 * CHOOSE(CONTROL!$C$13, $C$13, 100%, $E$13) + CHOOSE(CONTROL!$C$32, 0.0021, 0)</f>
        <v>59.844699999999996</v>
      </c>
      <c r="E625" s="4">
        <f>295.627164765553 * CHOOSE(CONTROL!$C$13, $C$13, 100%, $E$13) + CHOOSE(CONTROL!$C$32, 0.0021, 0)</f>
        <v>295.62926476555299</v>
      </c>
    </row>
    <row r="626" spans="1:5" ht="15">
      <c r="A626" s="13">
        <v>60206</v>
      </c>
      <c r="B626" s="4">
        <f>44.7239 * CHOOSE(CONTROL!$C$13, $C$13, 100%, $E$13) + CHOOSE(CONTROL!$C$32, 0.0272, 0)</f>
        <v>44.751100000000001</v>
      </c>
      <c r="C626" s="4">
        <f>44.3606 * CHOOSE(CONTROL!$C$13, $C$13, 100%, $E$13) + CHOOSE(CONTROL!$C$32, 0.0272, 0)</f>
        <v>44.387799999999999</v>
      </c>
      <c r="D626" s="4">
        <f>59.0435 * CHOOSE(CONTROL!$C$13, $C$13, 100%, $E$13) + CHOOSE(CONTROL!$C$32, 0.0021, 0)</f>
        <v>59.0456</v>
      </c>
      <c r="E626" s="4">
        <f>285.80481668057 * CHOOSE(CONTROL!$C$13, $C$13, 100%, $E$13) + CHOOSE(CONTROL!$C$32, 0.0021, 0)</f>
        <v>285.80691668057</v>
      </c>
    </row>
    <row r="627" spans="1:5" ht="15">
      <c r="A627" s="13">
        <v>60236</v>
      </c>
      <c r="B627" s="4">
        <f>43.751 * CHOOSE(CONTROL!$C$13, $C$13, 100%, $E$13) + CHOOSE(CONTROL!$C$32, 0.0272, 0)</f>
        <v>43.778199999999998</v>
      </c>
      <c r="C627" s="4">
        <f>43.3878 * CHOOSE(CONTROL!$C$13, $C$13, 100%, $E$13) + CHOOSE(CONTROL!$C$32, 0.0272, 0)</f>
        <v>43.414999999999999</v>
      </c>
      <c r="D627" s="4">
        <f>58.7688 * CHOOSE(CONTROL!$C$13, $C$13, 100%, $E$13) + CHOOSE(CONTROL!$C$32, 0.0021, 0)</f>
        <v>58.770899999999997</v>
      </c>
      <c r="E627" s="4">
        <f>279.478491026809 * CHOOSE(CONTROL!$C$13, $C$13, 100%, $E$13) + CHOOSE(CONTROL!$C$32, 0.0021, 0)</f>
        <v>279.48059102680901</v>
      </c>
    </row>
    <row r="628" spans="1:5" ht="15">
      <c r="A628" s="13">
        <v>60267</v>
      </c>
      <c r="B628" s="4">
        <f>43.0779 * CHOOSE(CONTROL!$C$13, $C$13, 100%, $E$13) + CHOOSE(CONTROL!$C$32, 0.0272, 0)</f>
        <v>43.1051</v>
      </c>
      <c r="C628" s="4">
        <f>42.7147 * CHOOSE(CONTROL!$C$13, $C$13, 100%, $E$13) + CHOOSE(CONTROL!$C$32, 0.0272, 0)</f>
        <v>42.741900000000001</v>
      </c>
      <c r="D628" s="4">
        <f>56.7463 * CHOOSE(CONTROL!$C$13, $C$13, 100%, $E$13) + CHOOSE(CONTROL!$C$32, 0.0021, 0)</f>
        <v>56.748399999999997</v>
      </c>
      <c r="E628" s="4">
        <f>275.10148688829 * CHOOSE(CONTROL!$C$13, $C$13, 100%, $E$13) + CHOOSE(CONTROL!$C$32, 0.0021, 0)</f>
        <v>275.10358688829001</v>
      </c>
    </row>
    <row r="629" spans="1:5" ht="15">
      <c r="A629" s="13">
        <v>60298</v>
      </c>
      <c r="B629" s="4">
        <f>41.3138 * CHOOSE(CONTROL!$C$13, $C$13, 100%, $E$13) + CHOOSE(CONTROL!$C$32, 0.0272, 0)</f>
        <v>41.341000000000001</v>
      </c>
      <c r="C629" s="4">
        <f>40.9505 * CHOOSE(CONTROL!$C$13, $C$13, 100%, $E$13) + CHOOSE(CONTROL!$C$32, 0.0272, 0)</f>
        <v>40.977699999999999</v>
      </c>
      <c r="D629" s="4">
        <f>54.4179 * CHOOSE(CONTROL!$C$13, $C$13, 100%, $E$13) + CHOOSE(CONTROL!$C$32, 0.0021, 0)</f>
        <v>54.42</v>
      </c>
      <c r="E629" s="4">
        <f>263.642392109226 * CHOOSE(CONTROL!$C$13, $C$13, 100%, $E$13) + CHOOSE(CONTROL!$C$32, 0.0021, 0)</f>
        <v>263.64449210922601</v>
      </c>
    </row>
    <row r="630" spans="1:5" ht="15">
      <c r="A630" s="13">
        <v>60326</v>
      </c>
      <c r="B630" s="4">
        <f>42.2764 * CHOOSE(CONTROL!$C$13, $C$13, 100%, $E$13) + CHOOSE(CONTROL!$C$32, 0.0272, 0)</f>
        <v>42.303600000000003</v>
      </c>
      <c r="C630" s="4">
        <f>41.9131 * CHOOSE(CONTROL!$C$13, $C$13, 100%, $E$13) + CHOOSE(CONTROL!$C$32, 0.0272, 0)</f>
        <v>41.940300000000001</v>
      </c>
      <c r="D630" s="4">
        <f>56.2731 * CHOOSE(CONTROL!$C$13, $C$13, 100%, $E$13) + CHOOSE(CONTROL!$C$32, 0.0021, 0)</f>
        <v>56.275199999999998</v>
      </c>
      <c r="E630" s="4">
        <f>269.902301488691 * CHOOSE(CONTROL!$C$13, $C$13, 100%, $E$13) + CHOOSE(CONTROL!$C$32, 0.0021, 0)</f>
        <v>269.90440148869101</v>
      </c>
    </row>
    <row r="631" spans="1:5" ht="15">
      <c r="A631" s="13">
        <v>60357</v>
      </c>
      <c r="B631" s="4">
        <f>44.8042 * CHOOSE(CONTROL!$C$13, $C$13, 100%, $E$13) + CHOOSE(CONTROL!$C$32, 0.0272, 0)</f>
        <v>44.831400000000002</v>
      </c>
      <c r="C631" s="4">
        <f>44.4409 * CHOOSE(CONTROL!$C$13, $C$13, 100%, $E$13) + CHOOSE(CONTROL!$C$32, 0.0272, 0)</f>
        <v>44.4681</v>
      </c>
      <c r="D631" s="4">
        <f>59.1774 * CHOOSE(CONTROL!$C$13, $C$13, 100%, $E$13) + CHOOSE(CONTROL!$C$32, 0.0021, 0)</f>
        <v>59.179499999999997</v>
      </c>
      <c r="E631" s="4">
        <f>286.341156190955 * CHOOSE(CONTROL!$C$13, $C$13, 100%, $E$13) + CHOOSE(CONTROL!$C$32, 0.0021, 0)</f>
        <v>286.343256190955</v>
      </c>
    </row>
    <row r="632" spans="1:5" ht="15">
      <c r="A632" s="13">
        <v>60387</v>
      </c>
      <c r="B632" s="4">
        <f>46.6002 * CHOOSE(CONTROL!$C$13, $C$13, 100%, $E$13) + CHOOSE(CONTROL!$C$32, 0.0272, 0)</f>
        <v>46.627400000000002</v>
      </c>
      <c r="C632" s="4">
        <f>46.237 * CHOOSE(CONTROL!$C$13, $C$13, 100%, $E$13) + CHOOSE(CONTROL!$C$32, 0.0272, 0)</f>
        <v>46.264200000000002</v>
      </c>
      <c r="D632" s="4">
        <f>60.8504 * CHOOSE(CONTROL!$C$13, $C$13, 100%, $E$13) + CHOOSE(CONTROL!$C$32, 0.0021, 0)</f>
        <v>60.852499999999999</v>
      </c>
      <c r="E632" s="4">
        <f>298.021181533456 * CHOOSE(CONTROL!$C$13, $C$13, 100%, $E$13) + CHOOSE(CONTROL!$C$32, 0.0021, 0)</f>
        <v>298.02328153345599</v>
      </c>
    </row>
    <row r="633" spans="1:5" ht="15">
      <c r="A633" s="13">
        <v>60418</v>
      </c>
      <c r="B633" s="4">
        <f>47.6976 * CHOOSE(CONTROL!$C$13, $C$13, 100%, $E$13) + CHOOSE(CONTROL!$C$32, 0.0272, 0)</f>
        <v>47.724800000000002</v>
      </c>
      <c r="C633" s="4">
        <f>47.3343 * CHOOSE(CONTROL!$C$13, $C$13, 100%, $E$13) + CHOOSE(CONTROL!$C$32, 0.0272, 0)</f>
        <v>47.361499999999999</v>
      </c>
      <c r="D633" s="4">
        <f>60.1893 * CHOOSE(CONTROL!$C$13, $C$13, 100%, $E$13) + CHOOSE(CONTROL!$C$32, 0.0021, 0)</f>
        <v>60.191400000000002</v>
      </c>
      <c r="E633" s="4">
        <f>305.157397086586 * CHOOSE(CONTROL!$C$13, $C$13, 100%, $E$13) + CHOOSE(CONTROL!$C$32, 0.0021, 0)</f>
        <v>305.15949708658599</v>
      </c>
    </row>
    <row r="634" spans="1:5" ht="15">
      <c r="A634" s="13">
        <v>60448</v>
      </c>
      <c r="B634" s="4">
        <f>47.8461 * CHOOSE(CONTROL!$C$13, $C$13, 100%, $E$13) + CHOOSE(CONTROL!$C$32, 0.0272, 0)</f>
        <v>47.8733</v>
      </c>
      <c r="C634" s="4">
        <f>47.4828 * CHOOSE(CONTROL!$C$13, $C$13, 100%, $E$13) + CHOOSE(CONTROL!$C$32, 0.0272, 0)</f>
        <v>47.51</v>
      </c>
      <c r="D634" s="4">
        <f>60.7277 * CHOOSE(CONTROL!$C$13, $C$13, 100%, $E$13) + CHOOSE(CONTROL!$C$32, 0.0021, 0)</f>
        <v>60.729799999999997</v>
      </c>
      <c r="E634" s="4">
        <f>306.122956666827 * CHOOSE(CONTROL!$C$13, $C$13, 100%, $E$13) + CHOOSE(CONTROL!$C$32, 0.0021, 0)</f>
        <v>306.12505666682699</v>
      </c>
    </row>
    <row r="635" spans="1:5" ht="15">
      <c r="A635" s="13">
        <v>60479</v>
      </c>
      <c r="B635" s="4">
        <f>47.8311 * CHOOSE(CONTROL!$C$13, $C$13, 100%, $E$13) + CHOOSE(CONTROL!$C$32, 0.0272, 0)</f>
        <v>47.8583</v>
      </c>
      <c r="C635" s="4">
        <f>47.4678 * CHOOSE(CONTROL!$C$13, $C$13, 100%, $E$13) + CHOOSE(CONTROL!$C$32, 0.0272, 0)</f>
        <v>47.494999999999997</v>
      </c>
      <c r="D635" s="4">
        <f>61.6991 * CHOOSE(CONTROL!$C$13, $C$13, 100%, $E$13) + CHOOSE(CONTROL!$C$32, 0.0021, 0)</f>
        <v>61.7012</v>
      </c>
      <c r="E635" s="4">
        <f>306.025589314198 * CHOOSE(CONTROL!$C$13, $C$13, 100%, $E$13) + CHOOSE(CONTROL!$C$32, 0.0021, 0)</f>
        <v>306.02768931419797</v>
      </c>
    </row>
    <row r="636" spans="1:5" ht="15">
      <c r="A636" s="13">
        <v>60510</v>
      </c>
      <c r="B636" s="4">
        <f>48.9577 * CHOOSE(CONTROL!$C$13, $C$13, 100%, $E$13) + CHOOSE(CONTROL!$C$32, 0.0272, 0)</f>
        <v>48.984900000000003</v>
      </c>
      <c r="C636" s="4">
        <f>48.5945 * CHOOSE(CONTROL!$C$13, $C$13, 100%, $E$13) + CHOOSE(CONTROL!$C$32, 0.0272, 0)</f>
        <v>48.621699999999997</v>
      </c>
      <c r="D636" s="4">
        <f>61.0576 * CHOOSE(CONTROL!$C$13, $C$13, 100%, $E$13) + CHOOSE(CONTROL!$C$32, 0.0021, 0)</f>
        <v>61.059699999999999</v>
      </c>
      <c r="E636" s="4">
        <f>313.35248259956 * CHOOSE(CONTROL!$C$13, $C$13, 100%, $E$13) + CHOOSE(CONTROL!$C$32, 0.0021, 0)</f>
        <v>313.35458259955999</v>
      </c>
    </row>
    <row r="637" spans="1:5" ht="15">
      <c r="A637" s="13">
        <v>60540</v>
      </c>
      <c r="B637" s="4">
        <f>47.0376 * CHOOSE(CONTROL!$C$13, $C$13, 100%, $E$13) + CHOOSE(CONTROL!$C$32, 0.0272, 0)</f>
        <v>47.064799999999998</v>
      </c>
      <c r="C637" s="4">
        <f>46.6743 * CHOOSE(CONTROL!$C$13, $C$13, 100%, $E$13) + CHOOSE(CONTROL!$C$32, 0.0272, 0)</f>
        <v>46.701500000000003</v>
      </c>
      <c r="D637" s="4">
        <f>60.7545 * CHOOSE(CONTROL!$C$13, $C$13, 100%, $E$13) + CHOOSE(CONTROL!$C$32, 0.0021, 0)</f>
        <v>60.756599999999999</v>
      </c>
      <c r="E637" s="4">
        <f>300.86511962484 * CHOOSE(CONTROL!$C$13, $C$13, 100%, $E$13) + CHOOSE(CONTROL!$C$32, 0.0021, 0)</f>
        <v>300.86721962484</v>
      </c>
    </row>
    <row r="638" spans="1:5" ht="15">
      <c r="A638" s="13">
        <v>60571</v>
      </c>
      <c r="B638" s="4">
        <f>45.5004 * CHOOSE(CONTROL!$C$13, $C$13, 100%, $E$13) + CHOOSE(CONTROL!$C$32, 0.0272, 0)</f>
        <v>45.5276</v>
      </c>
      <c r="C638" s="4">
        <f>45.1371 * CHOOSE(CONTROL!$C$13, $C$13, 100%, $E$13) + CHOOSE(CONTROL!$C$32, 0.0272, 0)</f>
        <v>45.164299999999997</v>
      </c>
      <c r="D638" s="4">
        <f>59.9429 * CHOOSE(CONTROL!$C$13, $C$13, 100%, $E$13) + CHOOSE(CONTROL!$C$32, 0.0021, 0)</f>
        <v>59.945</v>
      </c>
      <c r="E638" s="4">
        <f>290.868738088222 * CHOOSE(CONTROL!$C$13, $C$13, 100%, $E$13) + CHOOSE(CONTROL!$C$32, 0.0021, 0)</f>
        <v>290.870838088222</v>
      </c>
    </row>
    <row r="639" spans="1:5" ht="15">
      <c r="A639" s="13">
        <v>60601</v>
      </c>
      <c r="B639" s="4">
        <f>44.5104 * CHOOSE(CONTROL!$C$13, $C$13, 100%, $E$13) + CHOOSE(CONTROL!$C$32, 0.0272, 0)</f>
        <v>44.537599999999998</v>
      </c>
      <c r="C639" s="4">
        <f>44.1471 * CHOOSE(CONTROL!$C$13, $C$13, 100%, $E$13) + CHOOSE(CONTROL!$C$32, 0.0272, 0)</f>
        <v>44.174300000000002</v>
      </c>
      <c r="D639" s="4">
        <f>59.6638 * CHOOSE(CONTROL!$C$13, $C$13, 100%, $E$13) + CHOOSE(CONTROL!$C$32, 0.0021, 0)</f>
        <v>59.665900000000001</v>
      </c>
      <c r="E639" s="4">
        <f>284.430321895603 * CHOOSE(CONTROL!$C$13, $C$13, 100%, $E$13) + CHOOSE(CONTROL!$C$32, 0.0021, 0)</f>
        <v>284.432421895603</v>
      </c>
    </row>
    <row r="640" spans="1:5" ht="15">
      <c r="A640" s="13">
        <v>60632</v>
      </c>
      <c r="B640" s="4">
        <f>43.8254 * CHOOSE(CONTROL!$C$13, $C$13, 100%, $E$13) + CHOOSE(CONTROL!$C$32, 0.0272, 0)</f>
        <v>43.852600000000002</v>
      </c>
      <c r="C640" s="4">
        <f>43.4621 * CHOOSE(CONTROL!$C$13, $C$13, 100%, $E$13) + CHOOSE(CONTROL!$C$32, 0.0272, 0)</f>
        <v>43.4893</v>
      </c>
      <c r="D640" s="4">
        <f>57.6096 * CHOOSE(CONTROL!$C$13, $C$13, 100%, $E$13) + CHOOSE(CONTROL!$C$32, 0.0021, 0)</f>
        <v>57.611699999999999</v>
      </c>
      <c r="E640" s="4">
        <f>279.975765512808 * CHOOSE(CONTROL!$C$13, $C$13, 100%, $E$13) + CHOOSE(CONTROL!$C$32, 0.0021, 0)</f>
        <v>279.97786551280797</v>
      </c>
    </row>
    <row r="641" spans="1:5" ht="15">
      <c r="A641" s="13">
        <v>60663</v>
      </c>
      <c r="B641" s="4">
        <f>42.0301 * CHOOSE(CONTROL!$C$13, $C$13, 100%, $E$13) + CHOOSE(CONTROL!$C$32, 0.0272, 0)</f>
        <v>42.057299999999998</v>
      </c>
      <c r="C641" s="4">
        <f>41.6668 * CHOOSE(CONTROL!$C$13, $C$13, 100%, $E$13) + CHOOSE(CONTROL!$C$32, 0.0272, 0)</f>
        <v>41.694000000000003</v>
      </c>
      <c r="D641" s="4">
        <f>55.2445 * CHOOSE(CONTROL!$C$13, $C$13, 100%, $E$13) + CHOOSE(CONTROL!$C$32, 0.0021, 0)</f>
        <v>55.246600000000001</v>
      </c>
      <c r="E641" s="4">
        <f>268.31363722284 * CHOOSE(CONTROL!$C$13, $C$13, 100%, $E$13) + CHOOSE(CONTROL!$C$32, 0.0021, 0)</f>
        <v>268.31573722283997</v>
      </c>
    </row>
    <row r="642" spans="1:5" ht="15">
      <c r="A642" s="13">
        <v>60691</v>
      </c>
      <c r="B642" s="4">
        <f>43.0097 * CHOOSE(CONTROL!$C$13, $C$13, 100%, $E$13) + CHOOSE(CONTROL!$C$32, 0.0272, 0)</f>
        <v>43.036900000000003</v>
      </c>
      <c r="C642" s="4">
        <f>42.6464 * CHOOSE(CONTROL!$C$13, $C$13, 100%, $E$13) + CHOOSE(CONTROL!$C$32, 0.0272, 0)</f>
        <v>42.6736</v>
      </c>
      <c r="D642" s="4">
        <f>57.1289 * CHOOSE(CONTROL!$C$13, $C$13, 100%, $E$13) + CHOOSE(CONTROL!$C$32, 0.0021, 0)</f>
        <v>57.131</v>
      </c>
      <c r="E642" s="4">
        <f>274.684460370256 * CHOOSE(CONTROL!$C$13, $C$13, 100%, $E$13) + CHOOSE(CONTROL!$C$32, 0.0021, 0)</f>
        <v>274.68656037025596</v>
      </c>
    </row>
    <row r="643" spans="1:5" ht="15">
      <c r="A643" s="13">
        <v>60722</v>
      </c>
      <c r="B643" s="4">
        <f>45.5822 * CHOOSE(CONTROL!$C$13, $C$13, 100%, $E$13) + CHOOSE(CONTROL!$C$32, 0.0272, 0)</f>
        <v>45.609400000000001</v>
      </c>
      <c r="C643" s="4">
        <f>45.2189 * CHOOSE(CONTROL!$C$13, $C$13, 100%, $E$13) + CHOOSE(CONTROL!$C$32, 0.0272, 0)</f>
        <v>45.246099999999998</v>
      </c>
      <c r="D643" s="4">
        <f>60.0789 * CHOOSE(CONTROL!$C$13, $C$13, 100%, $E$13) + CHOOSE(CONTROL!$C$32, 0.0021, 0)</f>
        <v>60.080999999999996</v>
      </c>
      <c r="E643" s="4">
        <f>291.414580521475 * CHOOSE(CONTROL!$C$13, $C$13, 100%, $E$13) + CHOOSE(CONTROL!$C$32, 0.0021, 0)</f>
        <v>291.41668052147497</v>
      </c>
    </row>
    <row r="644" spans="1:5" ht="15">
      <c r="A644" s="13">
        <v>60752</v>
      </c>
      <c r="B644" s="4">
        <f>47.4099 * CHOOSE(CONTROL!$C$13, $C$13, 100%, $E$13) + CHOOSE(CONTROL!$C$32, 0.0272, 0)</f>
        <v>47.437100000000001</v>
      </c>
      <c r="C644" s="4">
        <f>47.0466 * CHOOSE(CONTROL!$C$13, $C$13, 100%, $E$13) + CHOOSE(CONTROL!$C$32, 0.0272, 0)</f>
        <v>47.073799999999999</v>
      </c>
      <c r="D644" s="4">
        <f>61.7781 * CHOOSE(CONTROL!$C$13, $C$13, 100%, $E$13) + CHOOSE(CONTROL!$C$32, 0.0021, 0)</f>
        <v>61.780200000000001</v>
      </c>
      <c r="E644" s="4">
        <f>303.301553847082 * CHOOSE(CONTROL!$C$13, $C$13, 100%, $E$13) + CHOOSE(CONTROL!$C$32, 0.0021, 0)</f>
        <v>303.30365384708199</v>
      </c>
    </row>
    <row r="645" spans="1:5" ht="15">
      <c r="A645" s="13">
        <v>60783</v>
      </c>
      <c r="B645" s="4">
        <f>48.5267 * CHOOSE(CONTROL!$C$13, $C$13, 100%, $E$13) + CHOOSE(CONTROL!$C$32, 0.0272, 0)</f>
        <v>48.553899999999999</v>
      </c>
      <c r="C645" s="4">
        <f>48.1634 * CHOOSE(CONTROL!$C$13, $C$13, 100%, $E$13) + CHOOSE(CONTROL!$C$32, 0.0272, 0)</f>
        <v>48.190600000000003</v>
      </c>
      <c r="D645" s="4">
        <f>61.1067 * CHOOSE(CONTROL!$C$13, $C$13, 100%, $E$13) + CHOOSE(CONTROL!$C$32, 0.0021, 0)</f>
        <v>61.108799999999995</v>
      </c>
      <c r="E645" s="4">
        <f>310.564209658038 * CHOOSE(CONTROL!$C$13, $C$13, 100%, $E$13) + CHOOSE(CONTROL!$C$32, 0.0021, 0)</f>
        <v>310.56630965803799</v>
      </c>
    </row>
    <row r="646" spans="1:5" ht="15">
      <c r="A646" s="13">
        <v>60813</v>
      </c>
      <c r="B646" s="4">
        <f>48.6777 * CHOOSE(CONTROL!$C$13, $C$13, 100%, $E$13) + CHOOSE(CONTROL!$C$32, 0.0272, 0)</f>
        <v>48.704900000000002</v>
      </c>
      <c r="C646" s="4">
        <f>48.3145 * CHOOSE(CONTROL!$C$13, $C$13, 100%, $E$13) + CHOOSE(CONTROL!$C$32, 0.0272, 0)</f>
        <v>48.341700000000003</v>
      </c>
      <c r="D646" s="4">
        <f>61.6535 * CHOOSE(CONTROL!$C$13, $C$13, 100%, $E$13) + CHOOSE(CONTROL!$C$32, 0.0021, 0)</f>
        <v>61.6556</v>
      </c>
      <c r="E646" s="4">
        <f>311.546877129901 * CHOOSE(CONTROL!$C$13, $C$13, 100%, $E$13) + CHOOSE(CONTROL!$C$32, 0.0021, 0)</f>
        <v>311.548977129901</v>
      </c>
    </row>
    <row r="647" spans="1:5" ht="15">
      <c r="A647" s="13">
        <v>60844</v>
      </c>
      <c r="B647" s="4">
        <f>48.6625 * CHOOSE(CONTROL!$C$13, $C$13, 100%, $E$13) + CHOOSE(CONTROL!$C$32, 0.0272, 0)</f>
        <v>48.689700000000002</v>
      </c>
      <c r="C647" s="4">
        <f>48.2992 * CHOOSE(CONTROL!$C$13, $C$13, 100%, $E$13) + CHOOSE(CONTROL!$C$32, 0.0272, 0)</f>
        <v>48.3264</v>
      </c>
      <c r="D647" s="4">
        <f>62.6402 * CHOOSE(CONTROL!$C$13, $C$13, 100%, $E$13) + CHOOSE(CONTROL!$C$32, 0.0021, 0)</f>
        <v>62.642299999999999</v>
      </c>
      <c r="E647" s="4">
        <f>311.44778461173 * CHOOSE(CONTROL!$C$13, $C$13, 100%, $E$13) + CHOOSE(CONTROL!$C$32, 0.0021, 0)</f>
        <v>311.44988461173</v>
      </c>
    </row>
    <row r="648" spans="1:5" ht="15">
      <c r="A648" s="13">
        <v>60875</v>
      </c>
      <c r="B648" s="4">
        <f>49.8091 * CHOOSE(CONTROL!$C$13, $C$13, 100%, $E$13) + CHOOSE(CONTROL!$C$32, 0.0272, 0)</f>
        <v>49.836300000000001</v>
      </c>
      <c r="C648" s="4">
        <f>49.4458 * CHOOSE(CONTROL!$C$13, $C$13, 100%, $E$13) + CHOOSE(CONTROL!$C$32, 0.0272, 0)</f>
        <v>49.472999999999999</v>
      </c>
      <c r="D648" s="4">
        <f>61.9886 * CHOOSE(CONTROL!$C$13, $C$13, 100%, $E$13) + CHOOSE(CONTROL!$C$32, 0.0021, 0)</f>
        <v>61.990699999999997</v>
      </c>
      <c r="E648" s="4">
        <f>318.904496604105 * CHOOSE(CONTROL!$C$13, $C$13, 100%, $E$13) + CHOOSE(CONTROL!$C$32, 0.0021, 0)</f>
        <v>318.906596604105</v>
      </c>
    </row>
    <row r="649" spans="1:5" ht="15">
      <c r="A649" s="13">
        <v>60905</v>
      </c>
      <c r="B649" s="4">
        <f>47.855 * CHOOSE(CONTROL!$C$13, $C$13, 100%, $E$13) + CHOOSE(CONTROL!$C$32, 0.0272, 0)</f>
        <v>47.882199999999997</v>
      </c>
      <c r="C649" s="4">
        <f>47.4917 * CHOOSE(CONTROL!$C$13, $C$13, 100%, $E$13) + CHOOSE(CONTROL!$C$32, 0.0272, 0)</f>
        <v>47.518900000000002</v>
      </c>
      <c r="D649" s="4">
        <f>61.6807 * CHOOSE(CONTROL!$C$13, $C$13, 100%, $E$13) + CHOOSE(CONTROL!$C$32, 0.0021, 0)</f>
        <v>61.6828</v>
      </c>
      <c r="E649" s="4">
        <f>306.195881148663 * CHOOSE(CONTROL!$C$13, $C$13, 100%, $E$13) + CHOOSE(CONTROL!$C$32, 0.0021, 0)</f>
        <v>306.19798114866296</v>
      </c>
    </row>
    <row r="650" spans="1:5" ht="15">
      <c r="A650" s="13">
        <v>60936</v>
      </c>
      <c r="B650" s="4">
        <f>46.2907 * CHOOSE(CONTROL!$C$13, $C$13, 100%, $E$13) + CHOOSE(CONTROL!$C$32, 0.0272, 0)</f>
        <v>46.317900000000002</v>
      </c>
      <c r="C650" s="4">
        <f>45.9274 * CHOOSE(CONTROL!$C$13, $C$13, 100%, $E$13) + CHOOSE(CONTROL!$C$32, 0.0272, 0)</f>
        <v>45.954599999999999</v>
      </c>
      <c r="D650" s="4">
        <f>60.8563 * CHOOSE(CONTROL!$C$13, $C$13, 100%, $E$13) + CHOOSE(CONTROL!$C$32, 0.0021, 0)</f>
        <v>60.858399999999996</v>
      </c>
      <c r="E650" s="4">
        <f>296.022382616431 * CHOOSE(CONTROL!$C$13, $C$13, 100%, $E$13) + CHOOSE(CONTROL!$C$32, 0.0021, 0)</f>
        <v>296.02448261643099</v>
      </c>
    </row>
    <row r="651" spans="1:5" ht="15">
      <c r="A651" s="13">
        <v>60966</v>
      </c>
      <c r="B651" s="4">
        <f>45.2831 * CHOOSE(CONTROL!$C$13, $C$13, 100%, $E$13) + CHOOSE(CONTROL!$C$32, 0.0272, 0)</f>
        <v>45.310299999999998</v>
      </c>
      <c r="C651" s="4">
        <f>44.9198 * CHOOSE(CONTROL!$C$13, $C$13, 100%, $E$13) + CHOOSE(CONTROL!$C$32, 0.0272, 0)</f>
        <v>44.947000000000003</v>
      </c>
      <c r="D651" s="4">
        <f>60.5729 * CHOOSE(CONTROL!$C$13, $C$13, 100%, $E$13) + CHOOSE(CONTROL!$C$32, 0.0021, 0)</f>
        <v>60.574999999999996</v>
      </c>
      <c r="E651" s="4">
        <f>289.469889852368 * CHOOSE(CONTROL!$C$13, $C$13, 100%, $E$13) + CHOOSE(CONTROL!$C$32, 0.0021, 0)</f>
        <v>289.47198985236798</v>
      </c>
    </row>
    <row r="652" spans="1:5" ht="15">
      <c r="A652" s="13">
        <v>60997</v>
      </c>
      <c r="B652" s="4">
        <f>44.586 * CHOOSE(CONTROL!$C$13, $C$13, 100%, $E$13) + CHOOSE(CONTROL!$C$32, 0.0272, 0)</f>
        <v>44.613199999999999</v>
      </c>
      <c r="C652" s="4">
        <f>44.2228 * CHOOSE(CONTROL!$C$13, $C$13, 100%, $E$13) + CHOOSE(CONTROL!$C$32, 0.0272, 0)</f>
        <v>44.25</v>
      </c>
      <c r="D652" s="4">
        <f>58.4863 * CHOOSE(CONTROL!$C$13, $C$13, 100%, $E$13) + CHOOSE(CONTROL!$C$32, 0.0021, 0)</f>
        <v>58.488399999999999</v>
      </c>
      <c r="E652" s="4">
        <f>284.93640714604 * CHOOSE(CONTROL!$C$13, $C$13, 100%, $E$13) + CHOOSE(CONTROL!$C$32, 0.0021, 0)</f>
        <v>284.93850714603997</v>
      </c>
    </row>
    <row r="653" spans="1:5" ht="15">
      <c r="A653" s="13">
        <v>61028</v>
      </c>
      <c r="B653" s="4">
        <f>42.759 * CHOOSE(CONTROL!$C$13, $C$13, 100%, $E$13) + CHOOSE(CONTROL!$C$32, 0.0272, 0)</f>
        <v>42.786200000000001</v>
      </c>
      <c r="C653" s="4">
        <f>42.3957 * CHOOSE(CONTROL!$C$13, $C$13, 100%, $E$13) + CHOOSE(CONTROL!$C$32, 0.0272, 0)</f>
        <v>42.422899999999998</v>
      </c>
      <c r="D653" s="4">
        <f>56.0841 * CHOOSE(CONTROL!$C$13, $C$13, 100%, $E$13) + CHOOSE(CONTROL!$C$32, 0.0021, 0)</f>
        <v>56.086199999999998</v>
      </c>
      <c r="E653" s="4">
        <f>273.067647974927 * CHOOSE(CONTROL!$C$13, $C$13, 100%, $E$13) + CHOOSE(CONTROL!$C$32, 0.0021, 0)</f>
        <v>273.069747974927</v>
      </c>
    </row>
    <row r="654" spans="1:5" ht="15">
      <c r="A654" s="13">
        <v>61056</v>
      </c>
      <c r="B654" s="4">
        <f>43.7559 * CHOOSE(CONTROL!$C$13, $C$13, 100%, $E$13) + CHOOSE(CONTROL!$C$32, 0.0272, 0)</f>
        <v>43.783099999999997</v>
      </c>
      <c r="C654" s="4">
        <f>43.3926 * CHOOSE(CONTROL!$C$13, $C$13, 100%, $E$13) + CHOOSE(CONTROL!$C$32, 0.0272, 0)</f>
        <v>43.419800000000002</v>
      </c>
      <c r="D654" s="4">
        <f>57.9981 * CHOOSE(CONTROL!$C$13, $C$13, 100%, $E$13) + CHOOSE(CONTROL!$C$32, 0.0021, 0)</f>
        <v>58.0002</v>
      </c>
      <c r="E654" s="4">
        <f>279.551350072724 * CHOOSE(CONTROL!$C$13, $C$13, 100%, $E$13) + CHOOSE(CONTROL!$C$32, 0.0021, 0)</f>
        <v>279.55345007272399</v>
      </c>
    </row>
    <row r="655" spans="1:5" ht="15">
      <c r="A655" s="13">
        <v>61087</v>
      </c>
      <c r="B655" s="4">
        <f>46.3738 * CHOOSE(CONTROL!$C$13, $C$13, 100%, $E$13) + CHOOSE(CONTROL!$C$32, 0.0272, 0)</f>
        <v>46.401000000000003</v>
      </c>
      <c r="C655" s="4">
        <f>46.0106 * CHOOSE(CONTROL!$C$13, $C$13, 100%, $E$13) + CHOOSE(CONTROL!$C$32, 0.0272, 0)</f>
        <v>46.037799999999997</v>
      </c>
      <c r="D655" s="4">
        <f>60.9945 * CHOOSE(CONTROL!$C$13, $C$13, 100%, $E$13) + CHOOSE(CONTROL!$C$32, 0.0021, 0)</f>
        <v>60.996600000000001</v>
      </c>
      <c r="E655" s="4">
        <f>296.577896346393 * CHOOSE(CONTROL!$C$13, $C$13, 100%, $E$13) + CHOOSE(CONTROL!$C$32, 0.0021, 0)</f>
        <v>296.57999634639299</v>
      </c>
    </row>
    <row r="656" spans="1:5" ht="15">
      <c r="A656" s="13">
        <v>61117</v>
      </c>
      <c r="B656" s="4">
        <f>48.2339 * CHOOSE(CONTROL!$C$13, $C$13, 100%, $E$13) + CHOOSE(CONTROL!$C$32, 0.0272, 0)</f>
        <v>48.261099999999999</v>
      </c>
      <c r="C656" s="4">
        <f>47.8706 * CHOOSE(CONTROL!$C$13, $C$13, 100%, $E$13) + CHOOSE(CONTROL!$C$32, 0.0272, 0)</f>
        <v>47.897800000000004</v>
      </c>
      <c r="D656" s="4">
        <f>62.7205 * CHOOSE(CONTROL!$C$13, $C$13, 100%, $E$13) + CHOOSE(CONTROL!$C$32, 0.0021, 0)</f>
        <v>62.7226</v>
      </c>
      <c r="E656" s="4">
        <f>308.675484382399 * CHOOSE(CONTROL!$C$13, $C$13, 100%, $E$13) + CHOOSE(CONTROL!$C$32, 0.0021, 0)</f>
        <v>308.677584382399</v>
      </c>
    </row>
    <row r="657" spans="1:5" ht="15">
      <c r="A657" s="13">
        <v>61148</v>
      </c>
      <c r="B657" s="4">
        <f>49.3704 * CHOOSE(CONTROL!$C$13, $C$13, 100%, $E$13) + CHOOSE(CONTROL!$C$32, 0.0272, 0)</f>
        <v>49.397599999999997</v>
      </c>
      <c r="C657" s="4">
        <f>49.0071 * CHOOSE(CONTROL!$C$13, $C$13, 100%, $E$13) + CHOOSE(CONTROL!$C$32, 0.0272, 0)</f>
        <v>49.034300000000002</v>
      </c>
      <c r="D657" s="4">
        <f>62.0384 * CHOOSE(CONTROL!$C$13, $C$13, 100%, $E$13) + CHOOSE(CONTROL!$C$32, 0.0021, 0)</f>
        <v>62.040500000000002</v>
      </c>
      <c r="E657" s="4">
        <f>316.066820733678 * CHOOSE(CONTROL!$C$13, $C$13, 100%, $E$13) + CHOOSE(CONTROL!$C$32, 0.0021, 0)</f>
        <v>316.068920733678</v>
      </c>
    </row>
    <row r="658" spans="1:5" ht="15">
      <c r="A658" s="13">
        <v>61178</v>
      </c>
      <c r="B658" s="4">
        <f>49.5241 * CHOOSE(CONTROL!$C$13, $C$13, 100%, $E$13) + CHOOSE(CONTROL!$C$32, 0.0272, 0)</f>
        <v>49.551299999999998</v>
      </c>
      <c r="C658" s="4">
        <f>49.1609 * CHOOSE(CONTROL!$C$13, $C$13, 100%, $E$13) + CHOOSE(CONTROL!$C$32, 0.0272, 0)</f>
        <v>49.188099999999999</v>
      </c>
      <c r="D658" s="4">
        <f>62.5939 * CHOOSE(CONTROL!$C$13, $C$13, 100%, $E$13) + CHOOSE(CONTROL!$C$32, 0.0021, 0)</f>
        <v>62.595999999999997</v>
      </c>
      <c r="E658" s="4">
        <f>317.066899216682 * CHOOSE(CONTROL!$C$13, $C$13, 100%, $E$13) + CHOOSE(CONTROL!$C$32, 0.0021, 0)</f>
        <v>317.06899921668196</v>
      </c>
    </row>
    <row r="659" spans="1:5" ht="15">
      <c r="A659" s="13">
        <v>61209</v>
      </c>
      <c r="B659" s="4">
        <f>49.5086 * CHOOSE(CONTROL!$C$13, $C$13, 100%, $E$13) + CHOOSE(CONTROL!$C$32, 0.0272, 0)</f>
        <v>49.535800000000002</v>
      </c>
      <c r="C659" s="4">
        <f>49.1453 * CHOOSE(CONTROL!$C$13, $C$13, 100%, $E$13) + CHOOSE(CONTROL!$C$32, 0.0272, 0)</f>
        <v>49.172499999999999</v>
      </c>
      <c r="D659" s="4">
        <f>63.5961 * CHOOSE(CONTROL!$C$13, $C$13, 100%, $E$13) + CHOOSE(CONTROL!$C$32, 0.0021, 0)</f>
        <v>63.598199999999999</v>
      </c>
      <c r="E659" s="4">
        <f>316.966050966295 * CHOOSE(CONTROL!$C$13, $C$13, 100%, $E$13) + CHOOSE(CONTROL!$C$32, 0.0021, 0)</f>
        <v>316.96815096629496</v>
      </c>
    </row>
    <row r="660" spans="1:5" ht="15">
      <c r="A660" s="13">
        <v>61240</v>
      </c>
      <c r="B660" s="4">
        <f>50.6755 * CHOOSE(CONTROL!$C$13, $C$13, 100%, $E$13) + CHOOSE(CONTROL!$C$32, 0.0272, 0)</f>
        <v>50.7027</v>
      </c>
      <c r="C660" s="4">
        <f>50.3122 * CHOOSE(CONTROL!$C$13, $C$13, 100%, $E$13) + CHOOSE(CONTROL!$C$32, 0.0272, 0)</f>
        <v>50.339399999999998</v>
      </c>
      <c r="D660" s="4">
        <f>62.9342 * CHOOSE(CONTROL!$C$13, $C$13, 100%, $E$13) + CHOOSE(CONTROL!$C$32, 0.0021, 0)</f>
        <v>62.936299999999996</v>
      </c>
      <c r="E660" s="4">
        <f>324.554881807916 * CHOOSE(CONTROL!$C$13, $C$13, 100%, $E$13) + CHOOSE(CONTROL!$C$32, 0.0021, 0)</f>
        <v>324.55698180791597</v>
      </c>
    </row>
    <row r="661" spans="1:5" ht="15">
      <c r="A661" s="13">
        <v>61270</v>
      </c>
      <c r="B661" s="4">
        <f>48.6868 * CHOOSE(CONTROL!$C$13, $C$13, 100%, $E$13) + CHOOSE(CONTROL!$C$32, 0.0272, 0)</f>
        <v>48.713999999999999</v>
      </c>
      <c r="C661" s="4">
        <f>48.3235 * CHOOSE(CONTROL!$C$13, $C$13, 100%, $E$13) + CHOOSE(CONTROL!$C$32, 0.0272, 0)</f>
        <v>48.350700000000003</v>
      </c>
      <c r="D661" s="4">
        <f>62.6215 * CHOOSE(CONTROL!$C$13, $C$13, 100%, $E$13) + CHOOSE(CONTROL!$C$32, 0.0021, 0)</f>
        <v>62.623599999999996</v>
      </c>
      <c r="E661" s="4">
        <f>311.621093695785 * CHOOSE(CONTROL!$C$13, $C$13, 100%, $E$13) + CHOOSE(CONTROL!$C$32, 0.0021, 0)</f>
        <v>311.62319369578501</v>
      </c>
    </row>
    <row r="662" spans="1:5" ht="15">
      <c r="A662" s="13">
        <v>61301</v>
      </c>
      <c r="B662" s="4">
        <f>47.0949 * CHOOSE(CONTROL!$C$13, $C$13, 100%, $E$13) + CHOOSE(CONTROL!$C$32, 0.0272, 0)</f>
        <v>47.122100000000003</v>
      </c>
      <c r="C662" s="4">
        <f>46.7316 * CHOOSE(CONTROL!$C$13, $C$13, 100%, $E$13) + CHOOSE(CONTROL!$C$32, 0.0272, 0)</f>
        <v>46.758800000000001</v>
      </c>
      <c r="D662" s="4">
        <f>61.7842 * CHOOSE(CONTROL!$C$13, $C$13, 100%, $E$13) + CHOOSE(CONTROL!$C$32, 0.0021, 0)</f>
        <v>61.786299999999997</v>
      </c>
      <c r="E662" s="4">
        <f>301.267339989388 * CHOOSE(CONTROL!$C$13, $C$13, 100%, $E$13) + CHOOSE(CONTROL!$C$32, 0.0021, 0)</f>
        <v>301.26943998938799</v>
      </c>
    </row>
    <row r="663" spans="1:5" ht="15">
      <c r="A663" s="13">
        <v>61331</v>
      </c>
      <c r="B663" s="4">
        <f>46.0695 * CHOOSE(CONTROL!$C$13, $C$13, 100%, $E$13) + CHOOSE(CONTROL!$C$32, 0.0272, 0)</f>
        <v>46.096699999999998</v>
      </c>
      <c r="C663" s="4">
        <f>45.7063 * CHOOSE(CONTROL!$C$13, $C$13, 100%, $E$13) + CHOOSE(CONTROL!$C$32, 0.0272, 0)</f>
        <v>45.733499999999999</v>
      </c>
      <c r="D663" s="4">
        <f>61.4963 * CHOOSE(CONTROL!$C$13, $C$13, 100%, $E$13) + CHOOSE(CONTROL!$C$32, 0.0021, 0)</f>
        <v>61.498399999999997</v>
      </c>
      <c r="E663" s="4">
        <f>294.598749432549 * CHOOSE(CONTROL!$C$13, $C$13, 100%, $E$13) + CHOOSE(CONTROL!$C$32, 0.0021, 0)</f>
        <v>294.60084943254901</v>
      </c>
    </row>
    <row r="664" spans="1:5" ht="15">
      <c r="A664" s="13">
        <v>61362</v>
      </c>
      <c r="B664" s="4">
        <f>45.3601 * CHOOSE(CONTROL!$C$13, $C$13, 100%, $E$13) + CHOOSE(CONTROL!$C$32, 0.0272, 0)</f>
        <v>45.387300000000003</v>
      </c>
      <c r="C664" s="4">
        <f>44.9969 * CHOOSE(CONTROL!$C$13, $C$13, 100%, $E$13) + CHOOSE(CONTROL!$C$32, 0.0272, 0)</f>
        <v>45.024099999999997</v>
      </c>
      <c r="D664" s="4">
        <f>59.3769 * CHOOSE(CONTROL!$C$13, $C$13, 100%, $E$13) + CHOOSE(CONTROL!$C$32, 0.0021, 0)</f>
        <v>59.378999999999998</v>
      </c>
      <c r="E664" s="4">
        <f>289.984941977344 * CHOOSE(CONTROL!$C$13, $C$13, 100%, $E$13) + CHOOSE(CONTROL!$C$32, 0.0021, 0)</f>
        <v>289.98704197734401</v>
      </c>
    </row>
    <row r="665" spans="1:5" ht="15">
      <c r="A665" s="13">
        <v>61393</v>
      </c>
      <c r="B665" s="4">
        <f>43.5008 * CHOOSE(CONTROL!$C$13, $C$13, 100%, $E$13) + CHOOSE(CONTROL!$C$32, 0.0272, 0)</f>
        <v>43.527999999999999</v>
      </c>
      <c r="C665" s="4">
        <f>43.1376 * CHOOSE(CONTROL!$C$13, $C$13, 100%, $E$13) + CHOOSE(CONTROL!$C$32, 0.0272, 0)</f>
        <v>43.1648</v>
      </c>
      <c r="D665" s="4">
        <f>56.9369 * CHOOSE(CONTROL!$C$13, $C$13, 100%, $E$13) + CHOOSE(CONTROL!$C$32, 0.0021, 0)</f>
        <v>56.939</v>
      </c>
      <c r="E665" s="4">
        <f>277.90589081624 * CHOOSE(CONTROL!$C$13, $C$13, 100%, $E$13) + CHOOSE(CONTROL!$C$32, 0.0021, 0)</f>
        <v>277.90799081623999</v>
      </c>
    </row>
    <row r="666" spans="1:5" ht="15">
      <c r="A666" s="13">
        <v>61422</v>
      </c>
      <c r="B666" s="4">
        <f>44.5153 * CHOOSE(CONTROL!$C$13, $C$13, 100%, $E$13) + CHOOSE(CONTROL!$C$32, 0.0272, 0)</f>
        <v>44.542500000000004</v>
      </c>
      <c r="C666" s="4">
        <f>44.1521 * CHOOSE(CONTROL!$C$13, $C$13, 100%, $E$13) + CHOOSE(CONTROL!$C$32, 0.0272, 0)</f>
        <v>44.179299999999998</v>
      </c>
      <c r="D666" s="4">
        <f>58.881 * CHOOSE(CONTROL!$C$13, $C$13, 100%, $E$13) + CHOOSE(CONTROL!$C$32, 0.0021, 0)</f>
        <v>58.883099999999999</v>
      </c>
      <c r="E666" s="4">
        <f>284.504471866166 * CHOOSE(CONTROL!$C$13, $C$13, 100%, $E$13) + CHOOSE(CONTROL!$C$32, 0.0021, 0)</f>
        <v>284.50657186616598</v>
      </c>
    </row>
    <row r="667" spans="1:5" ht="15">
      <c r="A667" s="13">
        <v>61453</v>
      </c>
      <c r="B667" s="4">
        <f>47.1795 * CHOOSE(CONTROL!$C$13, $C$13, 100%, $E$13) + CHOOSE(CONTROL!$C$32, 0.0272, 0)</f>
        <v>47.206699999999998</v>
      </c>
      <c r="C667" s="4">
        <f>46.8162 * CHOOSE(CONTROL!$C$13, $C$13, 100%, $E$13) + CHOOSE(CONTROL!$C$32, 0.0272, 0)</f>
        <v>46.843400000000003</v>
      </c>
      <c r="D667" s="4">
        <f>61.9245 * CHOOSE(CONTROL!$C$13, $C$13, 100%, $E$13) + CHOOSE(CONTROL!$C$32, 0.0021, 0)</f>
        <v>61.926600000000001</v>
      </c>
      <c r="E667" s="4">
        <f>301.832696373166 * CHOOSE(CONTROL!$C$13, $C$13, 100%, $E$13) + CHOOSE(CONTROL!$C$32, 0.0021, 0)</f>
        <v>301.834796373166</v>
      </c>
    </row>
    <row r="668" spans="1:5" ht="15">
      <c r="A668" s="13">
        <v>61483</v>
      </c>
      <c r="B668" s="4">
        <f>49.0725 * CHOOSE(CONTROL!$C$13, $C$13, 100%, $E$13) + CHOOSE(CONTROL!$C$32, 0.0272, 0)</f>
        <v>49.099699999999999</v>
      </c>
      <c r="C668" s="4">
        <f>48.7092 * CHOOSE(CONTROL!$C$13, $C$13, 100%, $E$13) + CHOOSE(CONTROL!$C$32, 0.0272, 0)</f>
        <v>48.736400000000003</v>
      </c>
      <c r="D668" s="4">
        <f>63.6776 * CHOOSE(CONTROL!$C$13, $C$13, 100%, $E$13) + CHOOSE(CONTROL!$C$32, 0.0021, 0)</f>
        <v>63.679699999999997</v>
      </c>
      <c r="E668" s="4">
        <f>314.144630814344 * CHOOSE(CONTROL!$C$13, $C$13, 100%, $E$13) + CHOOSE(CONTROL!$C$32, 0.0021, 0)</f>
        <v>314.14673081434398</v>
      </c>
    </row>
    <row r="669" spans="1:5" ht="15">
      <c r="A669" s="13">
        <v>61514</v>
      </c>
      <c r="B669" s="4">
        <f>50.229 * CHOOSE(CONTROL!$C$13, $C$13, 100%, $E$13) + CHOOSE(CONTROL!$C$32, 0.0272, 0)</f>
        <v>50.2562</v>
      </c>
      <c r="C669" s="4">
        <f>49.8657 * CHOOSE(CONTROL!$C$13, $C$13, 100%, $E$13) + CHOOSE(CONTROL!$C$32, 0.0272, 0)</f>
        <v>49.892899999999997</v>
      </c>
      <c r="D669" s="4">
        <f>62.9849 * CHOOSE(CONTROL!$C$13, $C$13, 100%, $E$13) + CHOOSE(CONTROL!$C$32, 0.0021, 0)</f>
        <v>62.987000000000002</v>
      </c>
      <c r="E669" s="4">
        <f>321.666927682018 * CHOOSE(CONTROL!$C$13, $C$13, 100%, $E$13) + CHOOSE(CONTROL!$C$32, 0.0021, 0)</f>
        <v>321.669027682018</v>
      </c>
    </row>
    <row r="670" spans="1:5" ht="15">
      <c r="A670" s="13">
        <v>61544</v>
      </c>
      <c r="B670" s="4">
        <f>50.3855 * CHOOSE(CONTROL!$C$13, $C$13, 100%, $E$13) + CHOOSE(CONTROL!$C$32, 0.0272, 0)</f>
        <v>50.412700000000001</v>
      </c>
      <c r="C670" s="4">
        <f>50.0222 * CHOOSE(CONTROL!$C$13, $C$13, 100%, $E$13) + CHOOSE(CONTROL!$C$32, 0.0272, 0)</f>
        <v>50.049399999999999</v>
      </c>
      <c r="D670" s="4">
        <f>63.549 * CHOOSE(CONTROL!$C$13, $C$13, 100%, $E$13) + CHOOSE(CONTROL!$C$32, 0.0021, 0)</f>
        <v>63.551099999999998</v>
      </c>
      <c r="E670" s="4">
        <f>322.684725666387 * CHOOSE(CONTROL!$C$13, $C$13, 100%, $E$13) + CHOOSE(CONTROL!$C$32, 0.0021, 0)</f>
        <v>322.68682566638699</v>
      </c>
    </row>
    <row r="671" spans="1:5" ht="15">
      <c r="A671" s="13">
        <v>61575</v>
      </c>
      <c r="B671" s="4">
        <f>50.3697 * CHOOSE(CONTROL!$C$13, $C$13, 100%, $E$13) + CHOOSE(CONTROL!$C$32, 0.0272, 0)</f>
        <v>50.396900000000002</v>
      </c>
      <c r="C671" s="4">
        <f>50.0064 * CHOOSE(CONTROL!$C$13, $C$13, 100%, $E$13) + CHOOSE(CONTROL!$C$32, 0.0272, 0)</f>
        <v>50.0336</v>
      </c>
      <c r="D671" s="4">
        <f>64.5671 * CHOOSE(CONTROL!$C$13, $C$13, 100%, $E$13) + CHOOSE(CONTROL!$C$32, 0.0021, 0)</f>
        <v>64.569199999999995</v>
      </c>
      <c r="E671" s="4">
        <f>322.582090575526 * CHOOSE(CONTROL!$C$13, $C$13, 100%, $E$13) + CHOOSE(CONTROL!$C$32, 0.0021, 0)</f>
        <v>322.58419057552601</v>
      </c>
    </row>
    <row r="672" spans="1:5" ht="15">
      <c r="A672" s="13">
        <v>61606</v>
      </c>
      <c r="B672" s="4">
        <f>51.5571 * CHOOSE(CONTROL!$C$13, $C$13, 100%, $E$13) + CHOOSE(CONTROL!$C$32, 0.0272, 0)</f>
        <v>51.584299999999999</v>
      </c>
      <c r="C672" s="4">
        <f>51.1939 * CHOOSE(CONTROL!$C$13, $C$13, 100%, $E$13) + CHOOSE(CONTROL!$C$32, 0.0272, 0)</f>
        <v>51.2211</v>
      </c>
      <c r="D672" s="4">
        <f>63.8948 * CHOOSE(CONTROL!$C$13, $C$13, 100%, $E$13) + CHOOSE(CONTROL!$C$32, 0.0021, 0)</f>
        <v>63.896899999999995</v>
      </c>
      <c r="E672" s="4">
        <f>330.305381162802 * CHOOSE(CONTROL!$C$13, $C$13, 100%, $E$13) + CHOOSE(CONTROL!$C$32, 0.0021, 0)</f>
        <v>330.30748116280199</v>
      </c>
    </row>
    <row r="673" spans="1:5" ht="15">
      <c r="A673" s="13">
        <v>61636</v>
      </c>
      <c r="B673" s="4">
        <f>49.5334 * CHOOSE(CONTROL!$C$13, $C$13, 100%, $E$13) + CHOOSE(CONTROL!$C$32, 0.0272, 0)</f>
        <v>49.560600000000001</v>
      </c>
      <c r="C673" s="4">
        <f>49.1701 * CHOOSE(CONTROL!$C$13, $C$13, 100%, $E$13) + CHOOSE(CONTROL!$C$32, 0.0272, 0)</f>
        <v>49.197299999999998</v>
      </c>
      <c r="D673" s="4">
        <f>63.5771 * CHOOSE(CONTROL!$C$13, $C$13, 100%, $E$13) + CHOOSE(CONTROL!$C$32, 0.0021, 0)</f>
        <v>63.5792</v>
      </c>
      <c r="E673" s="4">
        <f>317.142430759904 * CHOOSE(CONTROL!$C$13, $C$13, 100%, $E$13) + CHOOSE(CONTROL!$C$32, 0.0021, 0)</f>
        <v>317.144530759904</v>
      </c>
    </row>
    <row r="674" spans="1:5" ht="15">
      <c r="A674" s="13">
        <v>61667</v>
      </c>
      <c r="B674" s="4">
        <f>47.9133 * CHOOSE(CONTROL!$C$13, $C$13, 100%, $E$13) + CHOOSE(CONTROL!$C$32, 0.0272, 0)</f>
        <v>47.9405</v>
      </c>
      <c r="C674" s="4">
        <f>47.55 * CHOOSE(CONTROL!$C$13, $C$13, 100%, $E$13) + CHOOSE(CONTROL!$C$32, 0.0272, 0)</f>
        <v>47.577199999999998</v>
      </c>
      <c r="D674" s="4">
        <f>62.7266 * CHOOSE(CONTROL!$C$13, $C$13, 100%, $E$13) + CHOOSE(CONTROL!$C$32, 0.0021, 0)</f>
        <v>62.728699999999996</v>
      </c>
      <c r="E674" s="4">
        <f>306.605228098194 * CHOOSE(CONTROL!$C$13, $C$13, 100%, $E$13) + CHOOSE(CONTROL!$C$32, 0.0021, 0)</f>
        <v>306.60732809819399</v>
      </c>
    </row>
    <row r="675" spans="1:5" ht="15">
      <c r="A675" s="13">
        <v>61697</v>
      </c>
      <c r="B675" s="4">
        <f>46.8698 * CHOOSE(CONTROL!$C$13, $C$13, 100%, $E$13) + CHOOSE(CONTROL!$C$32, 0.0272, 0)</f>
        <v>46.896999999999998</v>
      </c>
      <c r="C675" s="4">
        <f>46.5066 * CHOOSE(CONTROL!$C$13, $C$13, 100%, $E$13) + CHOOSE(CONTROL!$C$32, 0.0272, 0)</f>
        <v>46.533799999999999</v>
      </c>
      <c r="D675" s="4">
        <f>62.4342 * CHOOSE(CONTROL!$C$13, $C$13, 100%, $E$13) + CHOOSE(CONTROL!$C$32, 0.0021, 0)</f>
        <v>62.436299999999996</v>
      </c>
      <c r="E675" s="4">
        <f>299.818482715023 * CHOOSE(CONTROL!$C$13, $C$13, 100%, $E$13) + CHOOSE(CONTROL!$C$32, 0.0021, 0)</f>
        <v>299.82058271502297</v>
      </c>
    </row>
    <row r="676" spans="1:5" ht="15">
      <c r="A676" s="13">
        <v>61728</v>
      </c>
      <c r="B676" s="4">
        <f>46.1479 * CHOOSE(CONTROL!$C$13, $C$13, 100%, $E$13) + CHOOSE(CONTROL!$C$32, 0.0272, 0)</f>
        <v>46.1751</v>
      </c>
      <c r="C676" s="4">
        <f>45.7846 * CHOOSE(CONTROL!$C$13, $C$13, 100%, $E$13) + CHOOSE(CONTROL!$C$32, 0.0272, 0)</f>
        <v>45.811799999999998</v>
      </c>
      <c r="D676" s="4">
        <f>60.2815 * CHOOSE(CONTROL!$C$13, $C$13, 100%, $E$13) + CHOOSE(CONTROL!$C$32, 0.0021, 0)</f>
        <v>60.2836</v>
      </c>
      <c r="E676" s="4">
        <f>295.122927308141 * CHOOSE(CONTROL!$C$13, $C$13, 100%, $E$13) + CHOOSE(CONTROL!$C$32, 0.0021, 0)</f>
        <v>295.125027308141</v>
      </c>
    </row>
    <row r="677" spans="1:5" ht="15">
      <c r="A677" s="13">
        <v>61759</v>
      </c>
      <c r="B677" s="4">
        <f>44.2558 * CHOOSE(CONTROL!$C$13, $C$13, 100%, $E$13) + CHOOSE(CONTROL!$C$32, 0.0272, 0)</f>
        <v>44.283000000000001</v>
      </c>
      <c r="C677" s="4">
        <f>43.8925 * CHOOSE(CONTROL!$C$13, $C$13, 100%, $E$13) + CHOOSE(CONTROL!$C$32, 0.0272, 0)</f>
        <v>43.919699999999999</v>
      </c>
      <c r="D677" s="4">
        <f>57.8031 * CHOOSE(CONTROL!$C$13, $C$13, 100%, $E$13) + CHOOSE(CONTROL!$C$32, 0.0021, 0)</f>
        <v>57.805199999999999</v>
      </c>
      <c r="E677" s="4">
        <f>282.829858180267 * CHOOSE(CONTROL!$C$13, $C$13, 100%, $E$13) + CHOOSE(CONTROL!$C$32, 0.0021, 0)</f>
        <v>282.83195818026701</v>
      </c>
    </row>
    <row r="678" spans="1:5" ht="15">
      <c r="A678" s="13">
        <v>61787</v>
      </c>
      <c r="B678" s="4">
        <f>45.2882 * CHOOSE(CONTROL!$C$13, $C$13, 100%, $E$13) + CHOOSE(CONTROL!$C$32, 0.0272, 0)</f>
        <v>45.315400000000004</v>
      </c>
      <c r="C678" s="4">
        <f>44.9249 * CHOOSE(CONTROL!$C$13, $C$13, 100%, $E$13) + CHOOSE(CONTROL!$C$32, 0.0272, 0)</f>
        <v>44.952100000000002</v>
      </c>
      <c r="D678" s="4">
        <f>59.7778 * CHOOSE(CONTROL!$C$13, $C$13, 100%, $E$13) + CHOOSE(CONTROL!$C$32, 0.0021, 0)</f>
        <v>59.779899999999998</v>
      </c>
      <c r="E678" s="4">
        <f>289.545353620325 * CHOOSE(CONTROL!$C$13, $C$13, 100%, $E$13) + CHOOSE(CONTROL!$C$32, 0.0021, 0)</f>
        <v>289.54745362032497</v>
      </c>
    </row>
    <row r="679" spans="1:5" ht="15">
      <c r="A679" s="13">
        <v>61818</v>
      </c>
      <c r="B679" s="4">
        <f>47.9994 * CHOOSE(CONTROL!$C$13, $C$13, 100%, $E$13) + CHOOSE(CONTROL!$C$32, 0.0272, 0)</f>
        <v>48.026600000000002</v>
      </c>
      <c r="C679" s="4">
        <f>47.6362 * CHOOSE(CONTROL!$C$13, $C$13, 100%, $E$13) + CHOOSE(CONTROL!$C$32, 0.0272, 0)</f>
        <v>47.663400000000003</v>
      </c>
      <c r="D679" s="4">
        <f>62.8691 * CHOOSE(CONTROL!$C$13, $C$13, 100%, $E$13) + CHOOSE(CONTROL!$C$32, 0.0021, 0)</f>
        <v>62.871200000000002</v>
      </c>
      <c r="E679" s="4">
        <f>307.180601529018 * CHOOSE(CONTROL!$C$13, $C$13, 100%, $E$13) + CHOOSE(CONTROL!$C$32, 0.0021, 0)</f>
        <v>307.182701529018</v>
      </c>
    </row>
    <row r="680" spans="1:5" ht="15">
      <c r="A680" s="13">
        <v>61848</v>
      </c>
      <c r="B680" s="4">
        <f>49.9258 * CHOOSE(CONTROL!$C$13, $C$13, 100%, $E$13) + CHOOSE(CONTROL!$C$32, 0.0272, 0)</f>
        <v>49.953000000000003</v>
      </c>
      <c r="C680" s="4">
        <f>49.5625 * CHOOSE(CONTROL!$C$13, $C$13, 100%, $E$13) + CHOOSE(CONTROL!$C$32, 0.0272, 0)</f>
        <v>49.589700000000001</v>
      </c>
      <c r="D680" s="4">
        <f>64.6498 * CHOOSE(CONTROL!$C$13, $C$13, 100%, $E$13) + CHOOSE(CONTROL!$C$32, 0.0021, 0)</f>
        <v>64.651899999999998</v>
      </c>
      <c r="E680" s="4">
        <f>319.710680188724 * CHOOSE(CONTROL!$C$13, $C$13, 100%, $E$13) + CHOOSE(CONTROL!$C$32, 0.0021, 0)</f>
        <v>319.71278018872397</v>
      </c>
    </row>
    <row r="681" spans="1:5" ht="15">
      <c r="A681" s="13">
        <v>61879</v>
      </c>
      <c r="B681" s="4">
        <f>51.1028 * CHOOSE(CONTROL!$C$13, $C$13, 100%, $E$13) + CHOOSE(CONTROL!$C$32, 0.0272, 0)</f>
        <v>51.13</v>
      </c>
      <c r="C681" s="4">
        <f>50.7395 * CHOOSE(CONTROL!$C$13, $C$13, 100%, $E$13) + CHOOSE(CONTROL!$C$32, 0.0272, 0)</f>
        <v>50.7667</v>
      </c>
      <c r="D681" s="4">
        <f>63.9462 * CHOOSE(CONTROL!$C$13, $C$13, 100%, $E$13) + CHOOSE(CONTROL!$C$32, 0.0021, 0)</f>
        <v>63.948299999999996</v>
      </c>
      <c r="E681" s="4">
        <f>327.366257945731 * CHOOSE(CONTROL!$C$13, $C$13, 100%, $E$13) + CHOOSE(CONTROL!$C$32, 0.0021, 0)</f>
        <v>327.36835794573096</v>
      </c>
    </row>
    <row r="682" spans="1:5" ht="15">
      <c r="A682" s="13">
        <v>61909</v>
      </c>
      <c r="B682" s="4">
        <f>51.262 * CHOOSE(CONTROL!$C$13, $C$13, 100%, $E$13) + CHOOSE(CONTROL!$C$32, 0.0272, 0)</f>
        <v>51.289200000000001</v>
      </c>
      <c r="C682" s="4">
        <f>50.8988 * CHOOSE(CONTROL!$C$13, $C$13, 100%, $E$13) + CHOOSE(CONTROL!$C$32, 0.0272, 0)</f>
        <v>50.926000000000002</v>
      </c>
      <c r="D682" s="4">
        <f>64.5192 * CHOOSE(CONTROL!$C$13, $C$13, 100%, $E$13) + CHOOSE(CONTROL!$C$32, 0.0021, 0)</f>
        <v>64.521299999999997</v>
      </c>
      <c r="E682" s="4">
        <f>328.402089387554 * CHOOSE(CONTROL!$C$13, $C$13, 100%, $E$13) + CHOOSE(CONTROL!$C$32, 0.0021, 0)</f>
        <v>328.40418938755397</v>
      </c>
    </row>
    <row r="683" spans="1:5" ht="15">
      <c r="A683" s="13">
        <v>61940</v>
      </c>
      <c r="B683" s="4">
        <f>51.246 * CHOOSE(CONTROL!$C$13, $C$13, 100%, $E$13) + CHOOSE(CONTROL!$C$32, 0.0272, 0)</f>
        <v>51.273200000000003</v>
      </c>
      <c r="C683" s="4">
        <f>50.8827 * CHOOSE(CONTROL!$C$13, $C$13, 100%, $E$13) + CHOOSE(CONTROL!$C$32, 0.0272, 0)</f>
        <v>50.9099</v>
      </c>
      <c r="D683" s="4">
        <f>65.5532 * CHOOSE(CONTROL!$C$13, $C$13, 100%, $E$13) + CHOOSE(CONTROL!$C$32, 0.0021, 0)</f>
        <v>65.555300000000003</v>
      </c>
      <c r="E683" s="4">
        <f>328.297635796782 * CHOOSE(CONTROL!$C$13, $C$13, 100%, $E$13) + CHOOSE(CONTROL!$C$32, 0.0021, 0)</f>
        <v>328.29973579678199</v>
      </c>
    </row>
    <row r="684" spans="1:5" ht="15">
      <c r="A684" s="13">
        <v>61971</v>
      </c>
      <c r="B684" s="4">
        <f>52.4544 * CHOOSE(CONTROL!$C$13, $C$13, 100%, $E$13) + CHOOSE(CONTROL!$C$32, 0.0272, 0)</f>
        <v>52.4816</v>
      </c>
      <c r="C684" s="4">
        <f>52.0911 * CHOOSE(CONTROL!$C$13, $C$13, 100%, $E$13) + CHOOSE(CONTROL!$C$32, 0.0272, 0)</f>
        <v>52.118299999999998</v>
      </c>
      <c r="D684" s="4">
        <f>64.8704 * CHOOSE(CONTROL!$C$13, $C$13, 100%, $E$13) + CHOOSE(CONTROL!$C$32, 0.0021, 0)</f>
        <v>64.872500000000002</v>
      </c>
      <c r="E684" s="4">
        <f>336.157768502384 * CHOOSE(CONTROL!$C$13, $C$13, 100%, $E$13) + CHOOSE(CONTROL!$C$32, 0.0021, 0)</f>
        <v>336.15986850238397</v>
      </c>
    </row>
    <row r="685" spans="1:5" ht="15">
      <c r="A685" s="13">
        <v>62001</v>
      </c>
      <c r="B685" s="4">
        <f>50.3949 * CHOOSE(CONTROL!$C$13, $C$13, 100%, $E$13) + CHOOSE(CONTROL!$C$32, 0.0272, 0)</f>
        <v>50.4221</v>
      </c>
      <c r="C685" s="4">
        <f>50.0316 * CHOOSE(CONTROL!$C$13, $C$13, 100%, $E$13) + CHOOSE(CONTROL!$C$32, 0.0272, 0)</f>
        <v>50.058799999999998</v>
      </c>
      <c r="D685" s="4">
        <f>64.5477 * CHOOSE(CONTROL!$C$13, $C$13, 100%, $E$13) + CHOOSE(CONTROL!$C$32, 0.0021, 0)</f>
        <v>64.549800000000005</v>
      </c>
      <c r="E685" s="4">
        <f>322.76159548586 * CHOOSE(CONTROL!$C$13, $C$13, 100%, $E$13) + CHOOSE(CONTROL!$C$32, 0.0021, 0)</f>
        <v>322.76369548586001</v>
      </c>
    </row>
    <row r="686" spans="1:5" ht="15">
      <c r="A686" s="13">
        <v>62032</v>
      </c>
      <c r="B686" s="4">
        <f>48.7462 * CHOOSE(CONTROL!$C$13, $C$13, 100%, $E$13) + CHOOSE(CONTROL!$C$32, 0.0272, 0)</f>
        <v>48.773400000000002</v>
      </c>
      <c r="C686" s="4">
        <f>48.3829 * CHOOSE(CONTROL!$C$13, $C$13, 100%, $E$13) + CHOOSE(CONTROL!$C$32, 0.0272, 0)</f>
        <v>48.4101</v>
      </c>
      <c r="D686" s="4">
        <f>63.6839 * CHOOSE(CONTROL!$C$13, $C$13, 100%, $E$13) + CHOOSE(CONTROL!$C$32, 0.0021, 0)</f>
        <v>63.686</v>
      </c>
      <c r="E686" s="4">
        <f>312.037693499922 * CHOOSE(CONTROL!$C$13, $C$13, 100%, $E$13) + CHOOSE(CONTROL!$C$32, 0.0021, 0)</f>
        <v>312.03979349992198</v>
      </c>
    </row>
    <row r="687" spans="1:5" ht="15">
      <c r="A687" s="13">
        <v>62062</v>
      </c>
      <c r="B687" s="4">
        <f>47.6843 * CHOOSE(CONTROL!$C$13, $C$13, 100%, $E$13) + CHOOSE(CONTROL!$C$32, 0.0272, 0)</f>
        <v>47.711500000000001</v>
      </c>
      <c r="C687" s="4">
        <f>47.321 * CHOOSE(CONTROL!$C$13, $C$13, 100%, $E$13) + CHOOSE(CONTROL!$C$32, 0.0272, 0)</f>
        <v>47.348199999999999</v>
      </c>
      <c r="D687" s="4">
        <f>63.3869 * CHOOSE(CONTROL!$C$13, $C$13, 100%, $E$13) + CHOOSE(CONTROL!$C$32, 0.0021, 0)</f>
        <v>63.388999999999996</v>
      </c>
      <c r="E687" s="4">
        <f>305.130699810115 * CHOOSE(CONTROL!$C$13, $C$13, 100%, $E$13) + CHOOSE(CONTROL!$C$32, 0.0021, 0)</f>
        <v>305.13279981011499</v>
      </c>
    </row>
    <row r="688" spans="1:5" ht="15">
      <c r="A688" s="13">
        <v>62093</v>
      </c>
      <c r="B688" s="4">
        <f>46.9496 * CHOOSE(CONTROL!$C$13, $C$13, 100%, $E$13) + CHOOSE(CONTROL!$C$32, 0.0272, 0)</f>
        <v>46.976799999999997</v>
      </c>
      <c r="C688" s="4">
        <f>46.5863 * CHOOSE(CONTROL!$C$13, $C$13, 100%, $E$13) + CHOOSE(CONTROL!$C$32, 0.0272, 0)</f>
        <v>46.613500000000002</v>
      </c>
      <c r="D688" s="4">
        <f>61.2003 * CHOOSE(CONTROL!$C$13, $C$13, 100%, $E$13) + CHOOSE(CONTROL!$C$32, 0.0021, 0)</f>
        <v>61.202399999999997</v>
      </c>
      <c r="E688" s="4">
        <f>300.35194803229 * CHOOSE(CONTROL!$C$13, $C$13, 100%, $E$13) + CHOOSE(CONTROL!$C$32, 0.0021, 0)</f>
        <v>300.35404803229</v>
      </c>
    </row>
    <row r="689" spans="1:5" ht="15">
      <c r="A689" s="13">
        <v>62124</v>
      </c>
      <c r="B689" s="4">
        <f>45.024 * CHOOSE(CONTROL!$C$13, $C$13, 100%, $E$13) + CHOOSE(CONTROL!$C$32, 0.0272, 0)</f>
        <v>45.051200000000001</v>
      </c>
      <c r="C689" s="4">
        <f>44.6607 * CHOOSE(CONTROL!$C$13, $C$13, 100%, $E$13) + CHOOSE(CONTROL!$C$32, 0.0272, 0)</f>
        <v>44.687899999999999</v>
      </c>
      <c r="D689" s="4">
        <f>58.6829 * CHOOSE(CONTROL!$C$13, $C$13, 100%, $E$13) + CHOOSE(CONTROL!$C$32, 0.0021, 0)</f>
        <v>58.684999999999995</v>
      </c>
      <c r="E689" s="4">
        <f>287.8410689436 * CHOOSE(CONTROL!$C$13, $C$13, 100%, $E$13) + CHOOSE(CONTROL!$C$32, 0.0021, 0)</f>
        <v>287.84316894360001</v>
      </c>
    </row>
    <row r="690" spans="1:5" ht="15">
      <c r="A690" s="13">
        <v>62152</v>
      </c>
      <c r="B690" s="4">
        <f>46.0747 * CHOOSE(CONTROL!$C$13, $C$13, 100%, $E$13) + CHOOSE(CONTROL!$C$32, 0.0272, 0)</f>
        <v>46.101900000000001</v>
      </c>
      <c r="C690" s="4">
        <f>45.7114 * CHOOSE(CONTROL!$C$13, $C$13, 100%, $E$13) + CHOOSE(CONTROL!$C$32, 0.0272, 0)</f>
        <v>45.738599999999998</v>
      </c>
      <c r="D690" s="4">
        <f>60.6887 * CHOOSE(CONTROL!$C$13, $C$13, 100%, $E$13) + CHOOSE(CONTROL!$C$32, 0.0021, 0)</f>
        <v>60.690799999999996</v>
      </c>
      <c r="E690" s="4">
        <f>294.675550275907 * CHOOSE(CONTROL!$C$13, $C$13, 100%, $E$13) + CHOOSE(CONTROL!$C$32, 0.0021, 0)</f>
        <v>294.67765027590701</v>
      </c>
    </row>
    <row r="691" spans="1:5" ht="15">
      <c r="A691" s="13">
        <v>62183</v>
      </c>
      <c r="B691" s="4">
        <f>48.8338 * CHOOSE(CONTROL!$C$13, $C$13, 100%, $E$13) + CHOOSE(CONTROL!$C$32, 0.0272, 0)</f>
        <v>48.860999999999997</v>
      </c>
      <c r="C691" s="4">
        <f>48.4706 * CHOOSE(CONTROL!$C$13, $C$13, 100%, $E$13) + CHOOSE(CONTROL!$C$32, 0.0272, 0)</f>
        <v>48.497799999999998</v>
      </c>
      <c r="D691" s="4">
        <f>63.8286 * CHOOSE(CONTROL!$C$13, $C$13, 100%, $E$13) + CHOOSE(CONTROL!$C$32, 0.0021, 0)</f>
        <v>63.8307</v>
      </c>
      <c r="E691" s="4">
        <f>312.623261460942 * CHOOSE(CONTROL!$C$13, $C$13, 100%, $E$13) + CHOOSE(CONTROL!$C$32, 0.0021, 0)</f>
        <v>312.62536146094197</v>
      </c>
    </row>
    <row r="692" spans="1:5" ht="15">
      <c r="A692" s="13">
        <v>62213</v>
      </c>
      <c r="B692" s="4">
        <f>50.7943 * CHOOSE(CONTROL!$C$13, $C$13, 100%, $E$13) + CHOOSE(CONTROL!$C$32, 0.0272, 0)</f>
        <v>50.8215</v>
      </c>
      <c r="C692" s="4">
        <f>50.431 * CHOOSE(CONTROL!$C$13, $C$13, 100%, $E$13) + CHOOSE(CONTROL!$C$32, 0.0272, 0)</f>
        <v>50.458199999999998</v>
      </c>
      <c r="D692" s="4">
        <f>65.6373 * CHOOSE(CONTROL!$C$13, $C$13, 100%, $E$13) + CHOOSE(CONTROL!$C$32, 0.0021, 0)</f>
        <v>65.639399999999995</v>
      </c>
      <c r="E692" s="4">
        <f>325.375349442609 * CHOOSE(CONTROL!$C$13, $C$13, 100%, $E$13) + CHOOSE(CONTROL!$C$32, 0.0021, 0)</f>
        <v>325.37744944260896</v>
      </c>
    </row>
    <row r="693" spans="1:5" ht="15">
      <c r="A693" s="13">
        <v>62244</v>
      </c>
      <c r="B693" s="4">
        <f>51.992 * CHOOSE(CONTROL!$C$13, $C$13, 100%, $E$13) + CHOOSE(CONTROL!$C$32, 0.0272, 0)</f>
        <v>52.019199999999998</v>
      </c>
      <c r="C693" s="4">
        <f>51.6287 * CHOOSE(CONTROL!$C$13, $C$13, 100%, $E$13) + CHOOSE(CONTROL!$C$32, 0.0272, 0)</f>
        <v>51.655900000000003</v>
      </c>
      <c r="D693" s="4">
        <f>64.9226 * CHOOSE(CONTROL!$C$13, $C$13, 100%, $E$13) + CHOOSE(CONTROL!$C$32, 0.0021, 0)</f>
        <v>64.924700000000001</v>
      </c>
      <c r="E693" s="4">
        <f>333.166569574513 * CHOOSE(CONTROL!$C$13, $C$13, 100%, $E$13) + CHOOSE(CONTROL!$C$32, 0.0021, 0)</f>
        <v>333.16866957451299</v>
      </c>
    </row>
    <row r="694" spans="1:5" ht="15">
      <c r="A694" s="13">
        <v>62274</v>
      </c>
      <c r="B694" s="4">
        <f>52.1541 * CHOOSE(CONTROL!$C$13, $C$13, 100%, $E$13) + CHOOSE(CONTROL!$C$32, 0.0272, 0)</f>
        <v>52.1813</v>
      </c>
      <c r="C694" s="4">
        <f>51.7908 * CHOOSE(CONTROL!$C$13, $C$13, 100%, $E$13) + CHOOSE(CONTROL!$C$32, 0.0272, 0)</f>
        <v>51.817999999999998</v>
      </c>
      <c r="D694" s="4">
        <f>65.5047 * CHOOSE(CONTROL!$C$13, $C$13, 100%, $E$13) + CHOOSE(CONTROL!$C$32, 0.0021, 0)</f>
        <v>65.506799999999998</v>
      </c>
      <c r="E694" s="4">
        <f>334.220753992587 * CHOOSE(CONTROL!$C$13, $C$13, 100%, $E$13) + CHOOSE(CONTROL!$C$32, 0.0021, 0)</f>
        <v>334.22285399258698</v>
      </c>
    </row>
    <row r="695" spans="1:5" ht="15">
      <c r="A695" s="13">
        <v>62305</v>
      </c>
      <c r="B695" s="4">
        <f>52.1377 * CHOOSE(CONTROL!$C$13, $C$13, 100%, $E$13) + CHOOSE(CONTROL!$C$32, 0.0272, 0)</f>
        <v>52.164900000000003</v>
      </c>
      <c r="C695" s="4">
        <f>51.7745 * CHOOSE(CONTROL!$C$13, $C$13, 100%, $E$13) + CHOOSE(CONTROL!$C$32, 0.0272, 0)</f>
        <v>51.801700000000004</v>
      </c>
      <c r="D695" s="4">
        <f>66.555 * CHOOSE(CONTROL!$C$13, $C$13, 100%, $E$13) + CHOOSE(CONTROL!$C$32, 0.0021, 0)</f>
        <v>66.557100000000005</v>
      </c>
      <c r="E695" s="4">
        <f>334.114449681521 * CHOOSE(CONTROL!$C$13, $C$13, 100%, $E$13) + CHOOSE(CONTROL!$C$32, 0.0021, 0)</f>
        <v>334.11654968152101</v>
      </c>
    </row>
    <row r="696" spans="1:5" ht="15">
      <c r="A696" s="13">
        <v>62336</v>
      </c>
      <c r="B696" s="4">
        <f>53.3675 * CHOOSE(CONTROL!$C$13, $C$13, 100%, $E$13) + CHOOSE(CONTROL!$C$32, 0.0272, 0)</f>
        <v>53.3947</v>
      </c>
      <c r="C696" s="4">
        <f>53.0042 * CHOOSE(CONTROL!$C$13, $C$13, 100%, $E$13) + CHOOSE(CONTROL!$C$32, 0.0272, 0)</f>
        <v>53.031399999999998</v>
      </c>
      <c r="D696" s="4">
        <f>65.8613 * CHOOSE(CONTROL!$C$13, $C$13, 100%, $E$13) + CHOOSE(CONTROL!$C$32, 0.0021, 0)</f>
        <v>65.863399999999999</v>
      </c>
      <c r="E696" s="4">
        <f>342.113849089264 * CHOOSE(CONTROL!$C$13, $C$13, 100%, $E$13) + CHOOSE(CONTROL!$C$32, 0.0021, 0)</f>
        <v>342.11594908926401</v>
      </c>
    </row>
    <row r="697" spans="1:5" ht="15">
      <c r="A697" s="13">
        <v>62366</v>
      </c>
      <c r="B697" s="4">
        <f>51.2716 * CHOOSE(CONTROL!$C$13, $C$13, 100%, $E$13) + CHOOSE(CONTROL!$C$32, 0.0272, 0)</f>
        <v>51.2988</v>
      </c>
      <c r="C697" s="4">
        <f>50.9083 * CHOOSE(CONTROL!$C$13, $C$13, 100%, $E$13) + CHOOSE(CONTROL!$C$32, 0.0272, 0)</f>
        <v>50.935499999999998</v>
      </c>
      <c r="D697" s="4">
        <f>65.5336 * CHOOSE(CONTROL!$C$13, $C$13, 100%, $E$13) + CHOOSE(CONTROL!$C$32, 0.0021, 0)</f>
        <v>65.535700000000006</v>
      </c>
      <c r="E697" s="4">
        <f>328.480321195005 * CHOOSE(CONTROL!$C$13, $C$13, 100%, $E$13) + CHOOSE(CONTROL!$C$32, 0.0021, 0)</f>
        <v>328.48242119500497</v>
      </c>
    </row>
    <row r="698" spans="1:5" ht="15">
      <c r="A698" s="13">
        <v>62397</v>
      </c>
      <c r="B698" s="4">
        <f>49.5938 * CHOOSE(CONTROL!$C$13, $C$13, 100%, $E$13) + CHOOSE(CONTROL!$C$32, 0.0272, 0)</f>
        <v>49.621000000000002</v>
      </c>
      <c r="C698" s="4">
        <f>49.2305 * CHOOSE(CONTROL!$C$13, $C$13, 100%, $E$13) + CHOOSE(CONTROL!$C$32, 0.0272, 0)</f>
        <v>49.2577</v>
      </c>
      <c r="D698" s="4">
        <f>64.6562 * CHOOSE(CONTROL!$C$13, $C$13, 100%, $E$13) + CHOOSE(CONTROL!$C$32, 0.0021, 0)</f>
        <v>64.658299999999997</v>
      </c>
      <c r="E698" s="4">
        <f>317.566411925527 * CHOOSE(CONTROL!$C$13, $C$13, 100%, $E$13) + CHOOSE(CONTROL!$C$32, 0.0021, 0)</f>
        <v>317.56851192552699</v>
      </c>
    </row>
    <row r="699" spans="1:5" ht="15">
      <c r="A699" s="13">
        <v>62427</v>
      </c>
      <c r="B699" s="4">
        <f>48.5131 * CHOOSE(CONTROL!$C$13, $C$13, 100%, $E$13) + CHOOSE(CONTROL!$C$32, 0.0272, 0)</f>
        <v>48.540300000000002</v>
      </c>
      <c r="C699" s="4">
        <f>48.1498 * CHOOSE(CONTROL!$C$13, $C$13, 100%, $E$13) + CHOOSE(CONTROL!$C$32, 0.0272, 0)</f>
        <v>48.177</v>
      </c>
      <c r="D699" s="4">
        <f>64.3545 * CHOOSE(CONTROL!$C$13, $C$13, 100%, $E$13) + CHOOSE(CONTROL!$C$32, 0.0021, 0)</f>
        <v>64.3566</v>
      </c>
      <c r="E699" s="4">
        <f>310.537039356265 * CHOOSE(CONTROL!$C$13, $C$13, 100%, $E$13) + CHOOSE(CONTROL!$C$32, 0.0021, 0)</f>
        <v>310.53913935626497</v>
      </c>
    </row>
    <row r="700" spans="1:5" ht="15">
      <c r="A700" s="13">
        <v>62458</v>
      </c>
      <c r="B700" s="4">
        <f>47.7655 * CHOOSE(CONTROL!$C$13, $C$13, 100%, $E$13) + CHOOSE(CONTROL!$C$32, 0.0272, 0)</f>
        <v>47.792700000000004</v>
      </c>
      <c r="C700" s="4">
        <f>47.4022 * CHOOSE(CONTROL!$C$13, $C$13, 100%, $E$13) + CHOOSE(CONTROL!$C$32, 0.0272, 0)</f>
        <v>47.429400000000001</v>
      </c>
      <c r="D700" s="4">
        <f>62.1336 * CHOOSE(CONTROL!$C$13, $C$13, 100%, $E$13) + CHOOSE(CONTROL!$C$32, 0.0021, 0)</f>
        <v>62.1357</v>
      </c>
      <c r="E700" s="4">
        <f>305.67361712498 * CHOOSE(CONTROL!$C$13, $C$13, 100%, $E$13) + CHOOSE(CONTROL!$C$32, 0.0021, 0)</f>
        <v>305.67571712498</v>
      </c>
    </row>
    <row r="701" spans="1:5" ht="15">
      <c r="A701" s="13">
        <v>62489</v>
      </c>
      <c r="B701" s="4">
        <f>45.8058 * CHOOSE(CONTROL!$C$13, $C$13, 100%, $E$13) + CHOOSE(CONTROL!$C$32, 0.0272, 0)</f>
        <v>45.832999999999998</v>
      </c>
      <c r="C701" s="4">
        <f>45.4426 * CHOOSE(CONTROL!$C$13, $C$13, 100%, $E$13) + CHOOSE(CONTROL!$C$32, 0.0272, 0)</f>
        <v>45.469799999999999</v>
      </c>
      <c r="D701" s="4">
        <f>59.5766 * CHOOSE(CONTROL!$C$13, $C$13, 100%, $E$13) + CHOOSE(CONTROL!$C$32, 0.0021, 0)</f>
        <v>59.578699999999998</v>
      </c>
      <c r="E701" s="4">
        <f>292.941068894455 * CHOOSE(CONTROL!$C$13, $C$13, 100%, $E$13) + CHOOSE(CONTROL!$C$32, 0.0021, 0)</f>
        <v>292.94316889445497</v>
      </c>
    </row>
    <row r="702" spans="1:5" ht="15">
      <c r="A702" s="13">
        <v>62517</v>
      </c>
      <c r="B702" s="4">
        <f>46.8751 * CHOOSE(CONTROL!$C$13, $C$13, 100%, $E$13) + CHOOSE(CONTROL!$C$32, 0.0272, 0)</f>
        <v>46.902300000000004</v>
      </c>
      <c r="C702" s="4">
        <f>46.5118 * CHOOSE(CONTROL!$C$13, $C$13, 100%, $E$13) + CHOOSE(CONTROL!$C$32, 0.0272, 0)</f>
        <v>46.539000000000001</v>
      </c>
      <c r="D702" s="4">
        <f>61.6139 * CHOOSE(CONTROL!$C$13, $C$13, 100%, $E$13) + CHOOSE(CONTROL!$C$32, 0.0021, 0)</f>
        <v>61.616</v>
      </c>
      <c r="E702" s="4">
        <f>299.896644324233 * CHOOSE(CONTROL!$C$13, $C$13, 100%, $E$13) + CHOOSE(CONTROL!$C$32, 0.0021, 0)</f>
        <v>299.89874432423301</v>
      </c>
    </row>
    <row r="703" spans="1:5" ht="15">
      <c r="A703" s="13">
        <v>62548</v>
      </c>
      <c r="B703" s="4">
        <f>49.683 * CHOOSE(CONTROL!$C$13, $C$13, 100%, $E$13) + CHOOSE(CONTROL!$C$32, 0.0272, 0)</f>
        <v>49.7102</v>
      </c>
      <c r="C703" s="4">
        <f>49.3197 * CHOOSE(CONTROL!$C$13, $C$13, 100%, $E$13) + CHOOSE(CONTROL!$C$32, 0.0272, 0)</f>
        <v>49.346899999999998</v>
      </c>
      <c r="D703" s="4">
        <f>64.8032 * CHOOSE(CONTROL!$C$13, $C$13, 100%, $E$13) + CHOOSE(CONTROL!$C$32, 0.0021, 0)</f>
        <v>64.805300000000003</v>
      </c>
      <c r="E703" s="4">
        <f>318.162355044558 * CHOOSE(CONTROL!$C$13, $C$13, 100%, $E$13) + CHOOSE(CONTROL!$C$32, 0.0021, 0)</f>
        <v>318.164455044558</v>
      </c>
    </row>
    <row r="704" spans="1:5" ht="15">
      <c r="A704" s="13">
        <v>62578</v>
      </c>
      <c r="B704" s="4">
        <f>51.678 * CHOOSE(CONTROL!$C$13, $C$13, 100%, $E$13) + CHOOSE(CONTROL!$C$32, 0.0272, 0)</f>
        <v>51.705199999999998</v>
      </c>
      <c r="C704" s="4">
        <f>51.3148 * CHOOSE(CONTROL!$C$13, $C$13, 100%, $E$13) + CHOOSE(CONTROL!$C$32, 0.0272, 0)</f>
        <v>51.341999999999999</v>
      </c>
      <c r="D704" s="4">
        <f>66.6403 * CHOOSE(CONTROL!$C$13, $C$13, 100%, $E$13) + CHOOSE(CONTROL!$C$32, 0.0021, 0)</f>
        <v>66.642399999999995</v>
      </c>
      <c r="E704" s="4">
        <f>331.14038593395 * CHOOSE(CONTROL!$C$13, $C$13, 100%, $E$13) + CHOOSE(CONTROL!$C$32, 0.0021, 0)</f>
        <v>331.14248593394996</v>
      </c>
    </row>
    <row r="705" spans="1:5" ht="15">
      <c r="A705" s="13">
        <v>62609</v>
      </c>
      <c r="B705" s="4">
        <f>52.897 * CHOOSE(CONTROL!$C$13, $C$13, 100%, $E$13) + CHOOSE(CONTROL!$C$32, 0.0272, 0)</f>
        <v>52.924199999999999</v>
      </c>
      <c r="C705" s="4">
        <f>52.5337 * CHOOSE(CONTROL!$C$13, $C$13, 100%, $E$13) + CHOOSE(CONTROL!$C$32, 0.0272, 0)</f>
        <v>52.560900000000004</v>
      </c>
      <c r="D705" s="4">
        <f>65.9144 * CHOOSE(CONTROL!$C$13, $C$13, 100%, $E$13) + CHOOSE(CONTROL!$C$32, 0.0021, 0)</f>
        <v>65.916499999999999</v>
      </c>
      <c r="E705" s="4">
        <f>339.069651767379 * CHOOSE(CONTROL!$C$13, $C$13, 100%, $E$13) + CHOOSE(CONTROL!$C$32, 0.0021, 0)</f>
        <v>339.071751767379</v>
      </c>
    </row>
    <row r="706" spans="1:5" ht="15">
      <c r="A706" s="13">
        <v>62639</v>
      </c>
      <c r="B706" s="4">
        <f>53.0619 * CHOOSE(CONTROL!$C$13, $C$13, 100%, $E$13) + CHOOSE(CONTROL!$C$32, 0.0272, 0)</f>
        <v>53.089100000000002</v>
      </c>
      <c r="C706" s="4">
        <f>52.6986 * CHOOSE(CONTROL!$C$13, $C$13, 100%, $E$13) + CHOOSE(CONTROL!$C$32, 0.0272, 0)</f>
        <v>52.7258</v>
      </c>
      <c r="D706" s="4">
        <f>66.5056 * CHOOSE(CONTROL!$C$13, $C$13, 100%, $E$13) + CHOOSE(CONTROL!$C$32, 0.0021, 0)</f>
        <v>66.5077</v>
      </c>
      <c r="E706" s="4">
        <f>340.142514341771 * CHOOSE(CONTROL!$C$13, $C$13, 100%, $E$13) + CHOOSE(CONTROL!$C$32, 0.0021, 0)</f>
        <v>340.14461434177099</v>
      </c>
    </row>
    <row r="707" spans="1:5" ht="15">
      <c r="A707" s="13">
        <v>62670</v>
      </c>
      <c r="B707" s="4">
        <f>53.0453 * CHOOSE(CONTROL!$C$13, $C$13, 100%, $E$13) + CHOOSE(CONTROL!$C$32, 0.0272, 0)</f>
        <v>53.072499999999998</v>
      </c>
      <c r="C707" s="4">
        <f>52.682 * CHOOSE(CONTROL!$C$13, $C$13, 100%, $E$13) + CHOOSE(CONTROL!$C$32, 0.0272, 0)</f>
        <v>52.709200000000003</v>
      </c>
      <c r="D707" s="4">
        <f>67.5724 * CHOOSE(CONTROL!$C$13, $C$13, 100%, $E$13) + CHOOSE(CONTROL!$C$32, 0.0021, 0)</f>
        <v>67.5745</v>
      </c>
      <c r="E707" s="4">
        <f>340.034326519143 * CHOOSE(CONTROL!$C$13, $C$13, 100%, $E$13) + CHOOSE(CONTROL!$C$32, 0.0021, 0)</f>
        <v>340.03642651914299</v>
      </c>
    </row>
    <row r="708" spans="1:5" ht="15">
      <c r="A708" s="13">
        <v>62701</v>
      </c>
      <c r="B708" s="4">
        <f>54.2968 * CHOOSE(CONTROL!$C$13, $C$13, 100%, $E$13) + CHOOSE(CONTROL!$C$32, 0.0272, 0)</f>
        <v>54.323999999999998</v>
      </c>
      <c r="C708" s="4">
        <f>53.9335 * CHOOSE(CONTROL!$C$13, $C$13, 100%, $E$13) + CHOOSE(CONTROL!$C$32, 0.0272, 0)</f>
        <v>53.960700000000003</v>
      </c>
      <c r="D708" s="4">
        <f>66.8679 * CHOOSE(CONTROL!$C$13, $C$13, 100%, $E$13) + CHOOSE(CONTROL!$C$32, 0.0021, 0)</f>
        <v>66.87</v>
      </c>
      <c r="E708" s="4">
        <f>348.175460171884 * CHOOSE(CONTROL!$C$13, $C$13, 100%, $E$13) + CHOOSE(CONTROL!$C$32, 0.0021, 0)</f>
        <v>348.17756017188401</v>
      </c>
    </row>
    <row r="709" spans="1:5" ht="15">
      <c r="A709" s="13">
        <v>62731</v>
      </c>
      <c r="B709" s="4">
        <f>52.1638 * CHOOSE(CONTROL!$C$13, $C$13, 100%, $E$13) + CHOOSE(CONTROL!$C$32, 0.0272, 0)</f>
        <v>52.191000000000003</v>
      </c>
      <c r="C709" s="4">
        <f>51.8005 * CHOOSE(CONTROL!$C$13, $C$13, 100%, $E$13) + CHOOSE(CONTROL!$C$32, 0.0272, 0)</f>
        <v>51.8277</v>
      </c>
      <c r="D709" s="4">
        <f>66.535 * CHOOSE(CONTROL!$C$13, $C$13, 100%, $E$13) + CHOOSE(CONTROL!$C$32, 0.0021, 0)</f>
        <v>66.537099999999995</v>
      </c>
      <c r="E709" s="4">
        <f>334.30037191987 * CHOOSE(CONTROL!$C$13, $C$13, 100%, $E$13) + CHOOSE(CONTROL!$C$32, 0.0021, 0)</f>
        <v>334.30247191986996</v>
      </c>
    </row>
    <row r="710" spans="1:5" ht="15">
      <c r="A710" s="13">
        <v>62762</v>
      </c>
      <c r="B710" s="4">
        <f>50.4563 * CHOOSE(CONTROL!$C$13, $C$13, 100%, $E$13) + CHOOSE(CONTROL!$C$32, 0.0272, 0)</f>
        <v>50.483499999999999</v>
      </c>
      <c r="C710" s="4">
        <f>50.0931 * CHOOSE(CONTROL!$C$13, $C$13, 100%, $E$13) + CHOOSE(CONTROL!$C$32, 0.0272, 0)</f>
        <v>50.1203</v>
      </c>
      <c r="D710" s="4">
        <f>65.6438 * CHOOSE(CONTROL!$C$13, $C$13, 100%, $E$13) + CHOOSE(CONTROL!$C$32, 0.0021, 0)</f>
        <v>65.645899999999997</v>
      </c>
      <c r="E710" s="4">
        <f>323.19308879675 * CHOOSE(CONTROL!$C$13, $C$13, 100%, $E$13) + CHOOSE(CONTROL!$C$32, 0.0021, 0)</f>
        <v>323.19518879674996</v>
      </c>
    </row>
    <row r="711" spans="1:5" ht="15">
      <c r="A711" s="13">
        <v>62792</v>
      </c>
      <c r="B711" s="4">
        <f>49.3566 * CHOOSE(CONTROL!$C$13, $C$13, 100%, $E$13) + CHOOSE(CONTROL!$C$32, 0.0272, 0)</f>
        <v>49.383800000000001</v>
      </c>
      <c r="C711" s="4">
        <f>48.9933 * CHOOSE(CONTROL!$C$13, $C$13, 100%, $E$13) + CHOOSE(CONTROL!$C$32, 0.0272, 0)</f>
        <v>49.020499999999998</v>
      </c>
      <c r="D711" s="4">
        <f>65.3373 * CHOOSE(CONTROL!$C$13, $C$13, 100%, $E$13) + CHOOSE(CONTROL!$C$32, 0.0021, 0)</f>
        <v>65.339399999999998</v>
      </c>
      <c r="E711" s="4">
        <f>316.039169025488 * CHOOSE(CONTROL!$C$13, $C$13, 100%, $E$13) + CHOOSE(CONTROL!$C$32, 0.0021, 0)</f>
        <v>316.04126902548796</v>
      </c>
    </row>
    <row r="712" spans="1:5" ht="15">
      <c r="A712" s="13">
        <v>62823</v>
      </c>
      <c r="B712" s="4">
        <f>48.5957 * CHOOSE(CONTROL!$C$13, $C$13, 100%, $E$13) + CHOOSE(CONTROL!$C$32, 0.0272, 0)</f>
        <v>48.622900000000001</v>
      </c>
      <c r="C712" s="4">
        <f>48.2324 * CHOOSE(CONTROL!$C$13, $C$13, 100%, $E$13) + CHOOSE(CONTROL!$C$32, 0.0272, 0)</f>
        <v>48.259599999999999</v>
      </c>
      <c r="D712" s="4">
        <f>63.0815 * CHOOSE(CONTROL!$C$13, $C$13, 100%, $E$13) + CHOOSE(CONTROL!$C$32, 0.0021, 0)</f>
        <v>63.083599999999997</v>
      </c>
      <c r="E712" s="4">
        <f>311.089576140266 * CHOOSE(CONTROL!$C$13, $C$13, 100%, $E$13) + CHOOSE(CONTROL!$C$32, 0.0021, 0)</f>
        <v>311.09167614026597</v>
      </c>
    </row>
    <row r="713" spans="1:5" ht="15">
      <c r="A713" s="13">
        <v>62854</v>
      </c>
      <c r="B713" s="4">
        <f>46.6015 * CHOOSE(CONTROL!$C$13, $C$13, 100%, $E$13) + CHOOSE(CONTROL!$C$32, 0.0272, 0)</f>
        <v>46.628700000000002</v>
      </c>
      <c r="C713" s="4">
        <f>46.2382 * CHOOSE(CONTROL!$C$13, $C$13, 100%, $E$13) + CHOOSE(CONTROL!$C$32, 0.0272, 0)</f>
        <v>46.2654</v>
      </c>
      <c r="D713" s="4">
        <f>60.4843 * CHOOSE(CONTROL!$C$13, $C$13, 100%, $E$13) + CHOOSE(CONTROL!$C$32, 0.0021, 0)</f>
        <v>60.486399999999996</v>
      </c>
      <c r="E713" s="4">
        <f>298.131431209492 * CHOOSE(CONTROL!$C$13, $C$13, 100%, $E$13) + CHOOSE(CONTROL!$C$32, 0.0021, 0)</f>
        <v>298.13353120949199</v>
      </c>
    </row>
    <row r="714" spans="1:5" ht="15">
      <c r="A714" s="13">
        <v>62883</v>
      </c>
      <c r="B714" s="4">
        <f>47.6896 * CHOOSE(CONTROL!$C$13, $C$13, 100%, $E$13) + CHOOSE(CONTROL!$C$32, 0.0272, 0)</f>
        <v>47.716799999999999</v>
      </c>
      <c r="C714" s="4">
        <f>47.3263 * CHOOSE(CONTROL!$C$13, $C$13, 100%, $E$13) + CHOOSE(CONTROL!$C$32, 0.0272, 0)</f>
        <v>47.353500000000004</v>
      </c>
      <c r="D714" s="4">
        <f>62.5537 * CHOOSE(CONTROL!$C$13, $C$13, 100%, $E$13) + CHOOSE(CONTROL!$C$32, 0.0021, 0)</f>
        <v>62.555799999999998</v>
      </c>
      <c r="E714" s="4">
        <f>305.210246295377 * CHOOSE(CONTROL!$C$13, $C$13, 100%, $E$13) + CHOOSE(CONTROL!$C$32, 0.0021, 0)</f>
        <v>305.21234629537696</v>
      </c>
    </row>
    <row r="715" spans="1:5" ht="15">
      <c r="A715" s="13">
        <v>62914</v>
      </c>
      <c r="B715" s="4">
        <f>50.5471 * CHOOSE(CONTROL!$C$13, $C$13, 100%, $E$13) + CHOOSE(CONTROL!$C$32, 0.0272, 0)</f>
        <v>50.574300000000001</v>
      </c>
      <c r="C715" s="4">
        <f>50.1839 * CHOOSE(CONTROL!$C$13, $C$13, 100%, $E$13) + CHOOSE(CONTROL!$C$32, 0.0272, 0)</f>
        <v>50.211100000000002</v>
      </c>
      <c r="D715" s="4">
        <f>65.7931 * CHOOSE(CONTROL!$C$13, $C$13, 100%, $E$13) + CHOOSE(CONTROL!$C$32, 0.0021, 0)</f>
        <v>65.795199999999994</v>
      </c>
      <c r="E715" s="4">
        <f>323.799590901992 * CHOOSE(CONTROL!$C$13, $C$13, 100%, $E$13) + CHOOSE(CONTROL!$C$32, 0.0021, 0)</f>
        <v>323.801690901992</v>
      </c>
    </row>
    <row r="716" spans="1:5" ht="15">
      <c r="A716" s="13">
        <v>62944</v>
      </c>
      <c r="B716" s="4">
        <f>52.5774 * CHOOSE(CONTROL!$C$13, $C$13, 100%, $E$13) + CHOOSE(CONTROL!$C$32, 0.0272, 0)</f>
        <v>52.604599999999998</v>
      </c>
      <c r="C716" s="4">
        <f>52.2142 * CHOOSE(CONTROL!$C$13, $C$13, 100%, $E$13) + CHOOSE(CONTROL!$C$32, 0.0272, 0)</f>
        <v>52.241399999999999</v>
      </c>
      <c r="D716" s="4">
        <f>67.6591 * CHOOSE(CONTROL!$C$13, $C$13, 100%, $E$13) + CHOOSE(CONTROL!$C$32, 0.0021, 0)</f>
        <v>67.661199999999994</v>
      </c>
      <c r="E716" s="4">
        <f>337.007567980582 * CHOOSE(CONTROL!$C$13, $C$13, 100%, $E$13) + CHOOSE(CONTROL!$C$32, 0.0021, 0)</f>
        <v>337.00966798058198</v>
      </c>
    </row>
    <row r="717" spans="1:5" ht="15">
      <c r="A717" s="13">
        <v>62975</v>
      </c>
      <c r="B717" s="4">
        <f>53.8179 * CHOOSE(CONTROL!$C$13, $C$13, 100%, $E$13) + CHOOSE(CONTROL!$C$32, 0.0272, 0)</f>
        <v>53.845100000000002</v>
      </c>
      <c r="C717" s="4">
        <f>53.4546 * CHOOSE(CONTROL!$C$13, $C$13, 100%, $E$13) + CHOOSE(CONTROL!$C$32, 0.0272, 0)</f>
        <v>53.4818</v>
      </c>
      <c r="D717" s="4">
        <f>66.9218 * CHOOSE(CONTROL!$C$13, $C$13, 100%, $E$13) + CHOOSE(CONTROL!$C$32, 0.0021, 0)</f>
        <v>66.923900000000003</v>
      </c>
      <c r="E717" s="4">
        <f>345.077325424569 * CHOOSE(CONTROL!$C$13, $C$13, 100%, $E$13) + CHOOSE(CONTROL!$C$32, 0.0021, 0)</f>
        <v>345.07942542456897</v>
      </c>
    </row>
    <row r="718" spans="1:5" ht="15">
      <c r="A718" s="13">
        <v>63005</v>
      </c>
      <c r="B718" s="4">
        <f>53.9857 * CHOOSE(CONTROL!$C$13, $C$13, 100%, $E$13) + CHOOSE(CONTROL!$C$32, 0.0272, 0)</f>
        <v>54.012900000000002</v>
      </c>
      <c r="C718" s="4">
        <f>53.6225 * CHOOSE(CONTROL!$C$13, $C$13, 100%, $E$13) + CHOOSE(CONTROL!$C$32, 0.0272, 0)</f>
        <v>53.649700000000003</v>
      </c>
      <c r="D718" s="4">
        <f>67.5223 * CHOOSE(CONTROL!$C$13, $C$13, 100%, $E$13) + CHOOSE(CONTROL!$C$32, 0.0021, 0)</f>
        <v>67.5244</v>
      </c>
      <c r="E718" s="4">
        <f>346.169197096921 * CHOOSE(CONTROL!$C$13, $C$13, 100%, $E$13) + CHOOSE(CONTROL!$C$32, 0.0021, 0)</f>
        <v>346.17129709692097</v>
      </c>
    </row>
    <row r="719" spans="1:5" ht="15">
      <c r="A719" s="13">
        <v>63036</v>
      </c>
      <c r="B719" s="4">
        <f>53.9688 * CHOOSE(CONTROL!$C$13, $C$13, 100%, $E$13) + CHOOSE(CONTROL!$C$32, 0.0272, 0)</f>
        <v>53.996000000000002</v>
      </c>
      <c r="C719" s="4">
        <f>53.6055 * CHOOSE(CONTROL!$C$13, $C$13, 100%, $E$13) + CHOOSE(CONTROL!$C$32, 0.0272, 0)</f>
        <v>53.6327</v>
      </c>
      <c r="D719" s="4">
        <f>68.6059 * CHOOSE(CONTROL!$C$13, $C$13, 100%, $E$13) + CHOOSE(CONTROL!$C$32, 0.0021, 0)</f>
        <v>68.608000000000004</v>
      </c>
      <c r="E719" s="4">
        <f>346.059092390466 * CHOOSE(CONTROL!$C$13, $C$13, 100%, $E$13) + CHOOSE(CONTROL!$C$32, 0.0021, 0)</f>
        <v>346.06119239046598</v>
      </c>
    </row>
    <row r="720" spans="1:5" ht="15">
      <c r="A720" s="13">
        <v>63067</v>
      </c>
      <c r="B720" s="4">
        <f>55.2424 * CHOOSE(CONTROL!$C$13, $C$13, 100%, $E$13) + CHOOSE(CONTROL!$C$32, 0.0272, 0)</f>
        <v>55.269600000000004</v>
      </c>
      <c r="C720" s="4">
        <f>54.8791 * CHOOSE(CONTROL!$C$13, $C$13, 100%, $E$13) + CHOOSE(CONTROL!$C$32, 0.0272, 0)</f>
        <v>54.906300000000002</v>
      </c>
      <c r="D720" s="4">
        <f>67.8903 * CHOOSE(CONTROL!$C$13, $C$13, 100%, $E$13) + CHOOSE(CONTROL!$C$32, 0.0021, 0)</f>
        <v>67.892399999999995</v>
      </c>
      <c r="E720" s="4">
        <f>354.344471551262 * CHOOSE(CONTROL!$C$13, $C$13, 100%, $E$13) + CHOOSE(CONTROL!$C$32, 0.0021, 0)</f>
        <v>354.346571551262</v>
      </c>
    </row>
    <row r="721" spans="1:5" ht="15">
      <c r="A721" s="13">
        <v>63097</v>
      </c>
      <c r="B721" s="4">
        <f>53.0718 * CHOOSE(CONTROL!$C$13, $C$13, 100%, $E$13) + CHOOSE(CONTROL!$C$32, 0.0272, 0)</f>
        <v>53.099000000000004</v>
      </c>
      <c r="C721" s="4">
        <f>52.7085 * CHOOSE(CONTROL!$C$13, $C$13, 100%, $E$13) + CHOOSE(CONTROL!$C$32, 0.0272, 0)</f>
        <v>52.735700000000001</v>
      </c>
      <c r="D721" s="4">
        <f>67.5522 * CHOOSE(CONTROL!$C$13, $C$13, 100%, $E$13) + CHOOSE(CONTROL!$C$32, 0.0021, 0)</f>
        <v>67.554299999999998</v>
      </c>
      <c r="E721" s="4">
        <f>340.22354294831 * CHOOSE(CONTROL!$C$13, $C$13, 100%, $E$13) + CHOOSE(CONTROL!$C$32, 0.0021, 0)</f>
        <v>340.22564294831</v>
      </c>
    </row>
    <row r="722" spans="1:5" ht="15">
      <c r="A722" s="13">
        <v>63128</v>
      </c>
      <c r="B722" s="4">
        <f>51.3341 * CHOOSE(CONTROL!$C$13, $C$13, 100%, $E$13) + CHOOSE(CONTROL!$C$32, 0.0272, 0)</f>
        <v>51.3613</v>
      </c>
      <c r="C722" s="4">
        <f>50.9709 * CHOOSE(CONTROL!$C$13, $C$13, 100%, $E$13) + CHOOSE(CONTROL!$C$32, 0.0272, 0)</f>
        <v>50.998100000000001</v>
      </c>
      <c r="D722" s="4">
        <f>66.6469 * CHOOSE(CONTROL!$C$13, $C$13, 100%, $E$13) + CHOOSE(CONTROL!$C$32, 0.0021, 0)</f>
        <v>66.649000000000001</v>
      </c>
      <c r="E722" s="4">
        <f>328.919459752185 * CHOOSE(CONTROL!$C$13, $C$13, 100%, $E$13) + CHOOSE(CONTROL!$C$32, 0.0021, 0)</f>
        <v>328.92155975218498</v>
      </c>
    </row>
    <row r="723" spans="1:5" ht="15">
      <c r="A723" s="13">
        <v>63158</v>
      </c>
      <c r="B723" s="4">
        <f>50.215 * CHOOSE(CONTROL!$C$13, $C$13, 100%, $E$13) + CHOOSE(CONTROL!$C$32, 0.0272, 0)</f>
        <v>50.242200000000004</v>
      </c>
      <c r="C723" s="4">
        <f>49.8517 * CHOOSE(CONTROL!$C$13, $C$13, 100%, $E$13) + CHOOSE(CONTROL!$C$32, 0.0272, 0)</f>
        <v>49.878900000000002</v>
      </c>
      <c r="D723" s="4">
        <f>66.3356 * CHOOSE(CONTROL!$C$13, $C$13, 100%, $E$13) + CHOOSE(CONTROL!$C$32, 0.0021, 0)</f>
        <v>66.337699999999998</v>
      </c>
      <c r="E723" s="4">
        <f>321.638786037798 * CHOOSE(CONTROL!$C$13, $C$13, 100%, $E$13) + CHOOSE(CONTROL!$C$32, 0.0021, 0)</f>
        <v>321.640886037798</v>
      </c>
    </row>
    <row r="724" spans="1:5" ht="15">
      <c r="A724" s="13">
        <v>63189</v>
      </c>
      <c r="B724" s="4">
        <f>49.4407 * CHOOSE(CONTROL!$C$13, $C$13, 100%, $E$13) + CHOOSE(CONTROL!$C$32, 0.0272, 0)</f>
        <v>49.4679</v>
      </c>
      <c r="C724" s="4">
        <f>49.0774 * CHOOSE(CONTROL!$C$13, $C$13, 100%, $E$13) + CHOOSE(CONTROL!$C$32, 0.0272, 0)</f>
        <v>49.104599999999998</v>
      </c>
      <c r="D724" s="4">
        <f>64.0443 * CHOOSE(CONTROL!$C$13, $C$13, 100%, $E$13) + CHOOSE(CONTROL!$C$32, 0.0021, 0)</f>
        <v>64.046400000000006</v>
      </c>
      <c r="E724" s="4">
        <f>316.601495717447 * CHOOSE(CONTROL!$C$13, $C$13, 100%, $E$13) + CHOOSE(CONTROL!$C$32, 0.0021, 0)</f>
        <v>316.60359571744698</v>
      </c>
    </row>
    <row r="725" spans="1:5" ht="15">
      <c r="A725" s="13">
        <v>63220</v>
      </c>
      <c r="B725" s="4">
        <f>47.4112 * CHOOSE(CONTROL!$C$13, $C$13, 100%, $E$13) + CHOOSE(CONTROL!$C$32, 0.0272, 0)</f>
        <v>47.438400000000001</v>
      </c>
      <c r="C725" s="4">
        <f>47.0479 * CHOOSE(CONTROL!$C$13, $C$13, 100%, $E$13) + CHOOSE(CONTROL!$C$32, 0.0272, 0)</f>
        <v>47.075099999999999</v>
      </c>
      <c r="D725" s="4">
        <f>61.4063 * CHOOSE(CONTROL!$C$13, $C$13, 100%, $E$13) + CHOOSE(CONTROL!$C$32, 0.0021, 0)</f>
        <v>61.4084</v>
      </c>
      <c r="E725" s="4">
        <f>303.413756939093 * CHOOSE(CONTROL!$C$13, $C$13, 100%, $E$13) + CHOOSE(CONTROL!$C$32, 0.0021, 0)</f>
        <v>303.41585693909298</v>
      </c>
    </row>
    <row r="726" spans="1:5" ht="15">
      <c r="A726" s="13">
        <v>63248</v>
      </c>
      <c r="B726" s="4">
        <f>48.5186 * CHOOSE(CONTROL!$C$13, $C$13, 100%, $E$13) + CHOOSE(CONTROL!$C$32, 0.0272, 0)</f>
        <v>48.5458</v>
      </c>
      <c r="C726" s="4">
        <f>48.1553 * CHOOSE(CONTROL!$C$13, $C$13, 100%, $E$13) + CHOOSE(CONTROL!$C$32, 0.0272, 0)</f>
        <v>48.182499999999997</v>
      </c>
      <c r="D726" s="4">
        <f>63.5082 * CHOOSE(CONTROL!$C$13, $C$13, 100%, $E$13) + CHOOSE(CONTROL!$C$32, 0.0021, 0)</f>
        <v>63.510300000000001</v>
      </c>
      <c r="E726" s="4">
        <f>310.617995254966 * CHOOSE(CONTROL!$C$13, $C$13, 100%, $E$13) + CHOOSE(CONTROL!$C$32, 0.0021, 0)</f>
        <v>310.62009525496597</v>
      </c>
    </row>
    <row r="727" spans="1:5" ht="15">
      <c r="A727" s="13">
        <v>63279</v>
      </c>
      <c r="B727" s="4">
        <f>51.4266 * CHOOSE(CONTROL!$C$13, $C$13, 100%, $E$13) + CHOOSE(CONTROL!$C$32, 0.0272, 0)</f>
        <v>51.453800000000001</v>
      </c>
      <c r="C727" s="4">
        <f>51.0633 * CHOOSE(CONTROL!$C$13, $C$13, 100%, $E$13) + CHOOSE(CONTROL!$C$32, 0.0272, 0)</f>
        <v>51.090499999999999</v>
      </c>
      <c r="D727" s="4">
        <f>66.7986 * CHOOSE(CONTROL!$C$13, $C$13, 100%, $E$13) + CHOOSE(CONTROL!$C$32, 0.0021, 0)</f>
        <v>66.800699999999992</v>
      </c>
      <c r="E727" s="4">
        <f>329.536707928925 * CHOOSE(CONTROL!$C$13, $C$13, 100%, $E$13) + CHOOSE(CONTROL!$C$32, 0.0021, 0)</f>
        <v>329.538807928925</v>
      </c>
    </row>
    <row r="728" spans="1:5" ht="15">
      <c r="A728" s="13">
        <v>63309</v>
      </c>
      <c r="B728" s="4">
        <f>53.4927 * CHOOSE(CONTROL!$C$13, $C$13, 100%, $E$13) + CHOOSE(CONTROL!$C$32, 0.0272, 0)</f>
        <v>53.5199</v>
      </c>
      <c r="C728" s="4">
        <f>53.1294 * CHOOSE(CONTROL!$C$13, $C$13, 100%, $E$13) + CHOOSE(CONTROL!$C$32, 0.0272, 0)</f>
        <v>53.156599999999997</v>
      </c>
      <c r="D728" s="4">
        <f>68.6939 * CHOOSE(CONTROL!$C$13, $C$13, 100%, $E$13) + CHOOSE(CONTROL!$C$32, 0.0021, 0)</f>
        <v>68.695999999999998</v>
      </c>
      <c r="E728" s="4">
        <f>342.978705408769 * CHOOSE(CONTROL!$C$13, $C$13, 100%, $E$13) + CHOOSE(CONTROL!$C$32, 0.0021, 0)</f>
        <v>342.98080540876896</v>
      </c>
    </row>
    <row r="729" spans="1:5" ht="15">
      <c r="A729" s="13">
        <v>63340</v>
      </c>
      <c r="B729" s="4">
        <f>54.7551 * CHOOSE(CONTROL!$C$13, $C$13, 100%, $E$13) + CHOOSE(CONTROL!$C$32, 0.0272, 0)</f>
        <v>54.782299999999999</v>
      </c>
      <c r="C729" s="4">
        <f>54.3918 * CHOOSE(CONTROL!$C$13, $C$13, 100%, $E$13) + CHOOSE(CONTROL!$C$32, 0.0272, 0)</f>
        <v>54.419000000000004</v>
      </c>
      <c r="D729" s="4">
        <f>67.945 * CHOOSE(CONTROL!$C$13, $C$13, 100%, $E$13) + CHOOSE(CONTROL!$C$32, 0.0021, 0)</f>
        <v>67.947099999999992</v>
      </c>
      <c r="E729" s="4">
        <f>351.191443709236 * CHOOSE(CONTROL!$C$13, $C$13, 100%, $E$13) + CHOOSE(CONTROL!$C$32, 0.0021, 0)</f>
        <v>351.193543709236</v>
      </c>
    </row>
    <row r="730" spans="1:5" ht="15">
      <c r="A730" s="13">
        <v>63370</v>
      </c>
      <c r="B730" s="4">
        <f>54.9259 * CHOOSE(CONTROL!$C$13, $C$13, 100%, $E$13) + CHOOSE(CONTROL!$C$32, 0.0272, 0)</f>
        <v>54.953099999999999</v>
      </c>
      <c r="C730" s="4">
        <f>54.5626 * CHOOSE(CONTROL!$C$13, $C$13, 100%, $E$13) + CHOOSE(CONTROL!$C$32, 0.0272, 0)</f>
        <v>54.589800000000004</v>
      </c>
      <c r="D730" s="4">
        <f>68.555 * CHOOSE(CONTROL!$C$13, $C$13, 100%, $E$13) + CHOOSE(CONTROL!$C$32, 0.0021, 0)</f>
        <v>68.557100000000005</v>
      </c>
      <c r="E730" s="4">
        <f>352.302661284853 * CHOOSE(CONTROL!$C$13, $C$13, 100%, $E$13) + CHOOSE(CONTROL!$C$32, 0.0021, 0)</f>
        <v>352.30476128485299</v>
      </c>
    </row>
    <row r="731" spans="1:5" ht="15">
      <c r="A731" s="13">
        <v>63401</v>
      </c>
      <c r="B731" s="4">
        <f>54.9087 * CHOOSE(CONTROL!$C$13, $C$13, 100%, $E$13) + CHOOSE(CONTROL!$C$32, 0.0272, 0)</f>
        <v>54.935900000000004</v>
      </c>
      <c r="C731" s="4">
        <f>54.5454 * CHOOSE(CONTROL!$C$13, $C$13, 100%, $E$13) + CHOOSE(CONTROL!$C$32, 0.0272, 0)</f>
        <v>54.572600000000001</v>
      </c>
      <c r="D731" s="4">
        <f>69.6556 * CHOOSE(CONTROL!$C$13, $C$13, 100%, $E$13) + CHOOSE(CONTROL!$C$32, 0.0021, 0)</f>
        <v>69.657700000000006</v>
      </c>
      <c r="E731" s="4">
        <f>352.19060573101 * CHOOSE(CONTROL!$C$13, $C$13, 100%, $E$13) + CHOOSE(CONTROL!$C$32, 0.0021, 0)</f>
        <v>352.19270573100999</v>
      </c>
    </row>
    <row r="732" spans="1:5" ht="15">
      <c r="A732" s="13">
        <v>63432</v>
      </c>
      <c r="B732" s="4">
        <f>56.2048 * CHOOSE(CONTROL!$C$13, $C$13, 100%, $E$13) + CHOOSE(CONTROL!$C$32, 0.0272, 0)</f>
        <v>56.231999999999999</v>
      </c>
      <c r="C732" s="4">
        <f>55.8415 * CHOOSE(CONTROL!$C$13, $C$13, 100%, $E$13) + CHOOSE(CONTROL!$C$32, 0.0272, 0)</f>
        <v>55.868700000000004</v>
      </c>
      <c r="D732" s="4">
        <f>68.9287 * CHOOSE(CONTROL!$C$13, $C$13, 100%, $E$13) + CHOOSE(CONTROL!$C$32, 0.0021, 0)</f>
        <v>68.930800000000005</v>
      </c>
      <c r="E732" s="4">
        <f>360.622786157754 * CHOOSE(CONTROL!$C$13, $C$13, 100%, $E$13) + CHOOSE(CONTROL!$C$32, 0.0021, 0)</f>
        <v>360.62488615775396</v>
      </c>
    </row>
    <row r="733" spans="1:5" ht="15">
      <c r="A733" s="13">
        <v>63462</v>
      </c>
      <c r="B733" s="4">
        <f>53.9958 * CHOOSE(CONTROL!$C$13, $C$13, 100%, $E$13) + CHOOSE(CONTROL!$C$32, 0.0272, 0)</f>
        <v>54.023000000000003</v>
      </c>
      <c r="C733" s="4">
        <f>53.6325 * CHOOSE(CONTROL!$C$13, $C$13, 100%, $E$13) + CHOOSE(CONTROL!$C$32, 0.0272, 0)</f>
        <v>53.659700000000001</v>
      </c>
      <c r="D733" s="4">
        <f>68.5853 * CHOOSE(CONTROL!$C$13, $C$13, 100%, $E$13) + CHOOSE(CONTROL!$C$32, 0.0021, 0)</f>
        <v>68.587400000000002</v>
      </c>
      <c r="E733" s="4">
        <f>346.251661377289 * CHOOSE(CONTROL!$C$13, $C$13, 100%, $E$13) + CHOOSE(CONTROL!$C$32, 0.0021, 0)</f>
        <v>346.25376137728898</v>
      </c>
    </row>
    <row r="734" spans="1:5" ht="15">
      <c r="A734" s="13">
        <v>63493</v>
      </c>
      <c r="B734" s="4">
        <f>52.2275 * CHOOSE(CONTROL!$C$13, $C$13, 100%, $E$13) + CHOOSE(CONTROL!$C$32, 0.0272, 0)</f>
        <v>52.2547</v>
      </c>
      <c r="C734" s="4">
        <f>51.8642 * CHOOSE(CONTROL!$C$13, $C$13, 100%, $E$13) + CHOOSE(CONTROL!$C$32, 0.0272, 0)</f>
        <v>51.891399999999997</v>
      </c>
      <c r="D734" s="4">
        <f>67.6658 * CHOOSE(CONTROL!$C$13, $C$13, 100%, $E$13) + CHOOSE(CONTROL!$C$32, 0.0021, 0)</f>
        <v>67.667900000000003</v>
      </c>
      <c r="E734" s="4">
        <f>334.747291182661 * CHOOSE(CONTROL!$C$13, $C$13, 100%, $E$13) + CHOOSE(CONTROL!$C$32, 0.0021, 0)</f>
        <v>334.74939118266099</v>
      </c>
    </row>
    <row r="735" spans="1:5" ht="15">
      <c r="A735" s="13">
        <v>63523</v>
      </c>
      <c r="B735" s="4">
        <f>51.0885 * CHOOSE(CONTROL!$C$13, $C$13, 100%, $E$13) + CHOOSE(CONTROL!$C$32, 0.0272, 0)</f>
        <v>51.115700000000004</v>
      </c>
      <c r="C735" s="4">
        <f>50.7252 * CHOOSE(CONTROL!$C$13, $C$13, 100%, $E$13) + CHOOSE(CONTROL!$C$32, 0.0272, 0)</f>
        <v>50.752400000000002</v>
      </c>
      <c r="D735" s="4">
        <f>67.3497 * CHOOSE(CONTROL!$C$13, $C$13, 100%, $E$13) + CHOOSE(CONTROL!$C$32, 0.0021, 0)</f>
        <v>67.351799999999997</v>
      </c>
      <c r="E735" s="4">
        <f>327.337617684741 * CHOOSE(CONTROL!$C$13, $C$13, 100%, $E$13) + CHOOSE(CONTROL!$C$32, 0.0021, 0)</f>
        <v>327.339717684741</v>
      </c>
    </row>
    <row r="736" spans="1:5" ht="15">
      <c r="A736" s="13">
        <v>63554</v>
      </c>
      <c r="B736" s="4">
        <f>50.3005 * CHOOSE(CONTROL!$C$13, $C$13, 100%, $E$13) + CHOOSE(CONTROL!$C$32, 0.0272, 0)</f>
        <v>50.3277</v>
      </c>
      <c r="C736" s="4">
        <f>49.9372 * CHOOSE(CONTROL!$C$13, $C$13, 100%, $E$13) + CHOOSE(CONTROL!$C$32, 0.0272, 0)</f>
        <v>49.964399999999998</v>
      </c>
      <c r="D736" s="4">
        <f>65.0223 * CHOOSE(CONTROL!$C$13, $C$13, 100%, $E$13) + CHOOSE(CONTROL!$C$32, 0.0021, 0)</f>
        <v>65.0244</v>
      </c>
      <c r="E736" s="4">
        <f>322.211076096388 * CHOOSE(CONTROL!$C$13, $C$13, 100%, $E$13) + CHOOSE(CONTROL!$C$32, 0.0021, 0)</f>
        <v>322.213176096388</v>
      </c>
    </row>
    <row r="737" spans="1:5" ht="15">
      <c r="A737" s="13">
        <v>63585</v>
      </c>
      <c r="B737" s="4">
        <f>48.2352 * CHOOSE(CONTROL!$C$13, $C$13, 100%, $E$13) + CHOOSE(CONTROL!$C$32, 0.0272, 0)</f>
        <v>48.2624</v>
      </c>
      <c r="C737" s="4">
        <f>47.8719 * CHOOSE(CONTROL!$C$13, $C$13, 100%, $E$13) + CHOOSE(CONTROL!$C$32, 0.0272, 0)</f>
        <v>47.899099999999997</v>
      </c>
      <c r="D737" s="4">
        <f>62.3428 * CHOOSE(CONTROL!$C$13, $C$13, 100%, $E$13) + CHOOSE(CONTROL!$C$32, 0.0021, 0)</f>
        <v>62.344899999999996</v>
      </c>
      <c r="E737" s="4">
        <f>308.789675501225 * CHOOSE(CONTROL!$C$13, $C$13, 100%, $E$13) + CHOOSE(CONTROL!$C$32, 0.0021, 0)</f>
        <v>308.791775501225</v>
      </c>
    </row>
    <row r="738" spans="1:5" ht="15">
      <c r="A738" s="13">
        <v>63613</v>
      </c>
      <c r="B738" s="4">
        <f>49.3621 * CHOOSE(CONTROL!$C$13, $C$13, 100%, $E$13) + CHOOSE(CONTROL!$C$32, 0.0272, 0)</f>
        <v>49.389299999999999</v>
      </c>
      <c r="C738" s="4">
        <f>48.9988 * CHOOSE(CONTROL!$C$13, $C$13, 100%, $E$13) + CHOOSE(CONTROL!$C$32, 0.0272, 0)</f>
        <v>49.026000000000003</v>
      </c>
      <c r="D738" s="4">
        <f>64.4777 * CHOOSE(CONTROL!$C$13, $C$13, 100%, $E$13) + CHOOSE(CONTROL!$C$32, 0.0021, 0)</f>
        <v>64.479799999999997</v>
      </c>
      <c r="E738" s="4">
        <f>316.121559309772 * CHOOSE(CONTROL!$C$13, $C$13, 100%, $E$13) + CHOOSE(CONTROL!$C$32, 0.0021, 0)</f>
        <v>316.12365930977199</v>
      </c>
    </row>
    <row r="739" spans="1:5" ht="15">
      <c r="A739" s="13">
        <v>63644</v>
      </c>
      <c r="B739" s="4">
        <f>52.3215 * CHOOSE(CONTROL!$C$13, $C$13, 100%, $E$13) + CHOOSE(CONTROL!$C$32, 0.0272, 0)</f>
        <v>52.348700000000001</v>
      </c>
      <c r="C739" s="4">
        <f>51.9582 * CHOOSE(CONTROL!$C$13, $C$13, 100%, $E$13) + CHOOSE(CONTROL!$C$32, 0.0272, 0)</f>
        <v>51.985399999999998</v>
      </c>
      <c r="D739" s="4">
        <f>67.8199 * CHOOSE(CONTROL!$C$13, $C$13, 100%, $E$13) + CHOOSE(CONTROL!$C$32, 0.0021, 0)</f>
        <v>67.822000000000003</v>
      </c>
      <c r="E739" s="4">
        <f>335.375475830984 * CHOOSE(CONTROL!$C$13, $C$13, 100%, $E$13) + CHOOSE(CONTROL!$C$32, 0.0021, 0)</f>
        <v>335.37757583098397</v>
      </c>
    </row>
    <row r="740" spans="1:5" ht="15">
      <c r="A740" s="13">
        <v>63674</v>
      </c>
      <c r="B740" s="4">
        <f>54.4242 * CHOOSE(CONTROL!$C$13, $C$13, 100%, $E$13) + CHOOSE(CONTROL!$C$32, 0.0272, 0)</f>
        <v>54.4514</v>
      </c>
      <c r="C740" s="4">
        <f>54.0609 * CHOOSE(CONTROL!$C$13, $C$13, 100%, $E$13) + CHOOSE(CONTROL!$C$32, 0.0272, 0)</f>
        <v>54.088099999999997</v>
      </c>
      <c r="D740" s="4">
        <f>69.745 * CHOOSE(CONTROL!$C$13, $C$13, 100%, $E$13) + CHOOSE(CONTROL!$C$32, 0.0021, 0)</f>
        <v>69.747100000000003</v>
      </c>
      <c r="E740" s="4">
        <f>349.05564011148 * CHOOSE(CONTROL!$C$13, $C$13, 100%, $E$13) + CHOOSE(CONTROL!$C$32, 0.0021, 0)</f>
        <v>349.05774011147997</v>
      </c>
    </row>
    <row r="741" spans="1:5" ht="15">
      <c r="A741" s="13">
        <v>63705</v>
      </c>
      <c r="B741" s="4">
        <f>55.7089 * CHOOSE(CONTROL!$C$13, $C$13, 100%, $E$13) + CHOOSE(CONTROL!$C$32, 0.0272, 0)</f>
        <v>55.7361</v>
      </c>
      <c r="C741" s="4">
        <f>55.3456 * CHOOSE(CONTROL!$C$13, $C$13, 100%, $E$13) + CHOOSE(CONTROL!$C$32, 0.0272, 0)</f>
        <v>55.372799999999998</v>
      </c>
      <c r="D741" s="4">
        <f>68.9843 * CHOOSE(CONTROL!$C$13, $C$13, 100%, $E$13) + CHOOSE(CONTROL!$C$32, 0.0021, 0)</f>
        <v>68.986400000000003</v>
      </c>
      <c r="E741" s="4">
        <f>357.413892619084 * CHOOSE(CONTROL!$C$13, $C$13, 100%, $E$13) + CHOOSE(CONTROL!$C$32, 0.0021, 0)</f>
        <v>357.41599261908397</v>
      </c>
    </row>
    <row r="742" spans="1:5" ht="15">
      <c r="A742" s="13">
        <v>63735</v>
      </c>
      <c r="B742" s="4">
        <f>55.8827 * CHOOSE(CONTROL!$C$13, $C$13, 100%, $E$13) + CHOOSE(CONTROL!$C$32, 0.0272, 0)</f>
        <v>55.9099</v>
      </c>
      <c r="C742" s="4">
        <f>55.5194 * CHOOSE(CONTROL!$C$13, $C$13, 100%, $E$13) + CHOOSE(CONTROL!$C$32, 0.0272, 0)</f>
        <v>55.546599999999998</v>
      </c>
      <c r="D742" s="4">
        <f>69.6039 * CHOOSE(CONTROL!$C$13, $C$13, 100%, $E$13) + CHOOSE(CONTROL!$C$32, 0.0021, 0)</f>
        <v>69.605999999999995</v>
      </c>
      <c r="E742" s="4">
        <f>358.544798870824 * CHOOSE(CONTROL!$C$13, $C$13, 100%, $E$13) + CHOOSE(CONTROL!$C$32, 0.0021, 0)</f>
        <v>358.54689887082401</v>
      </c>
    </row>
    <row r="743" spans="1:5" ht="15">
      <c r="A743" s="13">
        <v>63766</v>
      </c>
      <c r="B743" s="4">
        <f>55.8652 * CHOOSE(CONTROL!$C$13, $C$13, 100%, $E$13) + CHOOSE(CONTROL!$C$32, 0.0272, 0)</f>
        <v>55.892400000000002</v>
      </c>
      <c r="C743" s="4">
        <f>55.5019 * CHOOSE(CONTROL!$C$13, $C$13, 100%, $E$13) + CHOOSE(CONTROL!$C$32, 0.0272, 0)</f>
        <v>55.5291</v>
      </c>
      <c r="D743" s="4">
        <f>70.7218 * CHOOSE(CONTROL!$C$13, $C$13, 100%, $E$13) + CHOOSE(CONTROL!$C$32, 0.0021, 0)</f>
        <v>70.7239</v>
      </c>
      <c r="E743" s="4">
        <f>358.430757904262 * CHOOSE(CONTROL!$C$13, $C$13, 100%, $E$13) + CHOOSE(CONTROL!$C$32, 0.0021, 0)</f>
        <v>358.43285790426199</v>
      </c>
    </row>
    <row r="744" spans="1:5" ht="15">
      <c r="A744" s="13">
        <v>63797</v>
      </c>
      <c r="B744" s="4">
        <f>57.1842 * CHOOSE(CONTROL!$C$13, $C$13, 100%, $E$13) + CHOOSE(CONTROL!$C$32, 0.0272, 0)</f>
        <v>57.211399999999998</v>
      </c>
      <c r="C744" s="4">
        <f>56.8209 * CHOOSE(CONTROL!$C$13, $C$13, 100%, $E$13) + CHOOSE(CONTROL!$C$32, 0.0272, 0)</f>
        <v>56.848100000000002</v>
      </c>
      <c r="D744" s="4">
        <f>69.9835 * CHOOSE(CONTROL!$C$13, $C$13, 100%, $E$13) + CHOOSE(CONTROL!$C$32, 0.0021, 0)</f>
        <v>69.985600000000005</v>
      </c>
      <c r="E744" s="4">
        <f>367.01234063805 * CHOOSE(CONTROL!$C$13, $C$13, 100%, $E$13) + CHOOSE(CONTROL!$C$32, 0.0021, 0)</f>
        <v>367.01444063804996</v>
      </c>
    </row>
    <row r="745" spans="1:5" ht="15">
      <c r="A745" s="13">
        <v>63827</v>
      </c>
      <c r="B745" s="4">
        <f>54.9362 * CHOOSE(CONTROL!$C$13, $C$13, 100%, $E$13) + CHOOSE(CONTROL!$C$32, 0.0272, 0)</f>
        <v>54.9634</v>
      </c>
      <c r="C745" s="4">
        <f>54.5729 * CHOOSE(CONTROL!$C$13, $C$13, 100%, $E$13) + CHOOSE(CONTROL!$C$32, 0.0272, 0)</f>
        <v>54.600099999999998</v>
      </c>
      <c r="D745" s="4">
        <f>69.6347 * CHOOSE(CONTROL!$C$13, $C$13, 100%, $E$13) + CHOOSE(CONTROL!$C$32, 0.0021, 0)</f>
        <v>69.636799999999994</v>
      </c>
      <c r="E745" s="4">
        <f>352.386586676477 * CHOOSE(CONTROL!$C$13, $C$13, 100%, $E$13) + CHOOSE(CONTROL!$C$32, 0.0021, 0)</f>
        <v>352.38868667647699</v>
      </c>
    </row>
    <row r="746" spans="1:5" ht="15">
      <c r="A746" s="13">
        <v>63858</v>
      </c>
      <c r="B746" s="4">
        <f>53.1366 * CHOOSE(CONTROL!$C$13, $C$13, 100%, $E$13) + CHOOSE(CONTROL!$C$32, 0.0272, 0)</f>
        <v>53.163800000000002</v>
      </c>
      <c r="C746" s="4">
        <f>52.7733 * CHOOSE(CONTROL!$C$13, $C$13, 100%, $E$13) + CHOOSE(CONTROL!$C$32, 0.0272, 0)</f>
        <v>52.8005</v>
      </c>
      <c r="D746" s="4">
        <f>68.7007 * CHOOSE(CONTROL!$C$13, $C$13, 100%, $E$13) + CHOOSE(CONTROL!$C$32, 0.0021, 0)</f>
        <v>68.702799999999996</v>
      </c>
      <c r="E746" s="4">
        <f>340.678380776115 * CHOOSE(CONTROL!$C$13, $C$13, 100%, $E$13) + CHOOSE(CONTROL!$C$32, 0.0021, 0)</f>
        <v>340.68048077611496</v>
      </c>
    </row>
    <row r="747" spans="1:5" ht="15">
      <c r="A747" s="13">
        <v>63888</v>
      </c>
      <c r="B747" s="4">
        <f>51.9775 * CHOOSE(CONTROL!$C$13, $C$13, 100%, $E$13) + CHOOSE(CONTROL!$C$32, 0.0272, 0)</f>
        <v>52.0047</v>
      </c>
      <c r="C747" s="4">
        <f>51.6142 * CHOOSE(CONTROL!$C$13, $C$13, 100%, $E$13) + CHOOSE(CONTROL!$C$32, 0.0272, 0)</f>
        <v>51.641399999999997</v>
      </c>
      <c r="D747" s="4">
        <f>68.3796 * CHOOSE(CONTROL!$C$13, $C$13, 100%, $E$13) + CHOOSE(CONTROL!$C$32, 0.0021, 0)</f>
        <v>68.381699999999995</v>
      </c>
      <c r="E747" s="4">
        <f>333.137421862205 * CHOOSE(CONTROL!$C$13, $C$13, 100%, $E$13) + CHOOSE(CONTROL!$C$32, 0.0021, 0)</f>
        <v>333.13952186220496</v>
      </c>
    </row>
    <row r="748" spans="1:5" ht="15">
      <c r="A748" s="13">
        <v>63919</v>
      </c>
      <c r="B748" s="4">
        <f>51.1756 * CHOOSE(CONTROL!$C$13, $C$13, 100%, $E$13) + CHOOSE(CONTROL!$C$32, 0.0272, 0)</f>
        <v>51.202800000000003</v>
      </c>
      <c r="C748" s="4">
        <f>50.8123 * CHOOSE(CONTROL!$C$13, $C$13, 100%, $E$13) + CHOOSE(CONTROL!$C$32, 0.0272, 0)</f>
        <v>50.839500000000001</v>
      </c>
      <c r="D748" s="4">
        <f>66.0156 * CHOOSE(CONTROL!$C$13, $C$13, 100%, $E$13) + CHOOSE(CONTROL!$C$32, 0.0021, 0)</f>
        <v>66.017700000000005</v>
      </c>
      <c r="E748" s="4">
        <f>327.920047641995 * CHOOSE(CONTROL!$C$13, $C$13, 100%, $E$13) + CHOOSE(CONTROL!$C$32, 0.0021, 0)</f>
        <v>327.92214764199497</v>
      </c>
    </row>
    <row r="749" spans="1:5" ht="15">
      <c r="A749" s="13">
        <v>63950</v>
      </c>
      <c r="B749" s="4">
        <f>49.0738 * CHOOSE(CONTROL!$C$13, $C$13, 100%, $E$13) + CHOOSE(CONTROL!$C$32, 0.0272, 0)</f>
        <v>49.100999999999999</v>
      </c>
      <c r="C749" s="4">
        <f>48.7105 * CHOOSE(CONTROL!$C$13, $C$13, 100%, $E$13) + CHOOSE(CONTROL!$C$32, 0.0272, 0)</f>
        <v>48.737700000000004</v>
      </c>
      <c r="D749" s="4">
        <f>63.294 * CHOOSE(CONTROL!$C$13, $C$13, 100%, $E$13) + CHOOSE(CONTROL!$C$32, 0.0021, 0)</f>
        <v>63.296099999999996</v>
      </c>
      <c r="E749" s="4">
        <f>314.260845184066 * CHOOSE(CONTROL!$C$13, $C$13, 100%, $E$13) + CHOOSE(CONTROL!$C$32, 0.0021, 0)</f>
        <v>314.26294518406598</v>
      </c>
    </row>
    <row r="750" spans="1:5" ht="15">
      <c r="A750" s="13">
        <v>63978</v>
      </c>
      <c r="B750" s="4">
        <f>50.2206 * CHOOSE(CONTROL!$C$13, $C$13, 100%, $E$13) + CHOOSE(CONTROL!$C$32, 0.0272, 0)</f>
        <v>50.247799999999998</v>
      </c>
      <c r="C750" s="4">
        <f>49.8573 * CHOOSE(CONTROL!$C$13, $C$13, 100%, $E$13) + CHOOSE(CONTROL!$C$32, 0.0272, 0)</f>
        <v>49.884500000000003</v>
      </c>
      <c r="D750" s="4">
        <f>65.4625 * CHOOSE(CONTROL!$C$13, $C$13, 100%, $E$13) + CHOOSE(CONTROL!$C$32, 0.0021, 0)</f>
        <v>65.464600000000004</v>
      </c>
      <c r="E750" s="4">
        <f>321.722636122267 * CHOOSE(CONTROL!$C$13, $C$13, 100%, $E$13) + CHOOSE(CONTROL!$C$32, 0.0021, 0)</f>
        <v>321.72473612226696</v>
      </c>
    </row>
    <row r="751" spans="1:5" ht="15">
      <c r="A751" s="13">
        <v>64009</v>
      </c>
      <c r="B751" s="4">
        <f>53.2323 * CHOOSE(CONTROL!$C$13, $C$13, 100%, $E$13) + CHOOSE(CONTROL!$C$32, 0.0272, 0)</f>
        <v>53.259500000000003</v>
      </c>
      <c r="C751" s="4">
        <f>52.869 * CHOOSE(CONTROL!$C$13, $C$13, 100%, $E$13) + CHOOSE(CONTROL!$C$32, 0.0272, 0)</f>
        <v>52.8962</v>
      </c>
      <c r="D751" s="4">
        <f>68.8572 * CHOOSE(CONTROL!$C$13, $C$13, 100%, $E$13) + CHOOSE(CONTROL!$C$32, 0.0021, 0)</f>
        <v>68.859300000000005</v>
      </c>
      <c r="E751" s="4">
        <f>341.317695669637 * CHOOSE(CONTROL!$C$13, $C$13, 100%, $E$13) + CHOOSE(CONTROL!$C$32, 0.0021, 0)</f>
        <v>341.31979566963696</v>
      </c>
    </row>
    <row r="752" spans="1:5" ht="15">
      <c r="A752" s="13">
        <v>64039</v>
      </c>
      <c r="B752" s="4">
        <f>55.3721 * CHOOSE(CONTROL!$C$13, $C$13, 100%, $E$13) + CHOOSE(CONTROL!$C$32, 0.0272, 0)</f>
        <v>55.399300000000004</v>
      </c>
      <c r="C752" s="4">
        <f>55.0088 * CHOOSE(CONTROL!$C$13, $C$13, 100%, $E$13) + CHOOSE(CONTROL!$C$32, 0.0272, 0)</f>
        <v>55.036000000000001</v>
      </c>
      <c r="D752" s="4">
        <f>70.8126 * CHOOSE(CONTROL!$C$13, $C$13, 100%, $E$13) + CHOOSE(CONTROL!$C$32, 0.0021, 0)</f>
        <v>70.814700000000002</v>
      </c>
      <c r="E752" s="4">
        <f>355.240246616547 * CHOOSE(CONTROL!$C$13, $C$13, 100%, $E$13) + CHOOSE(CONTROL!$C$32, 0.0021, 0)</f>
        <v>355.24234661654697</v>
      </c>
    </row>
    <row r="753" spans="1:5" ht="15">
      <c r="A753" s="13">
        <v>64070</v>
      </c>
      <c r="B753" s="4">
        <f>56.6795 * CHOOSE(CONTROL!$C$13, $C$13, 100%, $E$13) + CHOOSE(CONTROL!$C$32, 0.0272, 0)</f>
        <v>56.706699999999998</v>
      </c>
      <c r="C753" s="4">
        <f>56.3162 * CHOOSE(CONTROL!$C$13, $C$13, 100%, $E$13) + CHOOSE(CONTROL!$C$32, 0.0272, 0)</f>
        <v>56.343400000000003</v>
      </c>
      <c r="D753" s="4">
        <f>70.04 * CHOOSE(CONTROL!$C$13, $C$13, 100%, $E$13) + CHOOSE(CONTROL!$C$32, 0.0021, 0)</f>
        <v>70.042100000000005</v>
      </c>
      <c r="E753" s="4">
        <f>363.746591568132 * CHOOSE(CONTROL!$C$13, $C$13, 100%, $E$13) + CHOOSE(CONTROL!$C$32, 0.0021, 0)</f>
        <v>363.74869156813196</v>
      </c>
    </row>
    <row r="754" spans="1:5" ht="15">
      <c r="A754" s="13">
        <v>64100</v>
      </c>
      <c r="B754" s="4">
        <f>56.8564 * CHOOSE(CONTROL!$C$13, $C$13, 100%, $E$13) + CHOOSE(CONTROL!$C$32, 0.0272, 0)</f>
        <v>56.883600000000001</v>
      </c>
      <c r="C754" s="4">
        <f>56.4931 * CHOOSE(CONTROL!$C$13, $C$13, 100%, $E$13) + CHOOSE(CONTROL!$C$32, 0.0272, 0)</f>
        <v>56.520299999999999</v>
      </c>
      <c r="D754" s="4">
        <f>70.6693 * CHOOSE(CONTROL!$C$13, $C$13, 100%, $E$13) + CHOOSE(CONTROL!$C$32, 0.0021, 0)</f>
        <v>70.671400000000006</v>
      </c>
      <c r="E754" s="4">
        <f>364.897535342139 * CHOOSE(CONTROL!$C$13, $C$13, 100%, $E$13) + CHOOSE(CONTROL!$C$32, 0.0021, 0)</f>
        <v>364.89963534213899</v>
      </c>
    </row>
    <row r="755" spans="1:5" ht="15">
      <c r="A755" s="13">
        <v>64131</v>
      </c>
      <c r="B755" s="4">
        <f>56.8385 * CHOOSE(CONTROL!$C$13, $C$13, 100%, $E$13) + CHOOSE(CONTROL!$C$32, 0.0272, 0)</f>
        <v>56.865700000000004</v>
      </c>
      <c r="C755" s="4">
        <f>56.4753 * CHOOSE(CONTROL!$C$13, $C$13, 100%, $E$13) + CHOOSE(CONTROL!$C$32, 0.0272, 0)</f>
        <v>56.502499999999998</v>
      </c>
      <c r="D755" s="4">
        <f>71.8047 * CHOOSE(CONTROL!$C$13, $C$13, 100%, $E$13) + CHOOSE(CONTROL!$C$32, 0.0021, 0)</f>
        <v>71.806799999999996</v>
      </c>
      <c r="E755" s="4">
        <f>364.781473785096 * CHOOSE(CONTROL!$C$13, $C$13, 100%, $E$13) + CHOOSE(CONTROL!$C$32, 0.0021, 0)</f>
        <v>364.783573785096</v>
      </c>
    </row>
    <row r="756" spans="1:5" ht="15">
      <c r="A756" s="13">
        <v>64162</v>
      </c>
      <c r="B756" s="4">
        <f>58.1809 * CHOOSE(CONTROL!$C$13, $C$13, 100%, $E$13) + CHOOSE(CONTROL!$C$32, 0.0272, 0)</f>
        <v>58.208100000000002</v>
      </c>
      <c r="C756" s="4">
        <f>57.8176 * CHOOSE(CONTROL!$C$13, $C$13, 100%, $E$13) + CHOOSE(CONTROL!$C$32, 0.0272, 0)</f>
        <v>57.844799999999999</v>
      </c>
      <c r="D756" s="4">
        <f>71.0549 * CHOOSE(CONTROL!$C$13, $C$13, 100%, $E$13) + CHOOSE(CONTROL!$C$32, 0.0021, 0)</f>
        <v>71.057000000000002</v>
      </c>
      <c r="E756" s="4">
        <f>373.515105952557 * CHOOSE(CONTROL!$C$13, $C$13, 100%, $E$13) + CHOOSE(CONTROL!$C$32, 0.0021, 0)</f>
        <v>373.51720595255699</v>
      </c>
    </row>
    <row r="757" spans="1:5" ht="15">
      <c r="A757" s="13">
        <v>64192</v>
      </c>
      <c r="B757" s="4">
        <f>55.8931 * CHOOSE(CONTROL!$C$13, $C$13, 100%, $E$13) + CHOOSE(CONTROL!$C$32, 0.0272, 0)</f>
        <v>55.920299999999997</v>
      </c>
      <c r="C757" s="4">
        <f>55.5298 * CHOOSE(CONTROL!$C$13, $C$13, 100%, $E$13) + CHOOSE(CONTROL!$C$32, 0.0272, 0)</f>
        <v>55.557000000000002</v>
      </c>
      <c r="D757" s="4">
        <f>70.7006 * CHOOSE(CONTROL!$C$13, $C$13, 100%, $E$13) + CHOOSE(CONTROL!$C$32, 0.0021, 0)</f>
        <v>70.702699999999993</v>
      </c>
      <c r="E757" s="4">
        <f>358.630211261835 * CHOOSE(CONTROL!$C$13, $C$13, 100%, $E$13) + CHOOSE(CONTROL!$C$32, 0.0021, 0)</f>
        <v>358.63231126183496</v>
      </c>
    </row>
    <row r="758" spans="1:5" ht="15">
      <c r="A758" s="13">
        <v>64223</v>
      </c>
      <c r="B758" s="4">
        <f>54.0617 * CHOOSE(CONTROL!$C$13, $C$13, 100%, $E$13) + CHOOSE(CONTROL!$C$32, 0.0272, 0)</f>
        <v>54.088900000000002</v>
      </c>
      <c r="C758" s="4">
        <f>53.6985 * CHOOSE(CONTROL!$C$13, $C$13, 100%, $E$13) + CHOOSE(CONTROL!$C$32, 0.0272, 0)</f>
        <v>53.725700000000003</v>
      </c>
      <c r="D758" s="4">
        <f>69.7519 * CHOOSE(CONTROL!$C$13, $C$13, 100%, $E$13) + CHOOSE(CONTROL!$C$32, 0.0021, 0)</f>
        <v>69.754000000000005</v>
      </c>
      <c r="E758" s="4">
        <f>346.714558072121 * CHOOSE(CONTROL!$C$13, $C$13, 100%, $E$13) + CHOOSE(CONTROL!$C$32, 0.0021, 0)</f>
        <v>346.71665807212099</v>
      </c>
    </row>
    <row r="759" spans="1:5" ht="15">
      <c r="A759" s="13">
        <v>64253</v>
      </c>
      <c r="B759" s="4">
        <f>52.8822 * CHOOSE(CONTROL!$C$13, $C$13, 100%, $E$13) + CHOOSE(CONTROL!$C$32, 0.0272, 0)</f>
        <v>52.909399999999998</v>
      </c>
      <c r="C759" s="4">
        <f>52.5189 * CHOOSE(CONTROL!$C$13, $C$13, 100%, $E$13) + CHOOSE(CONTROL!$C$32, 0.0272, 0)</f>
        <v>52.546100000000003</v>
      </c>
      <c r="D759" s="4">
        <f>69.4257 * CHOOSE(CONTROL!$C$13, $C$13, 100%, $E$13) + CHOOSE(CONTROL!$C$32, 0.0021, 0)</f>
        <v>69.427800000000005</v>
      </c>
      <c r="E759" s="4">
        <f>339.039987612675 * CHOOSE(CONTROL!$C$13, $C$13, 100%, $E$13) + CHOOSE(CONTROL!$C$32, 0.0021, 0)</f>
        <v>339.042087612675</v>
      </c>
    </row>
    <row r="760" spans="1:5" ht="15">
      <c r="A760" s="13">
        <v>64284</v>
      </c>
      <c r="B760" s="4">
        <f>52.0661 * CHOOSE(CONTROL!$C$13, $C$13, 100%, $E$13) + CHOOSE(CONTROL!$C$32, 0.0272, 0)</f>
        <v>52.093299999999999</v>
      </c>
      <c r="C760" s="4">
        <f>51.7028 * CHOOSE(CONTROL!$C$13, $C$13, 100%, $E$13) + CHOOSE(CONTROL!$C$32, 0.0272, 0)</f>
        <v>51.730000000000004</v>
      </c>
      <c r="D760" s="4">
        <f>67.0246 * CHOOSE(CONTROL!$C$13, $C$13, 100%, $E$13) + CHOOSE(CONTROL!$C$32, 0.0021, 0)</f>
        <v>67.026700000000005</v>
      </c>
      <c r="E760" s="4">
        <f>333.730171377973 * CHOOSE(CONTROL!$C$13, $C$13, 100%, $E$13) + CHOOSE(CONTROL!$C$32, 0.0021, 0)</f>
        <v>333.73227137797301</v>
      </c>
    </row>
    <row r="761" spans="1:5" ht="15">
      <c r="A761" s="13">
        <v>64315</v>
      </c>
      <c r="B761" s="4">
        <f>49.9272 * CHOOSE(CONTROL!$C$13, $C$13, 100%, $E$13) + CHOOSE(CONTROL!$C$32, 0.0272, 0)</f>
        <v>49.9544</v>
      </c>
      <c r="C761" s="4">
        <f>49.5639 * CHOOSE(CONTROL!$C$13, $C$13, 100%, $E$13) + CHOOSE(CONTROL!$C$32, 0.0272, 0)</f>
        <v>49.591099999999997</v>
      </c>
      <c r="D761" s="4">
        <f>64.2602 * CHOOSE(CONTROL!$C$13, $C$13, 100%, $E$13) + CHOOSE(CONTROL!$C$32, 0.0021, 0)</f>
        <v>64.262299999999996</v>
      </c>
      <c r="E761" s="4">
        <f>319.828953657525 * CHOOSE(CONTROL!$C$13, $C$13, 100%, $E$13) + CHOOSE(CONTROL!$C$32, 0.0021, 0)</f>
        <v>319.83105365752499</v>
      </c>
    </row>
    <row r="762" spans="1:5" ht="15">
      <c r="A762" s="13">
        <v>64344</v>
      </c>
      <c r="B762" s="4">
        <f>51.0943 * CHOOSE(CONTROL!$C$13, $C$13, 100%, $E$13) + CHOOSE(CONTROL!$C$32, 0.0272, 0)</f>
        <v>51.121499999999997</v>
      </c>
      <c r="C762" s="4">
        <f>50.731 * CHOOSE(CONTROL!$C$13, $C$13, 100%, $E$13) + CHOOSE(CONTROL!$C$32, 0.0272, 0)</f>
        <v>50.758200000000002</v>
      </c>
      <c r="D762" s="4">
        <f>66.4628 * CHOOSE(CONTROL!$C$13, $C$13, 100%, $E$13) + CHOOSE(CONTROL!$C$32, 0.0021, 0)</f>
        <v>66.4649</v>
      </c>
      <c r="E762" s="4">
        <f>327.422953434297 * CHOOSE(CONTROL!$C$13, $C$13, 100%, $E$13) + CHOOSE(CONTROL!$C$32, 0.0021, 0)</f>
        <v>327.42505343429701</v>
      </c>
    </row>
    <row r="763" spans="1:5" ht="15">
      <c r="A763" s="13">
        <v>64375</v>
      </c>
      <c r="B763" s="4">
        <f>54.1591 * CHOOSE(CONTROL!$C$13, $C$13, 100%, $E$13) + CHOOSE(CONTROL!$C$32, 0.0272, 0)</f>
        <v>54.186300000000003</v>
      </c>
      <c r="C763" s="4">
        <f>53.7958 * CHOOSE(CONTROL!$C$13, $C$13, 100%, $E$13) + CHOOSE(CONTROL!$C$32, 0.0272, 0)</f>
        <v>53.823</v>
      </c>
      <c r="D763" s="4">
        <f>69.9109 * CHOOSE(CONTROL!$C$13, $C$13, 100%, $E$13) + CHOOSE(CONTROL!$C$32, 0.0021, 0)</f>
        <v>69.912999999999997</v>
      </c>
      <c r="E763" s="4">
        <f>347.365200417759 * CHOOSE(CONTROL!$C$13, $C$13, 100%, $E$13) + CHOOSE(CONTROL!$C$32, 0.0021, 0)</f>
        <v>347.367300417759</v>
      </c>
    </row>
    <row r="764" spans="1:5" ht="15">
      <c r="A764" s="13">
        <v>64405</v>
      </c>
      <c r="B764" s="4">
        <f>56.3368 * CHOOSE(CONTROL!$C$13, $C$13, 100%, $E$13) + CHOOSE(CONTROL!$C$32, 0.0272, 0)</f>
        <v>56.363999999999997</v>
      </c>
      <c r="C764" s="4">
        <f>55.9735 * CHOOSE(CONTROL!$C$13, $C$13, 100%, $E$13) + CHOOSE(CONTROL!$C$32, 0.0272, 0)</f>
        <v>56.000700000000002</v>
      </c>
      <c r="D764" s="4">
        <f>71.8971 * CHOOSE(CONTROL!$C$13, $C$13, 100%, $E$13) + CHOOSE(CONTROL!$C$32, 0.0021, 0)</f>
        <v>71.899199999999993</v>
      </c>
      <c r="E764" s="4">
        <f>361.534432664893 * CHOOSE(CONTROL!$C$13, $C$13, 100%, $E$13) + CHOOSE(CONTROL!$C$32, 0.0021, 0)</f>
        <v>361.536532664893</v>
      </c>
    </row>
    <row r="765" spans="1:5" ht="15">
      <c r="A765" s="13">
        <v>64436</v>
      </c>
      <c r="B765" s="4">
        <f>57.6672 * CHOOSE(CONTROL!$C$13, $C$13, 100%, $E$13) + CHOOSE(CONTROL!$C$32, 0.0272, 0)</f>
        <v>57.694400000000002</v>
      </c>
      <c r="C765" s="4">
        <f>57.304 * CHOOSE(CONTROL!$C$13, $C$13, 100%, $E$13) + CHOOSE(CONTROL!$C$32, 0.0272, 0)</f>
        <v>57.331200000000003</v>
      </c>
      <c r="D765" s="4">
        <f>71.1122 * CHOOSE(CONTROL!$C$13, $C$13, 100%, $E$13) + CHOOSE(CONTROL!$C$32, 0.0021, 0)</f>
        <v>71.1143</v>
      </c>
      <c r="E765" s="4">
        <f>370.19149397879 * CHOOSE(CONTROL!$C$13, $C$13, 100%, $E$13) + CHOOSE(CONTROL!$C$32, 0.0021, 0)</f>
        <v>370.19359397878998</v>
      </c>
    </row>
    <row r="766" spans="1:5" ht="15">
      <c r="A766" s="13">
        <v>64466</v>
      </c>
      <c r="B766" s="4">
        <f>57.8473 * CHOOSE(CONTROL!$C$13, $C$13, 100%, $E$13) + CHOOSE(CONTROL!$C$32, 0.0272, 0)</f>
        <v>57.874499999999998</v>
      </c>
      <c r="C766" s="4">
        <f>57.484 * CHOOSE(CONTROL!$C$13, $C$13, 100%, $E$13) + CHOOSE(CONTROL!$C$32, 0.0272, 0)</f>
        <v>57.511200000000002</v>
      </c>
      <c r="D766" s="4">
        <f>71.7514 * CHOOSE(CONTROL!$C$13, $C$13, 100%, $E$13) + CHOOSE(CONTROL!$C$32, 0.0021, 0)</f>
        <v>71.753500000000003</v>
      </c>
      <c r="E766" s="4">
        <f>371.362830302103 * CHOOSE(CONTROL!$C$13, $C$13, 100%, $E$13) + CHOOSE(CONTROL!$C$32, 0.0021, 0)</f>
        <v>371.36493030210301</v>
      </c>
    </row>
    <row r="767" spans="1:5" ht="15">
      <c r="A767" s="13">
        <v>64497</v>
      </c>
      <c r="B767" s="4">
        <f>57.8291 * CHOOSE(CONTROL!$C$13, $C$13, 100%, $E$13) + CHOOSE(CONTROL!$C$32, 0.0272, 0)</f>
        <v>57.856299999999997</v>
      </c>
      <c r="C767" s="4">
        <f>57.4658 * CHOOSE(CONTROL!$C$13, $C$13, 100%, $E$13) + CHOOSE(CONTROL!$C$32, 0.0272, 0)</f>
        <v>57.493000000000002</v>
      </c>
      <c r="D767" s="4">
        <f>72.9047 * CHOOSE(CONTROL!$C$13, $C$13, 100%, $E$13) + CHOOSE(CONTROL!$C$32, 0.0021, 0)</f>
        <v>72.906800000000004</v>
      </c>
      <c r="E767" s="4">
        <f>371.244712353534 * CHOOSE(CONTROL!$C$13, $C$13, 100%, $E$13) + CHOOSE(CONTROL!$C$32, 0.0021, 0)</f>
        <v>371.24681235353398</v>
      </c>
    </row>
    <row r="768" spans="1:5" ht="15">
      <c r="A768" s="13">
        <v>64528</v>
      </c>
      <c r="B768" s="4">
        <f>59.1951 * CHOOSE(CONTROL!$C$13, $C$13, 100%, $E$13) + CHOOSE(CONTROL!$C$32, 0.0272, 0)</f>
        <v>59.222299999999997</v>
      </c>
      <c r="C768" s="4">
        <f>58.8319 * CHOOSE(CONTROL!$C$13, $C$13, 100%, $E$13) + CHOOSE(CONTROL!$C$32, 0.0272, 0)</f>
        <v>58.859099999999998</v>
      </c>
      <c r="D768" s="4">
        <f>72.1431 * CHOOSE(CONTROL!$C$13, $C$13, 100%, $E$13) + CHOOSE(CONTROL!$C$32, 0.0021, 0)</f>
        <v>72.145200000000003</v>
      </c>
      <c r="E768" s="4">
        <f>380.133087983379 * CHOOSE(CONTROL!$C$13, $C$13, 100%, $E$13) + CHOOSE(CONTROL!$C$32, 0.0021, 0)</f>
        <v>380.13518798337901</v>
      </c>
    </row>
    <row r="769" spans="1:5" ht="15">
      <c r="A769" s="13">
        <v>64558</v>
      </c>
      <c r="B769" s="4">
        <f>56.867 * CHOOSE(CONTROL!$C$13, $C$13, 100%, $E$13) + CHOOSE(CONTROL!$C$32, 0.0272, 0)</f>
        <v>56.894199999999998</v>
      </c>
      <c r="C769" s="4">
        <f>56.5037 * CHOOSE(CONTROL!$C$13, $C$13, 100%, $E$13) + CHOOSE(CONTROL!$C$32, 0.0272, 0)</f>
        <v>56.530900000000003</v>
      </c>
      <c r="D769" s="4">
        <f>71.7832 * CHOOSE(CONTROL!$C$13, $C$13, 100%, $E$13) + CHOOSE(CONTROL!$C$32, 0.0021, 0)</f>
        <v>71.785299999999992</v>
      </c>
      <c r="E769" s="4">
        <f>364.984461079357 * CHOOSE(CONTROL!$C$13, $C$13, 100%, $E$13) + CHOOSE(CONTROL!$C$32, 0.0021, 0)</f>
        <v>364.98656107935699</v>
      </c>
    </row>
    <row r="770" spans="1:5" ht="15">
      <c r="A770" s="13">
        <v>64589</v>
      </c>
      <c r="B770" s="4">
        <f>55.0033 * CHOOSE(CONTROL!$C$13, $C$13, 100%, $E$13) + CHOOSE(CONTROL!$C$32, 0.0272, 0)</f>
        <v>55.030500000000004</v>
      </c>
      <c r="C770" s="4">
        <f>54.64 * CHOOSE(CONTROL!$C$13, $C$13, 100%, $E$13) + CHOOSE(CONTROL!$C$32, 0.0272, 0)</f>
        <v>54.667200000000001</v>
      </c>
      <c r="D770" s="4">
        <f>70.8196 * CHOOSE(CONTROL!$C$13, $C$13, 100%, $E$13) + CHOOSE(CONTROL!$C$32, 0.0021, 0)</f>
        <v>70.821699999999993</v>
      </c>
      <c r="E770" s="4">
        <f>352.857685026235 * CHOOSE(CONTROL!$C$13, $C$13, 100%, $E$13) + CHOOSE(CONTROL!$C$32, 0.0021, 0)</f>
        <v>352.85978502623499</v>
      </c>
    </row>
    <row r="771" spans="1:5" ht="15">
      <c r="A771" s="13">
        <v>64619</v>
      </c>
      <c r="B771" s="4">
        <f>53.8029 * CHOOSE(CONTROL!$C$13, $C$13, 100%, $E$13) + CHOOSE(CONTROL!$C$32, 0.0272, 0)</f>
        <v>53.830100000000002</v>
      </c>
      <c r="C771" s="4">
        <f>53.4396 * CHOOSE(CONTROL!$C$13, $C$13, 100%, $E$13) + CHOOSE(CONTROL!$C$32, 0.0272, 0)</f>
        <v>53.466799999999999</v>
      </c>
      <c r="D771" s="4">
        <f>70.4883 * CHOOSE(CONTROL!$C$13, $C$13, 100%, $E$13) + CHOOSE(CONTROL!$C$32, 0.0021, 0)</f>
        <v>70.490399999999994</v>
      </c>
      <c r="E771" s="4">
        <f>345.047135677085 * CHOOSE(CONTROL!$C$13, $C$13, 100%, $E$13) + CHOOSE(CONTROL!$C$32, 0.0021, 0)</f>
        <v>345.04923567708499</v>
      </c>
    </row>
    <row r="772" spans="1:5" ht="15">
      <c r="A772" s="13">
        <v>64650</v>
      </c>
      <c r="B772" s="4">
        <f>52.9724 * CHOOSE(CONTROL!$C$13, $C$13, 100%, $E$13) + CHOOSE(CONTROL!$C$32, 0.0272, 0)</f>
        <v>52.999600000000001</v>
      </c>
      <c r="C772" s="4">
        <f>52.6091 * CHOOSE(CONTROL!$C$13, $C$13, 100%, $E$13) + CHOOSE(CONTROL!$C$32, 0.0272, 0)</f>
        <v>52.636299999999999</v>
      </c>
      <c r="D772" s="4">
        <f>68.0494 * CHOOSE(CONTROL!$C$13, $C$13, 100%, $E$13) + CHOOSE(CONTROL!$C$32, 0.0021, 0)</f>
        <v>68.051500000000004</v>
      </c>
      <c r="E772" s="4">
        <f>339.643239530037 * CHOOSE(CONTROL!$C$13, $C$13, 100%, $E$13) + CHOOSE(CONTROL!$C$32, 0.0021, 0)</f>
        <v>339.64533953003701</v>
      </c>
    </row>
    <row r="773" spans="1:5" ht="15">
      <c r="A773" s="13">
        <v>64681</v>
      </c>
      <c r="B773" s="4">
        <f>50.7956 * CHOOSE(CONTROL!$C$13, $C$13, 100%, $E$13) + CHOOSE(CONTROL!$C$32, 0.0272, 0)</f>
        <v>50.822800000000001</v>
      </c>
      <c r="C773" s="4">
        <f>50.4323 * CHOOSE(CONTROL!$C$13, $C$13, 100%, $E$13) + CHOOSE(CONTROL!$C$32, 0.0272, 0)</f>
        <v>50.459499999999998</v>
      </c>
      <c r="D773" s="4">
        <f>65.2415 * CHOOSE(CONTROL!$C$13, $C$13, 100%, $E$13) + CHOOSE(CONTROL!$C$32, 0.0021, 0)</f>
        <v>65.243600000000001</v>
      </c>
      <c r="E773" s="4">
        <f>325.495718493834 * CHOOSE(CONTROL!$C$13, $C$13, 100%, $E$13) + CHOOSE(CONTROL!$C$32, 0.0021, 0)</f>
        <v>325.49781849383396</v>
      </c>
    </row>
    <row r="774" spans="1:5" ht="15">
      <c r="A774" s="13">
        <v>64709</v>
      </c>
      <c r="B774" s="4">
        <f>51.9833 * CHOOSE(CONTROL!$C$13, $C$13, 100%, $E$13) + CHOOSE(CONTROL!$C$32, 0.0272, 0)</f>
        <v>52.0105</v>
      </c>
      <c r="C774" s="4">
        <f>51.6201 * CHOOSE(CONTROL!$C$13, $C$13, 100%, $E$13) + CHOOSE(CONTROL!$C$32, 0.0272, 0)</f>
        <v>51.647300000000001</v>
      </c>
      <c r="D774" s="4">
        <f>67.4788 * CHOOSE(CONTROL!$C$13, $C$13, 100%, $E$13) + CHOOSE(CONTROL!$C$32, 0.0021, 0)</f>
        <v>67.480900000000005</v>
      </c>
      <c r="E774" s="4">
        <f>333.224269600027 * CHOOSE(CONTROL!$C$13, $C$13, 100%, $E$13) + CHOOSE(CONTROL!$C$32, 0.0021, 0)</f>
        <v>333.226369600027</v>
      </c>
    </row>
    <row r="775" spans="1:5" ht="15">
      <c r="A775" s="13">
        <v>64740</v>
      </c>
      <c r="B775" s="4">
        <f>55.1024 * CHOOSE(CONTROL!$C$13, $C$13, 100%, $E$13) + CHOOSE(CONTROL!$C$32, 0.0272, 0)</f>
        <v>55.129600000000003</v>
      </c>
      <c r="C775" s="4">
        <f>54.7391 * CHOOSE(CONTROL!$C$13, $C$13, 100%, $E$13) + CHOOSE(CONTROL!$C$32, 0.0272, 0)</f>
        <v>54.766300000000001</v>
      </c>
      <c r="D775" s="4">
        <f>70.9811 * CHOOSE(CONTROL!$C$13, $C$13, 100%, $E$13) + CHOOSE(CONTROL!$C$32, 0.0021, 0)</f>
        <v>70.983199999999997</v>
      </c>
      <c r="E775" s="4">
        <f>353.519855525041 * CHOOSE(CONTROL!$C$13, $C$13, 100%, $E$13) + CHOOSE(CONTROL!$C$32, 0.0021, 0)</f>
        <v>353.52195552504099</v>
      </c>
    </row>
    <row r="776" spans="1:5" ht="15">
      <c r="A776" s="13">
        <v>64770</v>
      </c>
      <c r="B776" s="4">
        <f>57.3185 * CHOOSE(CONTROL!$C$13, $C$13, 100%, $E$13) + CHOOSE(CONTROL!$C$32, 0.0272, 0)</f>
        <v>57.345700000000001</v>
      </c>
      <c r="C776" s="4">
        <f>56.9552 * CHOOSE(CONTROL!$C$13, $C$13, 100%, $E$13) + CHOOSE(CONTROL!$C$32, 0.0272, 0)</f>
        <v>56.982399999999998</v>
      </c>
      <c r="D776" s="4">
        <f>72.9985 * CHOOSE(CONTROL!$C$13, $C$13, 100%, $E$13) + CHOOSE(CONTROL!$C$32, 0.0021, 0)</f>
        <v>73.000600000000006</v>
      </c>
      <c r="E776" s="4">
        <f>367.940139799008 * CHOOSE(CONTROL!$C$13, $C$13, 100%, $E$13) + CHOOSE(CONTROL!$C$32, 0.0021, 0)</f>
        <v>367.94223979900801</v>
      </c>
    </row>
    <row r="777" spans="1:5" ht="15">
      <c r="A777" s="13">
        <v>64801</v>
      </c>
      <c r="B777" s="4">
        <f>58.6725 * CHOOSE(CONTROL!$C$13, $C$13, 100%, $E$13) + CHOOSE(CONTROL!$C$32, 0.0272, 0)</f>
        <v>58.6997</v>
      </c>
      <c r="C777" s="4">
        <f>58.3092 * CHOOSE(CONTROL!$C$13, $C$13, 100%, $E$13) + CHOOSE(CONTROL!$C$32, 0.0272, 0)</f>
        <v>58.336399999999998</v>
      </c>
      <c r="D777" s="4">
        <f>72.2013 * CHOOSE(CONTROL!$C$13, $C$13, 100%, $E$13) + CHOOSE(CONTROL!$C$32, 0.0021, 0)</f>
        <v>72.203400000000002</v>
      </c>
      <c r="E777" s="4">
        <f>376.750587884422 * CHOOSE(CONTROL!$C$13, $C$13, 100%, $E$13) + CHOOSE(CONTROL!$C$32, 0.0021, 0)</f>
        <v>376.75268788442196</v>
      </c>
    </row>
    <row r="778" spans="1:5" ht="15">
      <c r="A778" s="13">
        <v>64831</v>
      </c>
      <c r="B778" s="4">
        <f>58.8557 * CHOOSE(CONTROL!$C$13, $C$13, 100%, $E$13) + CHOOSE(CONTROL!$C$32, 0.0272, 0)</f>
        <v>58.882899999999999</v>
      </c>
      <c r="C778" s="4">
        <f>58.4924 * CHOOSE(CONTROL!$C$13, $C$13, 100%, $E$13) + CHOOSE(CONTROL!$C$32, 0.0272, 0)</f>
        <v>58.519600000000004</v>
      </c>
      <c r="D778" s="4">
        <f>72.8506 * CHOOSE(CONTROL!$C$13, $C$13, 100%, $E$13) + CHOOSE(CONTROL!$C$32, 0.0021, 0)</f>
        <v>72.852699999999999</v>
      </c>
      <c r="E778" s="4">
        <f>377.94267807449 * CHOOSE(CONTROL!$C$13, $C$13, 100%, $E$13) + CHOOSE(CONTROL!$C$32, 0.0021, 0)</f>
        <v>377.94477807448999</v>
      </c>
    </row>
    <row r="779" spans="1:5" ht="15">
      <c r="A779" s="13">
        <v>64862</v>
      </c>
      <c r="B779" s="4">
        <f>58.8372 * CHOOSE(CONTROL!$C$13, $C$13, 100%, $E$13) + CHOOSE(CONTROL!$C$32, 0.0272, 0)</f>
        <v>58.864400000000003</v>
      </c>
      <c r="C779" s="4">
        <f>58.4739 * CHOOSE(CONTROL!$C$13, $C$13, 100%, $E$13) + CHOOSE(CONTROL!$C$32, 0.0272, 0)</f>
        <v>58.501100000000001</v>
      </c>
      <c r="D779" s="4">
        <f>74.022 * CHOOSE(CONTROL!$C$13, $C$13, 100%, $E$13) + CHOOSE(CONTROL!$C$32, 0.0021, 0)</f>
        <v>74.024100000000004</v>
      </c>
      <c r="E779" s="4">
        <f>377.822467299021 * CHOOSE(CONTROL!$C$13, $C$13, 100%, $E$13) + CHOOSE(CONTROL!$C$32, 0.0021, 0)</f>
        <v>377.824567299021</v>
      </c>
    </row>
    <row r="780" spans="1:5" ht="15">
      <c r="A780" s="13">
        <v>64893</v>
      </c>
      <c r="B780" s="4">
        <f>60.2274 * CHOOSE(CONTROL!$C$13, $C$13, 100%, $E$13) + CHOOSE(CONTROL!$C$32, 0.0272, 0)</f>
        <v>60.254600000000003</v>
      </c>
      <c r="C780" s="4">
        <f>59.8641 * CHOOSE(CONTROL!$C$13, $C$13, 100%, $E$13) + CHOOSE(CONTROL!$C$32, 0.0272, 0)</f>
        <v>59.891300000000001</v>
      </c>
      <c r="D780" s="4">
        <f>73.2484 * CHOOSE(CONTROL!$C$13, $C$13, 100%, $E$13) + CHOOSE(CONTROL!$C$32, 0.0021, 0)</f>
        <v>73.250500000000002</v>
      </c>
      <c r="E780" s="4">
        <f>386.868328153062 * CHOOSE(CONTROL!$C$13, $C$13, 100%, $E$13) + CHOOSE(CONTROL!$C$32, 0.0021, 0)</f>
        <v>386.87042815306199</v>
      </c>
    </row>
    <row r="781" spans="1:5" ht="15">
      <c r="A781" s="13">
        <v>64923</v>
      </c>
      <c r="B781" s="4">
        <f>57.8581 * CHOOSE(CONTROL!$C$13, $C$13, 100%, $E$13) + CHOOSE(CONTROL!$C$32, 0.0272, 0)</f>
        <v>57.885300000000001</v>
      </c>
      <c r="C781" s="4">
        <f>57.4948 * CHOOSE(CONTROL!$C$13, $C$13, 100%, $E$13) + CHOOSE(CONTROL!$C$32, 0.0272, 0)</f>
        <v>57.521999999999998</v>
      </c>
      <c r="D781" s="4">
        <f>72.8829 * CHOOSE(CONTROL!$C$13, $C$13, 100%, $E$13) + CHOOSE(CONTROL!$C$32, 0.0021, 0)</f>
        <v>72.885000000000005</v>
      </c>
      <c r="E781" s="4">
        <f>371.451296199165 * CHOOSE(CONTROL!$C$13, $C$13, 100%, $E$13) + CHOOSE(CONTROL!$C$32, 0.0021, 0)</f>
        <v>371.45339619916496</v>
      </c>
    </row>
    <row r="782" spans="1:5" ht="15">
      <c r="A782" s="13">
        <v>64954</v>
      </c>
      <c r="B782" s="4">
        <f>55.9614 * CHOOSE(CONTROL!$C$13, $C$13, 100%, $E$13) + CHOOSE(CONTROL!$C$32, 0.0272, 0)</f>
        <v>55.988599999999998</v>
      </c>
      <c r="C782" s="4">
        <f>55.5981 * CHOOSE(CONTROL!$C$13, $C$13, 100%, $E$13) + CHOOSE(CONTROL!$C$32, 0.0272, 0)</f>
        <v>55.625300000000003</v>
      </c>
      <c r="D782" s="4">
        <f>71.9041 * CHOOSE(CONTROL!$C$13, $C$13, 100%, $E$13) + CHOOSE(CONTROL!$C$32, 0.0021, 0)</f>
        <v>71.906199999999998</v>
      </c>
      <c r="E782" s="4">
        <f>359.109656584349 * CHOOSE(CONTROL!$C$13, $C$13, 100%, $E$13) + CHOOSE(CONTROL!$C$32, 0.0021, 0)</f>
        <v>359.111756584349</v>
      </c>
    </row>
    <row r="783" spans="1:5" ht="15">
      <c r="A783" s="13">
        <v>64984</v>
      </c>
      <c r="B783" s="4">
        <f>54.7398 * CHOOSE(CONTROL!$C$13, $C$13, 100%, $E$13) + CHOOSE(CONTROL!$C$32, 0.0272, 0)</f>
        <v>54.767000000000003</v>
      </c>
      <c r="C783" s="4">
        <f>54.3765 * CHOOSE(CONTROL!$C$13, $C$13, 100%, $E$13) + CHOOSE(CONTROL!$C$32, 0.0272, 0)</f>
        <v>54.403700000000001</v>
      </c>
      <c r="D783" s="4">
        <f>71.5676 * CHOOSE(CONTROL!$C$13, $C$13, 100%, $E$13) + CHOOSE(CONTROL!$C$32, 0.0021, 0)</f>
        <v>71.569699999999997</v>
      </c>
      <c r="E783" s="4">
        <f>351.160719056462 * CHOOSE(CONTROL!$C$13, $C$13, 100%, $E$13) + CHOOSE(CONTROL!$C$32, 0.0021, 0)</f>
        <v>351.16281905646201</v>
      </c>
    </row>
    <row r="784" spans="1:5" ht="15">
      <c r="A784" s="13">
        <v>65015</v>
      </c>
      <c r="B784" s="4">
        <f>53.8946 * CHOOSE(CONTROL!$C$13, $C$13, 100%, $E$13) + CHOOSE(CONTROL!$C$32, 0.0272, 0)</f>
        <v>53.921799999999998</v>
      </c>
      <c r="C784" s="4">
        <f>53.5313 * CHOOSE(CONTROL!$C$13, $C$13, 100%, $E$13) + CHOOSE(CONTROL!$C$32, 0.0272, 0)</f>
        <v>53.558500000000002</v>
      </c>
      <c r="D784" s="4">
        <f>69.0904 * CHOOSE(CONTROL!$C$13, $C$13, 100%, $E$13) + CHOOSE(CONTROL!$C$32, 0.0021, 0)</f>
        <v>69.092500000000001</v>
      </c>
      <c r="E784" s="4">
        <f>345.661076078756 * CHOOSE(CONTROL!$C$13, $C$13, 100%, $E$13) + CHOOSE(CONTROL!$C$32, 0.0021, 0)</f>
        <v>345.66317607875601</v>
      </c>
    </row>
    <row r="785" spans="1:5" ht="15">
      <c r="A785" s="13">
        <v>65046</v>
      </c>
      <c r="B785" s="4">
        <f>51.6794 * CHOOSE(CONTROL!$C$13, $C$13, 100%, $E$13) + CHOOSE(CONTROL!$C$32, 0.0272, 0)</f>
        <v>51.706600000000002</v>
      </c>
      <c r="C785" s="4">
        <f>51.3161 * CHOOSE(CONTROL!$C$13, $C$13, 100%, $E$13) + CHOOSE(CONTROL!$C$32, 0.0272, 0)</f>
        <v>51.343299999999999</v>
      </c>
      <c r="D785" s="4">
        <f>66.2383 * CHOOSE(CONTROL!$C$13, $C$13, 100%, $E$13) + CHOOSE(CONTROL!$C$32, 0.0021, 0)</f>
        <v>66.240399999999994</v>
      </c>
      <c r="E785" s="4">
        <f>331.262887697361 * CHOOSE(CONTROL!$C$13, $C$13, 100%, $E$13) + CHOOSE(CONTROL!$C$32, 0.0021, 0)</f>
        <v>331.26498769736099</v>
      </c>
    </row>
    <row r="786" spans="1:5" ht="15">
      <c r="A786" s="13">
        <v>65074</v>
      </c>
      <c r="B786" s="4">
        <f>52.8881 * CHOOSE(CONTROL!$C$13, $C$13, 100%, $E$13) + CHOOSE(CONTROL!$C$32, 0.0272, 0)</f>
        <v>52.915300000000002</v>
      </c>
      <c r="C786" s="4">
        <f>52.5248 * CHOOSE(CONTROL!$C$13, $C$13, 100%, $E$13) + CHOOSE(CONTROL!$C$32, 0.0272, 0)</f>
        <v>52.552</v>
      </c>
      <c r="D786" s="4">
        <f>68.5108 * CHOOSE(CONTROL!$C$13, $C$13, 100%, $E$13) + CHOOSE(CONTROL!$C$32, 0.0021, 0)</f>
        <v>68.512900000000002</v>
      </c>
      <c r="E786" s="4">
        <f>339.128374128338 * CHOOSE(CONTROL!$C$13, $C$13, 100%, $E$13) + CHOOSE(CONTROL!$C$32, 0.0021, 0)</f>
        <v>339.13047412833799</v>
      </c>
    </row>
    <row r="787" spans="1:5" ht="15">
      <c r="A787" s="13">
        <v>65105</v>
      </c>
      <c r="B787" s="4">
        <f>56.0623 * CHOOSE(CONTROL!$C$13, $C$13, 100%, $E$13) + CHOOSE(CONTROL!$C$32, 0.0272, 0)</f>
        <v>56.089500000000001</v>
      </c>
      <c r="C787" s="4">
        <f>55.699 * CHOOSE(CONTROL!$C$13, $C$13, 100%, $E$13) + CHOOSE(CONTROL!$C$32, 0.0272, 0)</f>
        <v>55.726199999999999</v>
      </c>
      <c r="D787" s="4">
        <f>72.0681 * CHOOSE(CONTROL!$C$13, $C$13, 100%, $E$13) + CHOOSE(CONTROL!$C$32, 0.0021, 0)</f>
        <v>72.0702</v>
      </c>
      <c r="E787" s="4">
        <f>359.783559493417 * CHOOSE(CONTROL!$C$13, $C$13, 100%, $E$13) + CHOOSE(CONTROL!$C$32, 0.0021, 0)</f>
        <v>359.78565949341697</v>
      </c>
    </row>
    <row r="788" spans="1:5" ht="15">
      <c r="A788" s="13">
        <v>65135</v>
      </c>
      <c r="B788" s="4">
        <f>58.3175 * CHOOSE(CONTROL!$C$13, $C$13, 100%, $E$13) + CHOOSE(CONTROL!$C$32, 0.0272, 0)</f>
        <v>58.344700000000003</v>
      </c>
      <c r="C788" s="4">
        <f>57.9542 * CHOOSE(CONTROL!$C$13, $C$13, 100%, $E$13) + CHOOSE(CONTROL!$C$32, 0.0272, 0)</f>
        <v>57.981400000000001</v>
      </c>
      <c r="D788" s="4">
        <f>74.1173 * CHOOSE(CONTROL!$C$13, $C$13, 100%, $E$13) + CHOOSE(CONTROL!$C$32, 0.0021, 0)</f>
        <v>74.119399999999999</v>
      </c>
      <c r="E788" s="4">
        <f>374.459343961844 * CHOOSE(CONTROL!$C$13, $C$13, 100%, $E$13) + CHOOSE(CONTROL!$C$32, 0.0021, 0)</f>
        <v>374.461443961844</v>
      </c>
    </row>
    <row r="789" spans="1:5" ht="15">
      <c r="A789" s="13">
        <v>65166</v>
      </c>
      <c r="B789" s="4">
        <f>59.6954 * CHOOSE(CONTROL!$C$13, $C$13, 100%, $E$13) + CHOOSE(CONTROL!$C$32, 0.0272, 0)</f>
        <v>59.7226</v>
      </c>
      <c r="C789" s="4">
        <f>59.3322 * CHOOSE(CONTROL!$C$13, $C$13, 100%, $E$13) + CHOOSE(CONTROL!$C$32, 0.0272, 0)</f>
        <v>59.359400000000001</v>
      </c>
      <c r="D789" s="4">
        <f>73.3076 * CHOOSE(CONTROL!$C$13, $C$13, 100%, $E$13) + CHOOSE(CONTROL!$C$32, 0.0021, 0)</f>
        <v>73.309699999999992</v>
      </c>
      <c r="E789" s="4">
        <f>383.425896542588 * CHOOSE(CONTROL!$C$13, $C$13, 100%, $E$13) + CHOOSE(CONTROL!$C$32, 0.0021, 0)</f>
        <v>383.42799654258801</v>
      </c>
    </row>
    <row r="790" spans="1:5" ht="15">
      <c r="A790" s="13">
        <v>65196</v>
      </c>
      <c r="B790" s="4">
        <f>59.8819 * CHOOSE(CONTROL!$C$13, $C$13, 100%, $E$13) + CHOOSE(CONTROL!$C$32, 0.0272, 0)</f>
        <v>59.909100000000002</v>
      </c>
      <c r="C790" s="4">
        <f>59.5186 * CHOOSE(CONTROL!$C$13, $C$13, 100%, $E$13) + CHOOSE(CONTROL!$C$32, 0.0272, 0)</f>
        <v>59.5458</v>
      </c>
      <c r="D790" s="4">
        <f>73.967 * CHOOSE(CONTROL!$C$13, $C$13, 100%, $E$13) + CHOOSE(CONTROL!$C$32, 0.0021, 0)</f>
        <v>73.969099999999997</v>
      </c>
      <c r="E790" s="4">
        <f>384.639108318721 * CHOOSE(CONTROL!$C$13, $C$13, 100%, $E$13) + CHOOSE(CONTROL!$C$32, 0.0021, 0)</f>
        <v>384.641208318721</v>
      </c>
    </row>
    <row r="791" spans="1:5" ht="15">
      <c r="A791" s="13">
        <v>65227</v>
      </c>
      <c r="B791" s="4">
        <f>59.8631 * CHOOSE(CONTROL!$C$13, $C$13, 100%, $E$13) + CHOOSE(CONTROL!$C$32, 0.0272, 0)</f>
        <v>59.890300000000003</v>
      </c>
      <c r="C791" s="4">
        <f>59.4998 * CHOOSE(CONTROL!$C$13, $C$13, 100%, $E$13) + CHOOSE(CONTROL!$C$32, 0.0272, 0)</f>
        <v>59.527000000000001</v>
      </c>
      <c r="D791" s="4">
        <f>75.1569 * CHOOSE(CONTROL!$C$13, $C$13, 100%, $E$13) + CHOOSE(CONTROL!$C$32, 0.0021, 0)</f>
        <v>75.158999999999992</v>
      </c>
      <c r="E791" s="4">
        <f>384.516767635413 * CHOOSE(CONTROL!$C$13, $C$13, 100%, $E$13) + CHOOSE(CONTROL!$C$32, 0.0021, 0)</f>
        <v>384.51886763541296</v>
      </c>
    </row>
    <row r="792" spans="1:5" ht="15">
      <c r="A792" s="13">
        <v>65258</v>
      </c>
      <c r="B792" s="4">
        <f>61.2778 * CHOOSE(CONTROL!$C$13, $C$13, 100%, $E$13) + CHOOSE(CONTROL!$C$32, 0.0272, 0)</f>
        <v>61.305</v>
      </c>
      <c r="C792" s="4">
        <f>60.9145 * CHOOSE(CONTROL!$C$13, $C$13, 100%, $E$13) + CHOOSE(CONTROL!$C$32, 0.0272, 0)</f>
        <v>60.941699999999997</v>
      </c>
      <c r="D792" s="4">
        <f>74.3711 * CHOOSE(CONTROL!$C$13, $C$13, 100%, $E$13) + CHOOSE(CONTROL!$C$32, 0.0021, 0)</f>
        <v>74.373199999999997</v>
      </c>
      <c r="E792" s="4">
        <f>393.722904054301 * CHOOSE(CONTROL!$C$13, $C$13, 100%, $E$13) + CHOOSE(CONTROL!$C$32, 0.0021, 0)</f>
        <v>393.725004054301</v>
      </c>
    </row>
    <row r="793" spans="1:5" ht="15">
      <c r="A793" s="13">
        <v>65288</v>
      </c>
      <c r="B793" s="4">
        <f>58.8667 * CHOOSE(CONTROL!$C$13, $C$13, 100%, $E$13) + CHOOSE(CONTROL!$C$32, 0.0272, 0)</f>
        <v>58.893900000000002</v>
      </c>
      <c r="C793" s="4">
        <f>58.5034 * CHOOSE(CONTROL!$C$13, $C$13, 100%, $E$13) + CHOOSE(CONTROL!$C$32, 0.0272, 0)</f>
        <v>58.5306</v>
      </c>
      <c r="D793" s="4">
        <f>73.9998 * CHOOSE(CONTROL!$C$13, $C$13, 100%, $E$13) + CHOOSE(CONTROL!$C$32, 0.0021, 0)</f>
        <v>74.001899999999992</v>
      </c>
      <c r="E793" s="4">
        <f>378.032711420117 * CHOOSE(CONTROL!$C$13, $C$13, 100%, $E$13) + CHOOSE(CONTROL!$C$32, 0.0021, 0)</f>
        <v>378.03481142011697</v>
      </c>
    </row>
    <row r="794" spans="1:5" ht="15">
      <c r="A794" s="13">
        <v>65319</v>
      </c>
      <c r="B794" s="4">
        <f>56.9365 * CHOOSE(CONTROL!$C$13, $C$13, 100%, $E$13) + CHOOSE(CONTROL!$C$32, 0.0272, 0)</f>
        <v>56.963700000000003</v>
      </c>
      <c r="C794" s="4">
        <f>56.5732 * CHOOSE(CONTROL!$C$13, $C$13, 100%, $E$13) + CHOOSE(CONTROL!$C$32, 0.0272, 0)</f>
        <v>56.6004</v>
      </c>
      <c r="D794" s="4">
        <f>73.0057 * CHOOSE(CONTROL!$C$13, $C$13, 100%, $E$13) + CHOOSE(CONTROL!$C$32, 0.0021, 0)</f>
        <v>73.007800000000003</v>
      </c>
      <c r="E794" s="4">
        <f>365.472401267215 * CHOOSE(CONTROL!$C$13, $C$13, 100%, $E$13) + CHOOSE(CONTROL!$C$32, 0.0021, 0)</f>
        <v>365.47450126721498</v>
      </c>
    </row>
    <row r="795" spans="1:5" ht="15">
      <c r="A795" s="13">
        <v>65349</v>
      </c>
      <c r="B795" s="4">
        <f>55.6933 * CHOOSE(CONTROL!$C$13, $C$13, 100%, $E$13) + CHOOSE(CONTROL!$C$32, 0.0272, 0)</f>
        <v>55.720500000000001</v>
      </c>
      <c r="C795" s="4">
        <f>55.33 * CHOOSE(CONTROL!$C$13, $C$13, 100%, $E$13) + CHOOSE(CONTROL!$C$32, 0.0272, 0)</f>
        <v>55.357199999999999</v>
      </c>
      <c r="D795" s="4">
        <f>72.6639 * CHOOSE(CONTROL!$C$13, $C$13, 100%, $E$13) + CHOOSE(CONTROL!$C$32, 0.0021, 0)</f>
        <v>72.665999999999997</v>
      </c>
      <c r="E795" s="4">
        <f>357.382623583508 * CHOOSE(CONTROL!$C$13, $C$13, 100%, $E$13) + CHOOSE(CONTROL!$C$32, 0.0021, 0)</f>
        <v>357.38472358350799</v>
      </c>
    </row>
    <row r="796" spans="1:5" ht="15">
      <c r="A796" s="13">
        <v>65380</v>
      </c>
      <c r="B796" s="4">
        <f>54.8332 * CHOOSE(CONTROL!$C$13, $C$13, 100%, $E$13) + CHOOSE(CONTROL!$C$32, 0.0272, 0)</f>
        <v>54.860399999999998</v>
      </c>
      <c r="C796" s="4">
        <f>54.4699 * CHOOSE(CONTROL!$C$13, $C$13, 100%, $E$13) + CHOOSE(CONTROL!$C$32, 0.0272, 0)</f>
        <v>54.497100000000003</v>
      </c>
      <c r="D796" s="4">
        <f>70.1477 * CHOOSE(CONTROL!$C$13, $C$13, 100%, $E$13) + CHOOSE(CONTROL!$C$32, 0.0021, 0)</f>
        <v>70.149799999999999</v>
      </c>
      <c r="E796" s="4">
        <f>351.785537322191 * CHOOSE(CONTROL!$C$13, $C$13, 100%, $E$13) + CHOOSE(CONTROL!$C$32, 0.0021, 0)</f>
        <v>351.78763732219096</v>
      </c>
    </row>
    <row r="797" spans="1:5" ht="15">
      <c r="A797" s="13">
        <v>65411</v>
      </c>
      <c r="B797" s="4">
        <f>52.5788 * CHOOSE(CONTROL!$C$13, $C$13, 100%, $E$13) + CHOOSE(CONTROL!$C$32, 0.0272, 0)</f>
        <v>52.606000000000002</v>
      </c>
      <c r="C797" s="4">
        <f>52.2156 * CHOOSE(CONTROL!$C$13, $C$13, 100%, $E$13) + CHOOSE(CONTROL!$C$32, 0.0272, 0)</f>
        <v>52.242800000000003</v>
      </c>
      <c r="D797" s="4">
        <f>67.2508 * CHOOSE(CONTROL!$C$13, $C$13, 100%, $E$13) + CHOOSE(CONTROL!$C$32, 0.0021, 0)</f>
        <v>67.252899999999997</v>
      </c>
      <c r="E797" s="4">
        <f>337.132240243809 * CHOOSE(CONTROL!$C$13, $C$13, 100%, $E$13) + CHOOSE(CONTROL!$C$32, 0.0021, 0)</f>
        <v>337.13434024380899</v>
      </c>
    </row>
    <row r="798" spans="1:5" ht="15">
      <c r="A798" s="13">
        <v>65439</v>
      </c>
      <c r="B798" s="4">
        <f>53.8089 * CHOOSE(CONTROL!$C$13, $C$13, 100%, $E$13) + CHOOSE(CONTROL!$C$32, 0.0272, 0)</f>
        <v>53.836100000000002</v>
      </c>
      <c r="C798" s="4">
        <f>53.4456 * CHOOSE(CONTROL!$C$13, $C$13, 100%, $E$13) + CHOOSE(CONTROL!$C$32, 0.0272, 0)</f>
        <v>53.472799999999999</v>
      </c>
      <c r="D798" s="4">
        <f>69.559 * CHOOSE(CONTROL!$C$13, $C$13, 100%, $E$13) + CHOOSE(CONTROL!$C$32, 0.0021, 0)</f>
        <v>69.561099999999996</v>
      </c>
      <c r="E798" s="4">
        <f>345.137088234825 * CHOOSE(CONTROL!$C$13, $C$13, 100%, $E$13) + CHOOSE(CONTROL!$C$32, 0.0021, 0)</f>
        <v>345.13918823482499</v>
      </c>
    </row>
    <row r="799" spans="1:5" ht="15">
      <c r="A799" s="13">
        <v>65470</v>
      </c>
      <c r="B799" s="4">
        <f>57.0391 * CHOOSE(CONTROL!$C$13, $C$13, 100%, $E$13) + CHOOSE(CONTROL!$C$32, 0.0272, 0)</f>
        <v>57.066299999999998</v>
      </c>
      <c r="C799" s="4">
        <f>56.6758 * CHOOSE(CONTROL!$C$13, $C$13, 100%, $E$13) + CHOOSE(CONTROL!$C$32, 0.0272, 0)</f>
        <v>56.703000000000003</v>
      </c>
      <c r="D799" s="4">
        <f>73.1723 * CHOOSE(CONTROL!$C$13, $C$13, 100%, $E$13) + CHOOSE(CONTROL!$C$32, 0.0021, 0)</f>
        <v>73.174400000000006</v>
      </c>
      <c r="E799" s="4">
        <f>366.158244462692 * CHOOSE(CONTROL!$C$13, $C$13, 100%, $E$13) + CHOOSE(CONTROL!$C$32, 0.0021, 0)</f>
        <v>366.16034446269197</v>
      </c>
    </row>
    <row r="800" spans="1:5" ht="15">
      <c r="A800" s="13">
        <v>65500</v>
      </c>
      <c r="B800" s="4">
        <f>59.3342 * CHOOSE(CONTROL!$C$13, $C$13, 100%, $E$13) + CHOOSE(CONTROL!$C$32, 0.0272, 0)</f>
        <v>59.361400000000003</v>
      </c>
      <c r="C800" s="4">
        <f>58.9709 * CHOOSE(CONTROL!$C$13, $C$13, 100%, $E$13) + CHOOSE(CONTROL!$C$32, 0.0272, 0)</f>
        <v>58.998100000000001</v>
      </c>
      <c r="D800" s="4">
        <f>75.2537 * CHOOSE(CONTROL!$C$13, $C$13, 100%, $E$13) + CHOOSE(CONTROL!$C$32, 0.0021, 0)</f>
        <v>75.255799999999994</v>
      </c>
      <c r="E800" s="4">
        <f>381.094056106332 * CHOOSE(CONTROL!$C$13, $C$13, 100%, $E$13) + CHOOSE(CONTROL!$C$32, 0.0021, 0)</f>
        <v>381.09615610633199</v>
      </c>
    </row>
    <row r="801" spans="1:5" ht="15">
      <c r="A801" s="13">
        <v>65531</v>
      </c>
      <c r="B801" s="4">
        <f>60.7365 * CHOOSE(CONTROL!$C$13, $C$13, 100%, $E$13) + CHOOSE(CONTROL!$C$32, 0.0272, 0)</f>
        <v>60.7637</v>
      </c>
      <c r="C801" s="4">
        <f>60.3732 * CHOOSE(CONTROL!$C$13, $C$13, 100%, $E$13) + CHOOSE(CONTROL!$C$32, 0.0272, 0)</f>
        <v>60.400399999999998</v>
      </c>
      <c r="D801" s="4">
        <f>74.4312 * CHOOSE(CONTROL!$C$13, $C$13, 100%, $E$13) + CHOOSE(CONTROL!$C$32, 0.0021, 0)</f>
        <v>74.433300000000003</v>
      </c>
      <c r="E801" s="4">
        <f>390.219479059149 * CHOOSE(CONTROL!$C$13, $C$13, 100%, $E$13) + CHOOSE(CONTROL!$C$32, 0.0021, 0)</f>
        <v>390.22157905914901</v>
      </c>
    </row>
    <row r="802" spans="1:5" ht="15">
      <c r="A802" s="13">
        <v>65561</v>
      </c>
      <c r="B802" s="4">
        <f>60.9262 * CHOOSE(CONTROL!$C$13, $C$13, 100%, $E$13) + CHOOSE(CONTROL!$C$32, 0.0272, 0)</f>
        <v>60.953400000000002</v>
      </c>
      <c r="C802" s="4">
        <f>60.5629 * CHOOSE(CONTROL!$C$13, $C$13, 100%, $E$13) + CHOOSE(CONTROL!$C$32, 0.0272, 0)</f>
        <v>60.5901</v>
      </c>
      <c r="D802" s="4">
        <f>75.101 * CHOOSE(CONTROL!$C$13, $C$13, 100%, $E$13) + CHOOSE(CONTROL!$C$32, 0.0021, 0)</f>
        <v>75.103099999999998</v>
      </c>
      <c r="E802" s="4">
        <f>391.454186655949 * CHOOSE(CONTROL!$C$13, $C$13, 100%, $E$13) + CHOOSE(CONTROL!$C$32, 0.0021, 0)</f>
        <v>391.45628665594899</v>
      </c>
    </row>
    <row r="803" spans="1:5" ht="15">
      <c r="A803" s="13">
        <v>65592</v>
      </c>
      <c r="B803" s="4">
        <f>60.9071 * CHOOSE(CONTROL!$C$13, $C$13, 100%, $E$13) + CHOOSE(CONTROL!$C$32, 0.0272, 0)</f>
        <v>60.9343</v>
      </c>
      <c r="C803" s="4">
        <f>60.5438 * CHOOSE(CONTROL!$C$13, $C$13, 100%, $E$13) + CHOOSE(CONTROL!$C$32, 0.0272, 0)</f>
        <v>60.570999999999998</v>
      </c>
      <c r="D803" s="4">
        <f>76.3096 * CHOOSE(CONTROL!$C$13, $C$13, 100%, $E$13) + CHOOSE(CONTROL!$C$32, 0.0021, 0)</f>
        <v>76.311700000000002</v>
      </c>
      <c r="E803" s="4">
        <f>391.32967832686 * CHOOSE(CONTROL!$C$13, $C$13, 100%, $E$13) + CHOOSE(CONTROL!$C$32, 0.0021, 0)</f>
        <v>391.33177832685999</v>
      </c>
    </row>
    <row r="804" spans="1:5" ht="15">
      <c r="A804" s="13">
        <v>65623</v>
      </c>
      <c r="B804" s="4">
        <f>62.3468 * CHOOSE(CONTROL!$C$13, $C$13, 100%, $E$13) + CHOOSE(CONTROL!$C$32, 0.0272, 0)</f>
        <v>62.374000000000002</v>
      </c>
      <c r="C804" s="4">
        <f>61.9835 * CHOOSE(CONTROL!$C$13, $C$13, 100%, $E$13) + CHOOSE(CONTROL!$C$32, 0.0272, 0)</f>
        <v>62.0107</v>
      </c>
      <c r="D804" s="4">
        <f>75.5115 * CHOOSE(CONTROL!$C$13, $C$13, 100%, $E$13) + CHOOSE(CONTROL!$C$32, 0.0021, 0)</f>
        <v>75.513599999999997</v>
      </c>
      <c r="E804" s="4">
        <f>400.698930090811 * CHOOSE(CONTROL!$C$13, $C$13, 100%, $E$13) + CHOOSE(CONTROL!$C$32, 0.0021, 0)</f>
        <v>400.701030090811</v>
      </c>
    </row>
    <row r="805" spans="1:5" ht="15">
      <c r="A805" s="13">
        <v>65653</v>
      </c>
      <c r="B805" s="4">
        <f>59.8931 * CHOOSE(CONTROL!$C$13, $C$13, 100%, $E$13) + CHOOSE(CONTROL!$C$32, 0.0272, 0)</f>
        <v>59.920299999999997</v>
      </c>
      <c r="C805" s="4">
        <f>59.5298 * CHOOSE(CONTROL!$C$13, $C$13, 100%, $E$13) + CHOOSE(CONTROL!$C$32, 0.0272, 0)</f>
        <v>59.557000000000002</v>
      </c>
      <c r="D805" s="4">
        <f>75.1343 * CHOOSE(CONTROL!$C$13, $C$13, 100%, $E$13) + CHOOSE(CONTROL!$C$32, 0.0021, 0)</f>
        <v>75.136399999999995</v>
      </c>
      <c r="E805" s="4">
        <f>384.730736885141 * CHOOSE(CONTROL!$C$13, $C$13, 100%, $E$13) + CHOOSE(CONTROL!$C$32, 0.0021, 0)</f>
        <v>384.73283688514101</v>
      </c>
    </row>
    <row r="806" spans="1:5" ht="15">
      <c r="A806" s="13">
        <v>65684</v>
      </c>
      <c r="B806" s="4">
        <f>57.9288 * CHOOSE(CONTROL!$C$13, $C$13, 100%, $E$13) + CHOOSE(CONTROL!$C$32, 0.0272, 0)</f>
        <v>57.956000000000003</v>
      </c>
      <c r="C806" s="4">
        <f>57.5655 * CHOOSE(CONTROL!$C$13, $C$13, 100%, $E$13) + CHOOSE(CONTROL!$C$32, 0.0272, 0)</f>
        <v>57.592700000000001</v>
      </c>
      <c r="D806" s="4">
        <f>74.1246 * CHOOSE(CONTROL!$C$13, $C$13, 100%, $E$13) + CHOOSE(CONTROL!$C$32, 0.0021, 0)</f>
        <v>74.1267</v>
      </c>
      <c r="E806" s="4">
        <f>371.947881765332 * CHOOSE(CONTROL!$C$13, $C$13, 100%, $E$13) + CHOOSE(CONTROL!$C$32, 0.0021, 0)</f>
        <v>371.94998176533198</v>
      </c>
    </row>
    <row r="807" spans="1:5" ht="15">
      <c r="A807" s="13">
        <v>65714</v>
      </c>
      <c r="B807" s="4">
        <f>56.6636 * CHOOSE(CONTROL!$C$13, $C$13, 100%, $E$13) + CHOOSE(CONTROL!$C$32, 0.0272, 0)</f>
        <v>56.690800000000003</v>
      </c>
      <c r="C807" s="4">
        <f>56.3004 * CHOOSE(CONTROL!$C$13, $C$13, 100%, $E$13) + CHOOSE(CONTROL!$C$32, 0.0272, 0)</f>
        <v>56.327600000000004</v>
      </c>
      <c r="D807" s="4">
        <f>73.7774 * CHOOSE(CONTROL!$C$13, $C$13, 100%, $E$13) + CHOOSE(CONTROL!$C$32, 0.0021, 0)</f>
        <v>73.779499999999999</v>
      </c>
      <c r="E807" s="4">
        <f>363.71476850432 * CHOOSE(CONTROL!$C$13, $C$13, 100%, $E$13) + CHOOSE(CONTROL!$C$32, 0.0021, 0)</f>
        <v>363.71686850431996</v>
      </c>
    </row>
    <row r="808" spans="1:5" ht="15">
      <c r="A808" s="13">
        <v>65745</v>
      </c>
      <c r="B808" s="4">
        <f>55.7883 * CHOOSE(CONTROL!$C$13, $C$13, 100%, $E$13) + CHOOSE(CONTROL!$C$32, 0.0272, 0)</f>
        <v>55.8155</v>
      </c>
      <c r="C808" s="4">
        <f>55.425 * CHOOSE(CONTROL!$C$13, $C$13, 100%, $E$13) + CHOOSE(CONTROL!$C$32, 0.0272, 0)</f>
        <v>55.452199999999998</v>
      </c>
      <c r="D808" s="4">
        <f>71.2217 * CHOOSE(CONTROL!$C$13, $C$13, 100%, $E$13) + CHOOSE(CONTROL!$C$32, 0.0021, 0)</f>
        <v>71.223799999999997</v>
      </c>
      <c r="E808" s="4">
        <f>358.018512448496 * CHOOSE(CONTROL!$C$13, $C$13, 100%, $E$13) + CHOOSE(CONTROL!$C$32, 0.0021, 0)</f>
        <v>358.02061244849597</v>
      </c>
    </row>
    <row r="809" spans="1:5" ht="15">
      <c r="A809" s="13">
        <v>65776</v>
      </c>
      <c r="B809" s="4">
        <f>53.4942 * CHOOSE(CONTROL!$C$13, $C$13, 100%, $E$13) + CHOOSE(CONTROL!$C$32, 0.0272, 0)</f>
        <v>53.5214</v>
      </c>
      <c r="C809" s="4">
        <f>53.1309 * CHOOSE(CONTROL!$C$13, $C$13, 100%, $E$13) + CHOOSE(CONTROL!$C$32, 0.0272, 0)</f>
        <v>53.158099999999997</v>
      </c>
      <c r="D809" s="4">
        <f>68.2792 * CHOOSE(CONTROL!$C$13, $C$13, 100%, $E$13) + CHOOSE(CONTROL!$C$32, 0.0021, 0)</f>
        <v>68.281300000000002</v>
      </c>
      <c r="E809" s="4">
        <f>343.105586628969 * CHOOSE(CONTROL!$C$13, $C$13, 100%, $E$13) + CHOOSE(CONTROL!$C$32, 0.0021, 0)</f>
        <v>343.10768662896896</v>
      </c>
    </row>
    <row r="810" spans="1:5" ht="15">
      <c r="A810" s="13">
        <v>65805</v>
      </c>
      <c r="B810" s="4">
        <f>54.7459 * CHOOSE(CONTROL!$C$13, $C$13, 100%, $E$13) + CHOOSE(CONTROL!$C$32, 0.0272, 0)</f>
        <v>54.773099999999999</v>
      </c>
      <c r="C810" s="4">
        <f>54.3827 * CHOOSE(CONTROL!$C$13, $C$13, 100%, $E$13) + CHOOSE(CONTROL!$C$32, 0.0272, 0)</f>
        <v>54.4099</v>
      </c>
      <c r="D810" s="4">
        <f>70.6237 * CHOOSE(CONTROL!$C$13, $C$13, 100%, $E$13) + CHOOSE(CONTROL!$C$32, 0.0021, 0)</f>
        <v>70.625799999999998</v>
      </c>
      <c r="E810" s="4">
        <f>351.252265403586 * CHOOSE(CONTROL!$C$13, $C$13, 100%, $E$13) + CHOOSE(CONTROL!$C$32, 0.0021, 0)</f>
        <v>351.25436540358601</v>
      </c>
    </row>
    <row r="811" spans="1:5" ht="15">
      <c r="A811" s="13">
        <v>65836</v>
      </c>
      <c r="B811" s="4">
        <f>58.0332 * CHOOSE(CONTROL!$C$13, $C$13, 100%, $E$13) + CHOOSE(CONTROL!$C$32, 0.0272, 0)</f>
        <v>58.060400000000001</v>
      </c>
      <c r="C811" s="4">
        <f>57.67 * CHOOSE(CONTROL!$C$13, $C$13, 100%, $E$13) + CHOOSE(CONTROL!$C$32, 0.0272, 0)</f>
        <v>57.697200000000002</v>
      </c>
      <c r="D811" s="4">
        <f>74.2938 * CHOOSE(CONTROL!$C$13, $C$13, 100%, $E$13) + CHOOSE(CONTROL!$C$32, 0.0021, 0)</f>
        <v>74.295900000000003</v>
      </c>
      <c r="E811" s="4">
        <f>372.645876806534 * CHOOSE(CONTROL!$C$13, $C$13, 100%, $E$13) + CHOOSE(CONTROL!$C$32, 0.0021, 0)</f>
        <v>372.64797680653396</v>
      </c>
    </row>
    <row r="812" spans="1:5" ht="15">
      <c r="A812" s="13">
        <v>65866</v>
      </c>
      <c r="B812" s="4">
        <f>60.3689 * CHOOSE(CONTROL!$C$13, $C$13, 100%, $E$13) + CHOOSE(CONTROL!$C$32, 0.0272, 0)</f>
        <v>60.396099999999997</v>
      </c>
      <c r="C812" s="4">
        <f>60.0056 * CHOOSE(CONTROL!$C$13, $C$13, 100%, $E$13) + CHOOSE(CONTROL!$C$32, 0.0272, 0)</f>
        <v>60.032800000000002</v>
      </c>
      <c r="D812" s="4">
        <f>76.4079 * CHOOSE(CONTROL!$C$13, $C$13, 100%, $E$13) + CHOOSE(CONTROL!$C$32, 0.0021, 0)</f>
        <v>76.41</v>
      </c>
      <c r="E812" s="4">
        <f>387.846322815687 * CHOOSE(CONTROL!$C$13, $C$13, 100%, $E$13) + CHOOSE(CONTROL!$C$32, 0.0021, 0)</f>
        <v>387.848422815687</v>
      </c>
    </row>
    <row r="813" spans="1:5" ht="15">
      <c r="A813" s="13">
        <v>65897</v>
      </c>
      <c r="B813" s="4">
        <f>61.7959 * CHOOSE(CONTROL!$C$13, $C$13, 100%, $E$13) + CHOOSE(CONTROL!$C$32, 0.0272, 0)</f>
        <v>61.823100000000004</v>
      </c>
      <c r="C813" s="4">
        <f>61.4326 * CHOOSE(CONTROL!$C$13, $C$13, 100%, $E$13) + CHOOSE(CONTROL!$C$32, 0.0272, 0)</f>
        <v>61.459800000000001</v>
      </c>
      <c r="D813" s="4">
        <f>75.5725 * CHOOSE(CONTROL!$C$13, $C$13, 100%, $E$13) + CHOOSE(CONTROL!$C$32, 0.0021, 0)</f>
        <v>75.574600000000004</v>
      </c>
      <c r="E813" s="4">
        <f>397.133431023433 * CHOOSE(CONTROL!$C$13, $C$13, 100%, $E$13) + CHOOSE(CONTROL!$C$32, 0.0021, 0)</f>
        <v>397.13553102343297</v>
      </c>
    </row>
    <row r="814" spans="1:5" ht="15">
      <c r="A814" s="13">
        <v>65927</v>
      </c>
      <c r="B814" s="4">
        <f>61.989 * CHOOSE(CONTROL!$C$13, $C$13, 100%, $E$13) + CHOOSE(CONTROL!$C$32, 0.0272, 0)</f>
        <v>62.016199999999998</v>
      </c>
      <c r="C814" s="4">
        <f>61.6257 * CHOOSE(CONTROL!$C$13, $C$13, 100%, $E$13) + CHOOSE(CONTROL!$C$32, 0.0272, 0)</f>
        <v>61.652900000000002</v>
      </c>
      <c r="D814" s="4">
        <f>76.2529 * CHOOSE(CONTROL!$C$13, $C$13, 100%, $E$13) + CHOOSE(CONTROL!$C$32, 0.0021, 0)</f>
        <v>76.254999999999995</v>
      </c>
      <c r="E814" s="4">
        <f>398.390015306232 * CHOOSE(CONTROL!$C$13, $C$13, 100%, $E$13) + CHOOSE(CONTROL!$C$32, 0.0021, 0)</f>
        <v>398.39211530623197</v>
      </c>
    </row>
    <row r="815" spans="1:5" ht="15">
      <c r="A815" s="13">
        <v>65958</v>
      </c>
      <c r="B815" s="4">
        <f>61.9695 * CHOOSE(CONTROL!$C$13, $C$13, 100%, $E$13) + CHOOSE(CONTROL!$C$32, 0.0272, 0)</f>
        <v>61.996699999999997</v>
      </c>
      <c r="C815" s="4">
        <f>61.6063 * CHOOSE(CONTROL!$C$13, $C$13, 100%, $E$13) + CHOOSE(CONTROL!$C$32, 0.0272, 0)</f>
        <v>61.633499999999998</v>
      </c>
      <c r="D815" s="4">
        <f>77.4805 * CHOOSE(CONTROL!$C$13, $C$13, 100%, $E$13) + CHOOSE(CONTROL!$C$32, 0.0021, 0)</f>
        <v>77.482600000000005</v>
      </c>
      <c r="E815" s="4">
        <f>398.263300924773 * CHOOSE(CONTROL!$C$13, $C$13, 100%, $E$13) + CHOOSE(CONTROL!$C$32, 0.0021, 0)</f>
        <v>398.26540092477296</v>
      </c>
    </row>
    <row r="816" spans="1:5" ht="15">
      <c r="A816" s="13">
        <v>65989</v>
      </c>
      <c r="B816" s="4">
        <f>63.4347 * CHOOSE(CONTROL!$C$13, $C$13, 100%, $E$13) + CHOOSE(CONTROL!$C$32, 0.0272, 0)</f>
        <v>63.4619</v>
      </c>
      <c r="C816" s="4">
        <f>63.0714 * CHOOSE(CONTROL!$C$13, $C$13, 100%, $E$13) + CHOOSE(CONTROL!$C$32, 0.0272, 0)</f>
        <v>63.098599999999998</v>
      </c>
      <c r="D816" s="4">
        <f>76.6698 * CHOOSE(CONTROL!$C$13, $C$13, 100%, $E$13) + CHOOSE(CONTROL!$C$32, 0.0021, 0)</f>
        <v>76.671899999999994</v>
      </c>
      <c r="E816" s="4">
        <f>407.798558129542 * CHOOSE(CONTROL!$C$13, $C$13, 100%, $E$13) + CHOOSE(CONTROL!$C$32, 0.0021, 0)</f>
        <v>407.800658129542</v>
      </c>
    </row>
    <row r="817" spans="1:5" ht="15">
      <c r="A817" s="13">
        <v>66019</v>
      </c>
      <c r="B817" s="4">
        <f>60.9376 * CHOOSE(CONTROL!$C$13, $C$13, 100%, $E$13) + CHOOSE(CONTROL!$C$32, 0.0272, 0)</f>
        <v>60.964800000000004</v>
      </c>
      <c r="C817" s="4">
        <f>60.5743 * CHOOSE(CONTROL!$C$13, $C$13, 100%, $E$13) + CHOOSE(CONTROL!$C$32, 0.0272, 0)</f>
        <v>60.601500000000001</v>
      </c>
      <c r="D817" s="4">
        <f>76.2867 * CHOOSE(CONTROL!$C$13, $C$13, 100%, $E$13) + CHOOSE(CONTROL!$C$32, 0.0021, 0)</f>
        <v>76.288799999999995</v>
      </c>
      <c r="E817" s="4">
        <f>391.547438707461 * CHOOSE(CONTROL!$C$13, $C$13, 100%, $E$13) + CHOOSE(CONTROL!$C$32, 0.0021, 0)</f>
        <v>391.54953870746101</v>
      </c>
    </row>
    <row r="818" spans="1:5" ht="15">
      <c r="A818" s="13">
        <v>66050</v>
      </c>
      <c r="B818" s="4">
        <f>58.9386 * CHOOSE(CONTROL!$C$13, $C$13, 100%, $E$13) + CHOOSE(CONTROL!$C$32, 0.0272, 0)</f>
        <v>58.965800000000002</v>
      </c>
      <c r="C818" s="4">
        <f>58.5753 * CHOOSE(CONTROL!$C$13, $C$13, 100%, $E$13) + CHOOSE(CONTROL!$C$32, 0.0272, 0)</f>
        <v>58.602499999999999</v>
      </c>
      <c r="D818" s="4">
        <f>75.2611 * CHOOSE(CONTROL!$C$13, $C$13, 100%, $E$13) + CHOOSE(CONTROL!$C$32, 0.0021, 0)</f>
        <v>75.263199999999998</v>
      </c>
      <c r="E818" s="4">
        <f>378.538095544365 * CHOOSE(CONTROL!$C$13, $C$13, 100%, $E$13) + CHOOSE(CONTROL!$C$32, 0.0021, 0)</f>
        <v>378.54019554436496</v>
      </c>
    </row>
    <row r="819" spans="1:5" ht="15">
      <c r="A819" s="13">
        <v>66080</v>
      </c>
      <c r="B819" s="4">
        <f>57.6511 * CHOOSE(CONTROL!$C$13, $C$13, 100%, $E$13) + CHOOSE(CONTROL!$C$32, 0.0272, 0)</f>
        <v>57.6783</v>
      </c>
      <c r="C819" s="4">
        <f>57.2878 * CHOOSE(CONTROL!$C$13, $C$13, 100%, $E$13) + CHOOSE(CONTROL!$C$32, 0.0272, 0)</f>
        <v>57.314999999999998</v>
      </c>
      <c r="D819" s="4">
        <f>74.9085 * CHOOSE(CONTROL!$C$13, $C$13, 100%, $E$13) + CHOOSE(CONTROL!$C$32, 0.0021, 0)</f>
        <v>74.910600000000002</v>
      </c>
      <c r="E819" s="4">
        <f>370.159107070407 * CHOOSE(CONTROL!$C$13, $C$13, 100%, $E$13) + CHOOSE(CONTROL!$C$32, 0.0021, 0)</f>
        <v>370.16120707040699</v>
      </c>
    </row>
    <row r="820" spans="1:5" ht="15">
      <c r="A820" s="13">
        <v>66111</v>
      </c>
      <c r="B820" s="4">
        <f>56.7603 * CHOOSE(CONTROL!$C$13, $C$13, 100%, $E$13) + CHOOSE(CONTROL!$C$32, 0.0272, 0)</f>
        <v>56.787500000000001</v>
      </c>
      <c r="C820" s="4">
        <f>56.3971 * CHOOSE(CONTROL!$C$13, $C$13, 100%, $E$13) + CHOOSE(CONTROL!$C$32, 0.0272, 0)</f>
        <v>56.424300000000002</v>
      </c>
      <c r="D820" s="4">
        <f>72.3125 * CHOOSE(CONTROL!$C$13, $C$13, 100%, $E$13) + CHOOSE(CONTROL!$C$32, 0.0021, 0)</f>
        <v>72.314599999999999</v>
      </c>
      <c r="E820" s="4">
        <f>364.36192411867 * CHOOSE(CONTROL!$C$13, $C$13, 100%, $E$13) + CHOOSE(CONTROL!$C$32, 0.0021, 0)</f>
        <v>364.36402411866999</v>
      </c>
    </row>
    <row r="821" spans="1:5" ht="15">
      <c r="A821" s="13">
        <v>66142</v>
      </c>
      <c r="B821" s="4">
        <f>54.4256 * CHOOSE(CONTROL!$C$13, $C$13, 100%, $E$13) + CHOOSE(CONTROL!$C$32, 0.0272, 0)</f>
        <v>54.452800000000003</v>
      </c>
      <c r="C821" s="4">
        <f>54.0624 * CHOOSE(CONTROL!$C$13, $C$13, 100%, $E$13) + CHOOSE(CONTROL!$C$32, 0.0272, 0)</f>
        <v>54.089599999999997</v>
      </c>
      <c r="D821" s="4">
        <f>69.3238 * CHOOSE(CONTROL!$C$13, $C$13, 100%, $E$13) + CHOOSE(CONTROL!$C$32, 0.0021, 0)</f>
        <v>69.325900000000004</v>
      </c>
      <c r="E821" s="4">
        <f>349.184769427198 * CHOOSE(CONTROL!$C$13, $C$13, 100%, $E$13) + CHOOSE(CONTROL!$C$32, 0.0021, 0)</f>
        <v>349.18686942719796</v>
      </c>
    </row>
    <row r="822" spans="1:5" ht="15">
      <c r="A822" s="13">
        <v>66170</v>
      </c>
      <c r="B822" s="4">
        <f>55.6996 * CHOOSE(CONTROL!$C$13, $C$13, 100%, $E$13) + CHOOSE(CONTROL!$C$32, 0.0272, 0)</f>
        <v>55.726799999999997</v>
      </c>
      <c r="C822" s="4">
        <f>55.3363 * CHOOSE(CONTROL!$C$13, $C$13, 100%, $E$13) + CHOOSE(CONTROL!$C$32, 0.0272, 0)</f>
        <v>55.363500000000002</v>
      </c>
      <c r="D822" s="4">
        <f>71.7051 * CHOOSE(CONTROL!$C$13, $C$13, 100%, $E$13) + CHOOSE(CONTROL!$C$32, 0.0021, 0)</f>
        <v>71.7072</v>
      </c>
      <c r="E822" s="4">
        <f>357.475791958954 * CHOOSE(CONTROL!$C$13, $C$13, 100%, $E$13) + CHOOSE(CONTROL!$C$32, 0.0021, 0)</f>
        <v>357.47789195895399</v>
      </c>
    </row>
    <row r="823" spans="1:5" ht="15">
      <c r="A823" s="13">
        <v>66201</v>
      </c>
      <c r="B823" s="4">
        <f>59.0449 * CHOOSE(CONTROL!$C$13, $C$13, 100%, $E$13) + CHOOSE(CONTROL!$C$32, 0.0272, 0)</f>
        <v>59.072099999999999</v>
      </c>
      <c r="C823" s="4">
        <f>58.6816 * CHOOSE(CONTROL!$C$13, $C$13, 100%, $E$13) + CHOOSE(CONTROL!$C$32, 0.0272, 0)</f>
        <v>58.708800000000004</v>
      </c>
      <c r="D823" s="4">
        <f>75.4329 * CHOOSE(CONTROL!$C$13, $C$13, 100%, $E$13) + CHOOSE(CONTROL!$C$32, 0.0021, 0)</f>
        <v>75.435000000000002</v>
      </c>
      <c r="E823" s="4">
        <f>379.248457739042 * CHOOSE(CONTROL!$C$13, $C$13, 100%, $E$13) + CHOOSE(CONTROL!$C$32, 0.0021, 0)</f>
        <v>379.25055773904199</v>
      </c>
    </row>
    <row r="824" spans="1:5" ht="15">
      <c r="A824" s="13">
        <v>66231</v>
      </c>
      <c r="B824" s="4">
        <f>61.4218 * CHOOSE(CONTROL!$C$13, $C$13, 100%, $E$13) + CHOOSE(CONTROL!$C$32, 0.0272, 0)</f>
        <v>61.448999999999998</v>
      </c>
      <c r="C824" s="4">
        <f>61.0586 * CHOOSE(CONTROL!$C$13, $C$13, 100%, $E$13) + CHOOSE(CONTROL!$C$32, 0.0272, 0)</f>
        <v>61.085799999999999</v>
      </c>
      <c r="D824" s="4">
        <f>77.5803 * CHOOSE(CONTROL!$C$13, $C$13, 100%, $E$13) + CHOOSE(CONTROL!$C$32, 0.0021, 0)</f>
        <v>77.582399999999993</v>
      </c>
      <c r="E824" s="4">
        <f>394.718226934716 * CHOOSE(CONTROL!$C$13, $C$13, 100%, $E$13) + CHOOSE(CONTROL!$C$32, 0.0021, 0)</f>
        <v>394.72032693471596</v>
      </c>
    </row>
    <row r="825" spans="1:5" ht="15">
      <c r="A825" s="13">
        <v>66262</v>
      </c>
      <c r="B825" s="4">
        <f>62.8741 * CHOOSE(CONTROL!$C$13, $C$13, 100%, $E$13) + CHOOSE(CONTROL!$C$32, 0.0272, 0)</f>
        <v>62.901299999999999</v>
      </c>
      <c r="C825" s="4">
        <f>62.5108 * CHOOSE(CONTROL!$C$13, $C$13, 100%, $E$13) + CHOOSE(CONTROL!$C$32, 0.0272, 0)</f>
        <v>62.538000000000004</v>
      </c>
      <c r="D825" s="4">
        <f>76.7318 * CHOOSE(CONTROL!$C$13, $C$13, 100%, $E$13) + CHOOSE(CONTROL!$C$32, 0.0021, 0)</f>
        <v>76.733900000000006</v>
      </c>
      <c r="E825" s="4">
        <f>404.16988515465 * CHOOSE(CONTROL!$C$13, $C$13, 100%, $E$13) + CHOOSE(CONTROL!$C$32, 0.0021, 0)</f>
        <v>404.17198515464997</v>
      </c>
    </row>
    <row r="826" spans="1:5" ht="15">
      <c r="A826" s="13">
        <v>66292</v>
      </c>
      <c r="B826" s="4">
        <f>63.0706 * CHOOSE(CONTROL!$C$13, $C$13, 100%, $E$13) + CHOOSE(CONTROL!$C$32, 0.0272, 0)</f>
        <v>63.097799999999999</v>
      </c>
      <c r="C826" s="4">
        <f>62.7073 * CHOOSE(CONTROL!$C$13, $C$13, 100%, $E$13) + CHOOSE(CONTROL!$C$32, 0.0272, 0)</f>
        <v>62.734499999999997</v>
      </c>
      <c r="D826" s="4">
        <f>77.4228 * CHOOSE(CONTROL!$C$13, $C$13, 100%, $E$13) + CHOOSE(CONTROL!$C$32, 0.0021, 0)</f>
        <v>77.424899999999994</v>
      </c>
      <c r="E826" s="4">
        <f>405.448733736995 * CHOOSE(CONTROL!$C$13, $C$13, 100%, $E$13) + CHOOSE(CONTROL!$C$32, 0.0021, 0)</f>
        <v>405.45083373699498</v>
      </c>
    </row>
    <row r="827" spans="1:5" ht="15">
      <c r="A827" s="13">
        <v>66323</v>
      </c>
      <c r="B827" s="4">
        <f>63.0508 * CHOOSE(CONTROL!$C$13, $C$13, 100%, $E$13) + CHOOSE(CONTROL!$C$32, 0.0272, 0)</f>
        <v>63.078000000000003</v>
      </c>
      <c r="C827" s="4">
        <f>62.6875 * CHOOSE(CONTROL!$C$13, $C$13, 100%, $E$13) + CHOOSE(CONTROL!$C$32, 0.0272, 0)</f>
        <v>62.714700000000001</v>
      </c>
      <c r="D827" s="4">
        <f>78.6697 * CHOOSE(CONTROL!$C$13, $C$13, 100%, $E$13) + CHOOSE(CONTROL!$C$32, 0.0021, 0)</f>
        <v>78.671800000000005</v>
      </c>
      <c r="E827" s="4">
        <f>405.319774216086 * CHOOSE(CONTROL!$C$13, $C$13, 100%, $E$13) + CHOOSE(CONTROL!$C$32, 0.0021, 0)</f>
        <v>405.32187421608597</v>
      </c>
    </row>
    <row r="828" spans="1:5" ht="15">
      <c r="A828" s="13">
        <v>66354</v>
      </c>
      <c r="B828" s="4">
        <f>64.5418 * CHOOSE(CONTROL!$C$13, $C$13, 100%, $E$13) + CHOOSE(CONTROL!$C$32, 0.0272, 0)</f>
        <v>64.568999999999988</v>
      </c>
      <c r="C828" s="4">
        <f>64.1785 * CHOOSE(CONTROL!$C$13, $C$13, 100%, $E$13) + CHOOSE(CONTROL!$C$32, 0.0272, 0)</f>
        <v>64.205699999999993</v>
      </c>
      <c r="D828" s="4">
        <f>77.8463 * CHOOSE(CONTROL!$C$13, $C$13, 100%, $E$13) + CHOOSE(CONTROL!$C$32, 0.0021, 0)</f>
        <v>77.848399999999998</v>
      </c>
      <c r="E828" s="4">
        <f>415.023978164467 * CHOOSE(CONTROL!$C$13, $C$13, 100%, $E$13) + CHOOSE(CONTROL!$C$32, 0.0021, 0)</f>
        <v>415.02607816446698</v>
      </c>
    </row>
    <row r="829" spans="1:5" ht="15">
      <c r="A829" s="13">
        <v>66384</v>
      </c>
      <c r="B829" s="4">
        <f>62.0006 * CHOOSE(CONTROL!$C$13, $C$13, 100%, $E$13) + CHOOSE(CONTROL!$C$32, 0.0272, 0)</f>
        <v>62.027799999999999</v>
      </c>
      <c r="C829" s="4">
        <f>61.6373 * CHOOSE(CONTROL!$C$13, $C$13, 100%, $E$13) + CHOOSE(CONTROL!$C$32, 0.0272, 0)</f>
        <v>61.664500000000004</v>
      </c>
      <c r="D829" s="4">
        <f>77.4572 * CHOOSE(CONTROL!$C$13, $C$13, 100%, $E$13) + CHOOSE(CONTROL!$C$32, 0.0021, 0)</f>
        <v>77.459299999999999</v>
      </c>
      <c r="E829" s="4">
        <f>398.484919607925 * CHOOSE(CONTROL!$C$13, $C$13, 100%, $E$13) + CHOOSE(CONTROL!$C$32, 0.0021, 0)</f>
        <v>398.48701960792499</v>
      </c>
    </row>
    <row r="830" spans="1:5" ht="15">
      <c r="A830" s="13">
        <v>66415</v>
      </c>
      <c r="B830" s="4">
        <f>59.9663 * CHOOSE(CONTROL!$C$13, $C$13, 100%, $E$13) + CHOOSE(CONTROL!$C$32, 0.0272, 0)</f>
        <v>59.993499999999997</v>
      </c>
      <c r="C830" s="4">
        <f>59.603 * CHOOSE(CONTROL!$C$13, $C$13, 100%, $E$13) + CHOOSE(CONTROL!$C$32, 0.0272, 0)</f>
        <v>59.630200000000002</v>
      </c>
      <c r="D830" s="4">
        <f>76.4154 * CHOOSE(CONTROL!$C$13, $C$13, 100%, $E$13) + CHOOSE(CONTROL!$C$32, 0.0021, 0)</f>
        <v>76.417500000000004</v>
      </c>
      <c r="E830" s="4">
        <f>385.245075461297 * CHOOSE(CONTROL!$C$13, $C$13, 100%, $E$13) + CHOOSE(CONTROL!$C$32, 0.0021, 0)</f>
        <v>385.24717546129699</v>
      </c>
    </row>
    <row r="831" spans="1:5" ht="15">
      <c r="A831" s="13">
        <v>66445</v>
      </c>
      <c r="B831" s="4">
        <f>58.6561 * CHOOSE(CONTROL!$C$13, $C$13, 100%, $E$13) + CHOOSE(CONTROL!$C$32, 0.0272, 0)</f>
        <v>58.683300000000003</v>
      </c>
      <c r="C831" s="4">
        <f>58.2928 * CHOOSE(CONTROL!$C$13, $C$13, 100%, $E$13) + CHOOSE(CONTROL!$C$32, 0.0272, 0)</f>
        <v>58.32</v>
      </c>
      <c r="D831" s="4">
        <f>76.0573 * CHOOSE(CONTROL!$C$13, $C$13, 100%, $E$13) + CHOOSE(CONTROL!$C$32, 0.0021, 0)</f>
        <v>76.059399999999997</v>
      </c>
      <c r="E831" s="4">
        <f>376.717627141208 * CHOOSE(CONTROL!$C$13, $C$13, 100%, $E$13) + CHOOSE(CONTROL!$C$32, 0.0021, 0)</f>
        <v>376.71972714120801</v>
      </c>
    </row>
    <row r="832" spans="1:5" ht="15">
      <c r="A832" s="13">
        <v>66476</v>
      </c>
      <c r="B832" s="4">
        <f>57.7495 * CHOOSE(CONTROL!$C$13, $C$13, 100%, $E$13) + CHOOSE(CONTROL!$C$32, 0.0272, 0)</f>
        <v>57.776699999999998</v>
      </c>
      <c r="C832" s="4">
        <f>57.3863 * CHOOSE(CONTROL!$C$13, $C$13, 100%, $E$13) + CHOOSE(CONTROL!$C$32, 0.0272, 0)</f>
        <v>57.413499999999999</v>
      </c>
      <c r="D832" s="4">
        <f>73.4205 * CHOOSE(CONTROL!$C$13, $C$13, 100%, $E$13) + CHOOSE(CONTROL!$C$32, 0.0021, 0)</f>
        <v>73.422600000000003</v>
      </c>
      <c r="E832" s="4">
        <f>370.817729059634 * CHOOSE(CONTROL!$C$13, $C$13, 100%, $E$13) + CHOOSE(CONTROL!$C$32, 0.0021, 0)</f>
        <v>370.819829059634</v>
      </c>
    </row>
    <row r="833" spans="1:5" ht="15">
      <c r="A833" s="13">
        <v>66507</v>
      </c>
      <c r="B833" s="4">
        <f>55.3736 * CHOOSE(CONTROL!$C$13, $C$13, 100%, $E$13) + CHOOSE(CONTROL!$C$32, 0.0272, 0)</f>
        <v>55.400800000000004</v>
      </c>
      <c r="C833" s="4">
        <f>55.0103 * CHOOSE(CONTROL!$C$13, $C$13, 100%, $E$13) + CHOOSE(CONTROL!$C$32, 0.0272, 0)</f>
        <v>55.037500000000001</v>
      </c>
      <c r="D833" s="4">
        <f>70.3848 * CHOOSE(CONTROL!$C$13, $C$13, 100%, $E$13) + CHOOSE(CONTROL!$C$32, 0.0021, 0)</f>
        <v>70.386899999999997</v>
      </c>
      <c r="E833" s="4">
        <f>355.371663859787 * CHOOSE(CONTROL!$C$13, $C$13, 100%, $E$13) + CHOOSE(CONTROL!$C$32, 0.0021, 0)</f>
        <v>355.373763859787</v>
      </c>
    </row>
    <row r="834" spans="1:5" ht="15">
      <c r="A834" s="13">
        <v>66535</v>
      </c>
      <c r="B834" s="4">
        <f>56.67 * CHOOSE(CONTROL!$C$13, $C$13, 100%, $E$13) + CHOOSE(CONTROL!$C$32, 0.0272, 0)</f>
        <v>56.697200000000002</v>
      </c>
      <c r="C834" s="4">
        <f>56.3067 * CHOOSE(CONTROL!$C$13, $C$13, 100%, $E$13) + CHOOSE(CONTROL!$C$32, 0.0272, 0)</f>
        <v>56.3339</v>
      </c>
      <c r="D834" s="4">
        <f>72.8036 * CHOOSE(CONTROL!$C$13, $C$13, 100%, $E$13) + CHOOSE(CONTROL!$C$32, 0.0021, 0)</f>
        <v>72.805700000000002</v>
      </c>
      <c r="E834" s="4">
        <f>363.809587647364 * CHOOSE(CONTROL!$C$13, $C$13, 100%, $E$13) + CHOOSE(CONTROL!$C$32, 0.0021, 0)</f>
        <v>363.81168764736401</v>
      </c>
    </row>
    <row r="835" spans="1:5" ht="15">
      <c r="A835" s="13">
        <v>66566</v>
      </c>
      <c r="B835" s="4">
        <f>60.0745 * CHOOSE(CONTROL!$C$13, $C$13, 100%, $E$13) + CHOOSE(CONTROL!$C$32, 0.0272, 0)</f>
        <v>60.101700000000001</v>
      </c>
      <c r="C835" s="4">
        <f>59.7112 * CHOOSE(CONTROL!$C$13, $C$13, 100%, $E$13) + CHOOSE(CONTROL!$C$32, 0.0272, 0)</f>
        <v>59.738399999999999</v>
      </c>
      <c r="D835" s="4">
        <f>76.59 * CHOOSE(CONTROL!$C$13, $C$13, 100%, $E$13) + CHOOSE(CONTROL!$C$32, 0.0021, 0)</f>
        <v>76.592100000000002</v>
      </c>
      <c r="E835" s="4">
        <f>385.968023932043 * CHOOSE(CONTROL!$C$13, $C$13, 100%, $E$13) + CHOOSE(CONTROL!$C$32, 0.0021, 0)</f>
        <v>385.97012393204301</v>
      </c>
    </row>
    <row r="836" spans="1:5" ht="15">
      <c r="A836" s="13">
        <v>66596</v>
      </c>
      <c r="B836" s="4">
        <f>62.4934 * CHOOSE(CONTROL!$C$13, $C$13, 100%, $E$13) + CHOOSE(CONTROL!$C$32, 0.0272, 0)</f>
        <v>62.520600000000002</v>
      </c>
      <c r="C836" s="4">
        <f>62.1301 * CHOOSE(CONTROL!$C$13, $C$13, 100%, $E$13) + CHOOSE(CONTROL!$C$32, 0.0272, 0)</f>
        <v>62.157299999999999</v>
      </c>
      <c r="D836" s="4">
        <f>78.7711 * CHOOSE(CONTROL!$C$13, $C$13, 100%, $E$13) + CHOOSE(CONTROL!$C$32, 0.0021, 0)</f>
        <v>78.773200000000003</v>
      </c>
      <c r="E836" s="4">
        <f>401.711888212297 * CHOOSE(CONTROL!$C$13, $C$13, 100%, $E$13) + CHOOSE(CONTROL!$C$32, 0.0021, 0)</f>
        <v>401.71398821229701</v>
      </c>
    </row>
    <row r="837" spans="1:5" ht="15">
      <c r="A837" s="13">
        <v>66627</v>
      </c>
      <c r="B837" s="4">
        <f>63.9713 * CHOOSE(CONTROL!$C$13, $C$13, 100%, $E$13) + CHOOSE(CONTROL!$C$32, 0.0272, 0)</f>
        <v>63.9985</v>
      </c>
      <c r="C837" s="4">
        <f>63.608 * CHOOSE(CONTROL!$C$13, $C$13, 100%, $E$13) + CHOOSE(CONTROL!$C$32, 0.0272, 0)</f>
        <v>63.635199999999998</v>
      </c>
      <c r="D837" s="4">
        <f>77.9092 * CHOOSE(CONTROL!$C$13, $C$13, 100%, $E$13) + CHOOSE(CONTROL!$C$32, 0.0021, 0)</f>
        <v>77.911299999999997</v>
      </c>
      <c r="E837" s="4">
        <f>411.331011959768 * CHOOSE(CONTROL!$C$13, $C$13, 100%, $E$13) + CHOOSE(CONTROL!$C$32, 0.0021, 0)</f>
        <v>411.33311195976796</v>
      </c>
    </row>
    <row r="838" spans="1:5" ht="15">
      <c r="A838" s="13">
        <v>66657</v>
      </c>
      <c r="B838" s="4">
        <f>64.1713 * CHOOSE(CONTROL!$C$13, $C$13, 100%, $E$13) + CHOOSE(CONTROL!$C$32, 0.0272, 0)</f>
        <v>64.198499999999996</v>
      </c>
      <c r="C838" s="4">
        <f>63.808 * CHOOSE(CONTROL!$C$13, $C$13, 100%, $E$13) + CHOOSE(CONTROL!$C$32, 0.0272, 0)</f>
        <v>63.8352</v>
      </c>
      <c r="D838" s="4">
        <f>78.6112 * CHOOSE(CONTROL!$C$13, $C$13, 100%, $E$13) + CHOOSE(CONTROL!$C$32, 0.0021, 0)</f>
        <v>78.613299999999995</v>
      </c>
      <c r="E838" s="4">
        <f>412.632519322984 * CHOOSE(CONTROL!$C$13, $C$13, 100%, $E$13) + CHOOSE(CONTROL!$C$32, 0.0021, 0)</f>
        <v>412.63461932298401</v>
      </c>
    </row>
    <row r="839" spans="1:5" ht="15">
      <c r="A839" s="13">
        <v>66688</v>
      </c>
      <c r="B839" s="4">
        <f>64.1511 * CHOOSE(CONTROL!$C$13, $C$13, 100%, $E$13) + CHOOSE(CONTROL!$C$32, 0.0272, 0)</f>
        <v>64.178299999999993</v>
      </c>
      <c r="C839" s="4">
        <f>63.7878 * CHOOSE(CONTROL!$C$13, $C$13, 100%, $E$13) + CHOOSE(CONTROL!$C$32, 0.0272, 0)</f>
        <v>63.814999999999998</v>
      </c>
      <c r="D839" s="4">
        <f>79.8777 * CHOOSE(CONTROL!$C$13, $C$13, 100%, $E$13) + CHOOSE(CONTROL!$C$32, 0.0021, 0)</f>
        <v>79.879800000000003</v>
      </c>
      <c r="E839" s="4">
        <f>412.501274882996 * CHOOSE(CONTROL!$C$13, $C$13, 100%, $E$13) + CHOOSE(CONTROL!$C$32, 0.0021, 0)</f>
        <v>412.50337488299596</v>
      </c>
    </row>
    <row r="840" spans="1:5" ht="15">
      <c r="A840" s="13">
        <v>66719</v>
      </c>
      <c r="B840" s="4">
        <f>65.6685 * CHOOSE(CONTROL!$C$13, $C$13, 100%, $E$13) + CHOOSE(CONTROL!$C$32, 0.0272, 0)</f>
        <v>65.695699999999988</v>
      </c>
      <c r="C840" s="4">
        <f>65.3052 * CHOOSE(CONTROL!$C$13, $C$13, 100%, $E$13) + CHOOSE(CONTROL!$C$32, 0.0272, 0)</f>
        <v>65.332399999999993</v>
      </c>
      <c r="D840" s="4">
        <f>79.0413 * CHOOSE(CONTROL!$C$13, $C$13, 100%, $E$13) + CHOOSE(CONTROL!$C$32, 0.0021, 0)</f>
        <v>79.043400000000005</v>
      </c>
      <c r="E840" s="4">
        <f>422.37741899211 * CHOOSE(CONTROL!$C$13, $C$13, 100%, $E$13) + CHOOSE(CONTROL!$C$32, 0.0021, 0)</f>
        <v>422.37951899210998</v>
      </c>
    </row>
    <row r="841" spans="1:5" ht="15">
      <c r="A841" s="13">
        <v>66749</v>
      </c>
      <c r="B841" s="4">
        <f>63.0824 * CHOOSE(CONTROL!$C$13, $C$13, 100%, $E$13) + CHOOSE(CONTROL!$C$32, 0.0272, 0)</f>
        <v>63.1096</v>
      </c>
      <c r="C841" s="4">
        <f>62.7191 * CHOOSE(CONTROL!$C$13, $C$13, 100%, $E$13) + CHOOSE(CONTROL!$C$32, 0.0272, 0)</f>
        <v>62.746299999999998</v>
      </c>
      <c r="D841" s="4">
        <f>78.6461 * CHOOSE(CONTROL!$C$13, $C$13, 100%, $E$13) + CHOOSE(CONTROL!$C$32, 0.0021, 0)</f>
        <v>78.648200000000003</v>
      </c>
      <c r="E841" s="4">
        <f>405.54531956362 * CHOOSE(CONTROL!$C$13, $C$13, 100%, $E$13) + CHOOSE(CONTROL!$C$32, 0.0021, 0)</f>
        <v>405.54741956362</v>
      </c>
    </row>
    <row r="842" spans="1:5" ht="15">
      <c r="A842" s="13">
        <v>66780</v>
      </c>
      <c r="B842" s="4">
        <f>61.0121 * CHOOSE(CONTROL!$C$13, $C$13, 100%, $E$13) + CHOOSE(CONTROL!$C$32, 0.0272, 0)</f>
        <v>61.039299999999997</v>
      </c>
      <c r="C842" s="4">
        <f>60.6489 * CHOOSE(CONTROL!$C$13, $C$13, 100%, $E$13) + CHOOSE(CONTROL!$C$32, 0.0272, 0)</f>
        <v>60.676099999999998</v>
      </c>
      <c r="D842" s="4">
        <f>77.5879 * CHOOSE(CONTROL!$C$13, $C$13, 100%, $E$13) + CHOOSE(CONTROL!$C$32, 0.0021, 0)</f>
        <v>77.59</v>
      </c>
      <c r="E842" s="4">
        <f>392.070890391495 * CHOOSE(CONTROL!$C$13, $C$13, 100%, $E$13) + CHOOSE(CONTROL!$C$32, 0.0021, 0)</f>
        <v>392.07299039149501</v>
      </c>
    </row>
    <row r="843" spans="1:5" ht="15">
      <c r="A843" s="13">
        <v>66810</v>
      </c>
      <c r="B843" s="4">
        <f>59.6787 * CHOOSE(CONTROL!$C$13, $C$13, 100%, $E$13) + CHOOSE(CONTROL!$C$32, 0.0272, 0)</f>
        <v>59.7059</v>
      </c>
      <c r="C843" s="4">
        <f>59.3155 * CHOOSE(CONTROL!$C$13, $C$13, 100%, $E$13) + CHOOSE(CONTROL!$C$32, 0.0272, 0)</f>
        <v>59.342700000000001</v>
      </c>
      <c r="D843" s="4">
        <f>77.2242 * CHOOSE(CONTROL!$C$13, $C$13, 100%, $E$13) + CHOOSE(CONTROL!$C$32, 0.0021, 0)</f>
        <v>77.226299999999995</v>
      </c>
      <c r="E843" s="4">
        <f>383.392351797274 * CHOOSE(CONTROL!$C$13, $C$13, 100%, $E$13) + CHOOSE(CONTROL!$C$32, 0.0021, 0)</f>
        <v>383.39445179727397</v>
      </c>
    </row>
    <row r="844" spans="1:5" ht="15">
      <c r="A844" s="13">
        <v>66841</v>
      </c>
      <c r="B844" s="4">
        <f>58.7562 * CHOOSE(CONTROL!$C$13, $C$13, 100%, $E$13) + CHOOSE(CONTROL!$C$32, 0.0272, 0)</f>
        <v>58.7834</v>
      </c>
      <c r="C844" s="4">
        <f>58.3929 * CHOOSE(CONTROL!$C$13, $C$13, 100%, $E$13) + CHOOSE(CONTROL!$C$32, 0.0272, 0)</f>
        <v>58.420099999999998</v>
      </c>
      <c r="D844" s="4">
        <f>74.5459 * CHOOSE(CONTROL!$C$13, $C$13, 100%, $E$13) + CHOOSE(CONTROL!$C$32, 0.0021, 0)</f>
        <v>74.548000000000002</v>
      </c>
      <c r="E844" s="4">
        <f>377.387918667812 * CHOOSE(CONTROL!$C$13, $C$13, 100%, $E$13) + CHOOSE(CONTROL!$C$32, 0.0021, 0)</f>
        <v>377.390018667812</v>
      </c>
    </row>
    <row r="845" spans="1:5" ht="15">
      <c r="A845" s="13">
        <v>66872</v>
      </c>
      <c r="B845" s="4">
        <f>56.3383 * CHOOSE(CONTROL!$C$13, $C$13, 100%, $E$13) + CHOOSE(CONTROL!$C$32, 0.0272, 0)</f>
        <v>56.365499999999997</v>
      </c>
      <c r="C845" s="4">
        <f>55.975 * CHOOSE(CONTROL!$C$13, $C$13, 100%, $E$13) + CHOOSE(CONTROL!$C$32, 0.0272, 0)</f>
        <v>56.002200000000002</v>
      </c>
      <c r="D845" s="4">
        <f>71.4624 * CHOOSE(CONTROL!$C$13, $C$13, 100%, $E$13) + CHOOSE(CONTROL!$C$32, 0.0021, 0)</f>
        <v>71.464500000000001</v>
      </c>
      <c r="E845" s="4">
        <f>361.66817837341 * CHOOSE(CONTROL!$C$13, $C$13, 100%, $E$13) + CHOOSE(CONTROL!$C$32, 0.0021, 0)</f>
        <v>361.67027837340999</v>
      </c>
    </row>
    <row r="846" spans="1:5" ht="15">
      <c r="A846" s="13">
        <v>66900</v>
      </c>
      <c r="B846" s="4">
        <f>57.6576 * CHOOSE(CONTROL!$C$13, $C$13, 100%, $E$13) + CHOOSE(CONTROL!$C$32, 0.0272, 0)</f>
        <v>57.684800000000003</v>
      </c>
      <c r="C846" s="4">
        <f>57.2943 * CHOOSE(CONTROL!$C$13, $C$13, 100%, $E$13) + CHOOSE(CONTROL!$C$32, 0.0272, 0)</f>
        <v>57.3215</v>
      </c>
      <c r="D846" s="4">
        <f>73.9193 * CHOOSE(CONTROL!$C$13, $C$13, 100%, $E$13) + CHOOSE(CONTROL!$C$32, 0.0021, 0)</f>
        <v>73.921400000000006</v>
      </c>
      <c r="E846" s="4">
        <f>370.255606229533 * CHOOSE(CONTROL!$C$13, $C$13, 100%, $E$13) + CHOOSE(CONTROL!$C$32, 0.0021, 0)</f>
        <v>370.25770622953297</v>
      </c>
    </row>
    <row r="847" spans="1:5" ht="15">
      <c r="A847" s="13">
        <v>66931</v>
      </c>
      <c r="B847" s="4">
        <f>61.1222 * CHOOSE(CONTROL!$C$13, $C$13, 100%, $E$13) + CHOOSE(CONTROL!$C$32, 0.0272, 0)</f>
        <v>61.1494</v>
      </c>
      <c r="C847" s="4">
        <f>60.7589 * CHOOSE(CONTROL!$C$13, $C$13, 100%, $E$13) + CHOOSE(CONTROL!$C$32, 0.0272, 0)</f>
        <v>60.786099999999998</v>
      </c>
      <c r="D847" s="4">
        <f>77.7652 * CHOOSE(CONTROL!$C$13, $C$13, 100%, $E$13) + CHOOSE(CONTROL!$C$32, 0.0021, 0)</f>
        <v>77.767299999999992</v>
      </c>
      <c r="E847" s="4">
        <f>392.806648143345 * CHOOSE(CONTROL!$C$13, $C$13, 100%, $E$13) + CHOOSE(CONTROL!$C$32, 0.0021, 0)</f>
        <v>392.80874814334499</v>
      </c>
    </row>
    <row r="848" spans="1:5" ht="15">
      <c r="A848" s="13">
        <v>66961</v>
      </c>
      <c r="B848" s="4">
        <f>63.5839 * CHOOSE(CONTROL!$C$13, $C$13, 100%, $E$13) + CHOOSE(CONTROL!$C$32, 0.0272, 0)</f>
        <v>63.6111</v>
      </c>
      <c r="C848" s="4">
        <f>63.2206 * CHOOSE(CONTROL!$C$13, $C$13, 100%, $E$13) + CHOOSE(CONTROL!$C$32, 0.0272, 0)</f>
        <v>63.247799999999998</v>
      </c>
      <c r="D848" s="4">
        <f>79.9807 * CHOOSE(CONTROL!$C$13, $C$13, 100%, $E$13) + CHOOSE(CONTROL!$C$32, 0.0021, 0)</f>
        <v>79.982799999999997</v>
      </c>
      <c r="E848" s="4">
        <f>408.829463955256 * CHOOSE(CONTROL!$C$13, $C$13, 100%, $E$13) + CHOOSE(CONTROL!$C$32, 0.0021, 0)</f>
        <v>408.831563955256</v>
      </c>
    </row>
    <row r="849" spans="1:5" ht="15">
      <c r="A849" s="13">
        <v>66992</v>
      </c>
      <c r="B849" s="4">
        <f>65.0879 * CHOOSE(CONTROL!$C$13, $C$13, 100%, $E$13) + CHOOSE(CONTROL!$C$32, 0.0272, 0)</f>
        <v>65.115099999999998</v>
      </c>
      <c r="C849" s="4">
        <f>64.7246 * CHOOSE(CONTROL!$C$13, $C$13, 100%, $E$13) + CHOOSE(CONTROL!$C$32, 0.0272, 0)</f>
        <v>64.751799999999989</v>
      </c>
      <c r="D849" s="4">
        <f>79.1052 * CHOOSE(CONTROL!$C$13, $C$13, 100%, $E$13) + CHOOSE(CONTROL!$C$32, 0.0021, 0)</f>
        <v>79.107299999999995</v>
      </c>
      <c r="E849" s="4">
        <f>418.619020403034 * CHOOSE(CONTROL!$C$13, $C$13, 100%, $E$13) + CHOOSE(CONTROL!$C$32, 0.0021, 0)</f>
        <v>418.62112040303401</v>
      </c>
    </row>
    <row r="850" spans="1:5" ht="15">
      <c r="A850" s="13">
        <v>67022</v>
      </c>
      <c r="B850" s="4">
        <f>65.2914 * CHOOSE(CONTROL!$C$13, $C$13, 100%, $E$13) + CHOOSE(CONTROL!$C$32, 0.0272, 0)</f>
        <v>65.318599999999989</v>
      </c>
      <c r="C850" s="4">
        <f>64.9281 * CHOOSE(CONTROL!$C$13, $C$13, 100%, $E$13) + CHOOSE(CONTROL!$C$32, 0.0272, 0)</f>
        <v>64.955299999999994</v>
      </c>
      <c r="D850" s="4">
        <f>79.8182 * CHOOSE(CONTROL!$C$13, $C$13, 100%, $E$13) + CHOOSE(CONTROL!$C$32, 0.0021, 0)</f>
        <v>79.820300000000003</v>
      </c>
      <c r="E850" s="4">
        <f>419.943588017912 * CHOOSE(CONTROL!$C$13, $C$13, 100%, $E$13) + CHOOSE(CONTROL!$C$32, 0.0021, 0)</f>
        <v>419.945688017912</v>
      </c>
    </row>
    <row r="851" spans="1:5" ht="15">
      <c r="A851" s="13">
        <v>67053</v>
      </c>
      <c r="B851" s="4">
        <f>65.2709 * CHOOSE(CONTROL!$C$13, $C$13, 100%, $E$13) + CHOOSE(CONTROL!$C$32, 0.0272, 0)</f>
        <v>65.298099999999991</v>
      </c>
      <c r="C851" s="4">
        <f>64.9076 * CHOOSE(CONTROL!$C$13, $C$13, 100%, $E$13) + CHOOSE(CONTROL!$C$32, 0.0272, 0)</f>
        <v>64.934799999999996</v>
      </c>
      <c r="D851" s="4">
        <f>81.1046 * CHOOSE(CONTROL!$C$13, $C$13, 100%, $E$13) + CHOOSE(CONTROL!$C$32, 0.0021, 0)</f>
        <v>81.106700000000004</v>
      </c>
      <c r="E851" s="4">
        <f>419.810018174395 * CHOOSE(CONTROL!$C$13, $C$13, 100%, $E$13) + CHOOSE(CONTROL!$C$32, 0.0021, 0)</f>
        <v>419.81211817439498</v>
      </c>
    </row>
    <row r="852" spans="1:5" ht="15">
      <c r="A852" s="13">
        <v>67084</v>
      </c>
      <c r="B852" s="4">
        <f>66.8151 * CHOOSE(CONTROL!$C$13, $C$13, 100%, $E$13) + CHOOSE(CONTROL!$C$32, 0.0272, 0)</f>
        <v>66.842299999999994</v>
      </c>
      <c r="C852" s="4">
        <f>66.4518 * CHOOSE(CONTROL!$C$13, $C$13, 100%, $E$13) + CHOOSE(CONTROL!$C$32, 0.0272, 0)</f>
        <v>66.478999999999999</v>
      </c>
      <c r="D852" s="4">
        <f>80.2551 * CHOOSE(CONTROL!$C$13, $C$13, 100%, $E$13) + CHOOSE(CONTROL!$C$32, 0.0021, 0)</f>
        <v>80.257199999999997</v>
      </c>
      <c r="E852" s="4">
        <f>429.86114889906 * CHOOSE(CONTROL!$C$13, $C$13, 100%, $E$13) + CHOOSE(CONTROL!$C$32, 0.0021, 0)</f>
        <v>429.86324889906001</v>
      </c>
    </row>
    <row r="853" spans="1:5" ht="15">
      <c r="A853" s="13">
        <v>67114</v>
      </c>
      <c r="B853" s="4">
        <f>64.1833 * CHOOSE(CONTROL!$C$13, $C$13, 100%, $E$13) + CHOOSE(CONTROL!$C$32, 0.0272, 0)</f>
        <v>64.210499999999996</v>
      </c>
      <c r="C853" s="4">
        <f>63.82 * CHOOSE(CONTROL!$C$13, $C$13, 100%, $E$13) + CHOOSE(CONTROL!$C$32, 0.0272, 0)</f>
        <v>63.847200000000001</v>
      </c>
      <c r="D853" s="4">
        <f>79.8537 * CHOOSE(CONTROL!$C$13, $C$13, 100%, $E$13) + CHOOSE(CONTROL!$C$32, 0.0021, 0)</f>
        <v>79.855800000000002</v>
      </c>
      <c r="E853" s="4">
        <f>412.730816467986 * CHOOSE(CONTROL!$C$13, $C$13, 100%, $E$13) + CHOOSE(CONTROL!$C$32, 0.0021, 0)</f>
        <v>412.732916467986</v>
      </c>
    </row>
    <row r="854" spans="1:5" ht="15">
      <c r="A854" s="13">
        <v>67145</v>
      </c>
      <c r="B854" s="4">
        <f>62.0764 * CHOOSE(CONTROL!$C$13, $C$13, 100%, $E$13) + CHOOSE(CONTROL!$C$32, 0.0272, 0)</f>
        <v>62.1036</v>
      </c>
      <c r="C854" s="4">
        <f>61.7132 * CHOOSE(CONTROL!$C$13, $C$13, 100%, $E$13) + CHOOSE(CONTROL!$C$32, 0.0272, 0)</f>
        <v>61.740400000000001</v>
      </c>
      <c r="D854" s="4">
        <f>78.7789 * CHOOSE(CONTROL!$C$13, $C$13, 100%, $E$13) + CHOOSE(CONTROL!$C$32, 0.0021, 0)</f>
        <v>78.780999999999992</v>
      </c>
      <c r="E854" s="4">
        <f>399.017645866892 * CHOOSE(CONTROL!$C$13, $C$13, 100%, $E$13) + CHOOSE(CONTROL!$C$32, 0.0021, 0)</f>
        <v>399.01974586689198</v>
      </c>
    </row>
    <row r="855" spans="1:5" ht="15">
      <c r="A855" s="13">
        <v>67175</v>
      </c>
      <c r="B855" s="4">
        <f>60.7195 * CHOOSE(CONTROL!$C$13, $C$13, 100%, $E$13) + CHOOSE(CONTROL!$C$32, 0.0272, 0)</f>
        <v>60.746699999999997</v>
      </c>
      <c r="C855" s="4">
        <f>60.3562 * CHOOSE(CONTROL!$C$13, $C$13, 100%, $E$13) + CHOOSE(CONTROL!$C$32, 0.0272, 0)</f>
        <v>60.383400000000002</v>
      </c>
      <c r="D855" s="4">
        <f>78.4094 * CHOOSE(CONTROL!$C$13, $C$13, 100%, $E$13) + CHOOSE(CONTROL!$C$32, 0.0021, 0)</f>
        <v>78.411500000000004</v>
      </c>
      <c r="E855" s="4">
        <f>390.185339964321 * CHOOSE(CONTROL!$C$13, $C$13, 100%, $E$13) + CHOOSE(CONTROL!$C$32, 0.0021, 0)</f>
        <v>390.18743996432096</v>
      </c>
    </row>
    <row r="856" spans="1:5" ht="15">
      <c r="A856" s="13">
        <v>67206</v>
      </c>
      <c r="B856" s="4">
        <f>59.7807 * CHOOSE(CONTROL!$C$13, $C$13, 100%, $E$13) + CHOOSE(CONTROL!$C$32, 0.0272, 0)</f>
        <v>59.807900000000004</v>
      </c>
      <c r="C856" s="4">
        <f>59.4174 * CHOOSE(CONTROL!$C$13, $C$13, 100%, $E$13) + CHOOSE(CONTROL!$C$32, 0.0272, 0)</f>
        <v>59.444600000000001</v>
      </c>
      <c r="D856" s="4">
        <f>75.689 * CHOOSE(CONTROL!$C$13, $C$13, 100%, $E$13) + CHOOSE(CONTROL!$C$32, 0.0021, 0)</f>
        <v>75.691099999999992</v>
      </c>
      <c r="E856" s="4">
        <f>384.074519623412 * CHOOSE(CONTROL!$C$13, $C$13, 100%, $E$13) + CHOOSE(CONTROL!$C$32, 0.0021, 0)</f>
        <v>384.076619623412</v>
      </c>
    </row>
    <row r="857" spans="1:5" ht="15">
      <c r="A857" s="13">
        <v>67237</v>
      </c>
      <c r="B857" s="4">
        <f>57.32 * CHOOSE(CONTROL!$C$13, $C$13, 100%, $E$13) + CHOOSE(CONTROL!$C$32, 0.0272, 0)</f>
        <v>57.347200000000001</v>
      </c>
      <c r="C857" s="4">
        <f>56.9567 * CHOOSE(CONTROL!$C$13, $C$13, 100%, $E$13) + CHOOSE(CONTROL!$C$32, 0.0272, 0)</f>
        <v>56.983899999999998</v>
      </c>
      <c r="D857" s="4">
        <f>72.5571 * CHOOSE(CONTROL!$C$13, $C$13, 100%, $E$13) + CHOOSE(CONTROL!$C$32, 0.0021, 0)</f>
        <v>72.559200000000004</v>
      </c>
      <c r="E857" s="4">
        <f>368.076255228806 * CHOOSE(CONTROL!$C$13, $C$13, 100%, $E$13) + CHOOSE(CONTROL!$C$32, 0.0021, 0)</f>
        <v>368.078355228806</v>
      </c>
    </row>
    <row r="858" spans="1:5" ht="15">
      <c r="A858" s="13">
        <v>67266</v>
      </c>
      <c r="B858" s="4">
        <f>58.6626 * CHOOSE(CONTROL!$C$13, $C$13, 100%, $E$13) + CHOOSE(CONTROL!$C$32, 0.0272, 0)</f>
        <v>58.689799999999998</v>
      </c>
      <c r="C858" s="4">
        <f>58.2994 * CHOOSE(CONTROL!$C$13, $C$13, 100%, $E$13) + CHOOSE(CONTROL!$C$32, 0.0272, 0)</f>
        <v>58.326599999999999</v>
      </c>
      <c r="D858" s="4">
        <f>75.0525 * CHOOSE(CONTROL!$C$13, $C$13, 100%, $E$13) + CHOOSE(CONTROL!$C$32, 0.0021, 0)</f>
        <v>75.054599999999994</v>
      </c>
      <c r="E858" s="4">
        <f>376.815836083127 * CHOOSE(CONTROL!$C$13, $C$13, 100%, $E$13) + CHOOSE(CONTROL!$C$32, 0.0021, 0)</f>
        <v>376.81793608312699</v>
      </c>
    </row>
    <row r="859" spans="1:5" ht="15">
      <c r="A859" s="13">
        <v>67297</v>
      </c>
      <c r="B859" s="4">
        <f>62.1885 * CHOOSE(CONTROL!$C$13, $C$13, 100%, $E$13) + CHOOSE(CONTROL!$C$32, 0.0272, 0)</f>
        <v>62.215699999999998</v>
      </c>
      <c r="C859" s="4">
        <f>61.8252 * CHOOSE(CONTROL!$C$13, $C$13, 100%, $E$13) + CHOOSE(CONTROL!$C$32, 0.0272, 0)</f>
        <v>61.852400000000003</v>
      </c>
      <c r="D859" s="4">
        <f>78.959 * CHOOSE(CONTROL!$C$13, $C$13, 100%, $E$13) + CHOOSE(CONTROL!$C$32, 0.0021, 0)</f>
        <v>78.961100000000002</v>
      </c>
      <c r="E859" s="4">
        <f>399.766439856108 * CHOOSE(CONTROL!$C$13, $C$13, 100%, $E$13) + CHOOSE(CONTROL!$C$32, 0.0021, 0)</f>
        <v>399.76853985610796</v>
      </c>
    </row>
    <row r="860" spans="1:5" ht="15">
      <c r="A860" s="13">
        <v>67327</v>
      </c>
      <c r="B860" s="4">
        <f>64.6936 * CHOOSE(CONTROL!$C$13, $C$13, 100%, $E$13) + CHOOSE(CONTROL!$C$32, 0.0272, 0)</f>
        <v>64.720799999999997</v>
      </c>
      <c r="C860" s="4">
        <f>64.3304 * CHOOSE(CONTROL!$C$13, $C$13, 100%, $E$13) + CHOOSE(CONTROL!$C$32, 0.0272, 0)</f>
        <v>64.357599999999991</v>
      </c>
      <c r="D860" s="4">
        <f>81.2092 * CHOOSE(CONTROL!$C$13, $C$13, 100%, $E$13) + CHOOSE(CONTROL!$C$32, 0.0021, 0)</f>
        <v>81.211299999999994</v>
      </c>
      <c r="E860" s="4">
        <f>416.07314969382 * CHOOSE(CONTROL!$C$13, $C$13, 100%, $E$13) + CHOOSE(CONTROL!$C$32, 0.0021, 0)</f>
        <v>416.07524969382001</v>
      </c>
    </row>
    <row r="861" spans="1:5" ht="15">
      <c r="A861" s="13">
        <v>67358</v>
      </c>
      <c r="B861" s="4">
        <f>66.2242 * CHOOSE(CONTROL!$C$13, $C$13, 100%, $E$13) + CHOOSE(CONTROL!$C$32, 0.0272, 0)</f>
        <v>66.25139999999999</v>
      </c>
      <c r="C861" s="4">
        <f>65.8609 * CHOOSE(CONTROL!$C$13, $C$13, 100%, $E$13) + CHOOSE(CONTROL!$C$32, 0.0272, 0)</f>
        <v>65.888099999999994</v>
      </c>
      <c r="D861" s="4">
        <f>80.32 * CHOOSE(CONTROL!$C$13, $C$13, 100%, $E$13) + CHOOSE(CONTROL!$C$32, 0.0021, 0)</f>
        <v>80.322099999999992</v>
      </c>
      <c r="E861" s="4">
        <f>426.036158587372 * CHOOSE(CONTROL!$C$13, $C$13, 100%, $E$13) + CHOOSE(CONTROL!$C$32, 0.0021, 0)</f>
        <v>426.03825858737196</v>
      </c>
    </row>
    <row r="862" spans="1:5" ht="15">
      <c r="A862" s="13">
        <v>67388</v>
      </c>
      <c r="B862" s="4">
        <f>66.4313 * CHOOSE(CONTROL!$C$13, $C$13, 100%, $E$13) + CHOOSE(CONTROL!$C$32, 0.0272, 0)</f>
        <v>66.458499999999987</v>
      </c>
      <c r="C862" s="4">
        <f>66.068 * CHOOSE(CONTROL!$C$13, $C$13, 100%, $E$13) + CHOOSE(CONTROL!$C$32, 0.0272, 0)</f>
        <v>66.095199999999991</v>
      </c>
      <c r="D862" s="4">
        <f>81.0442 * CHOOSE(CONTROL!$C$13, $C$13, 100%, $E$13) + CHOOSE(CONTROL!$C$32, 0.0021, 0)</f>
        <v>81.046300000000002</v>
      </c>
      <c r="E862" s="4">
        <f>427.384195038006 * CHOOSE(CONTROL!$C$13, $C$13, 100%, $E$13) + CHOOSE(CONTROL!$C$32, 0.0021, 0)</f>
        <v>427.38629503800598</v>
      </c>
    </row>
    <row r="863" spans="1:5" ht="15">
      <c r="A863" s="13">
        <v>67419</v>
      </c>
      <c r="B863" s="4">
        <f>66.4104 * CHOOSE(CONTROL!$C$13, $C$13, 100%, $E$13) + CHOOSE(CONTROL!$C$32, 0.0272, 0)</f>
        <v>66.437599999999989</v>
      </c>
      <c r="C863" s="4">
        <f>66.0472 * CHOOSE(CONTROL!$C$13, $C$13, 100%, $E$13) + CHOOSE(CONTROL!$C$32, 0.0272, 0)</f>
        <v>66.074399999999997</v>
      </c>
      <c r="D863" s="4">
        <f>82.3509 * CHOOSE(CONTROL!$C$13, $C$13, 100%, $E$13) + CHOOSE(CONTROL!$C$32, 0.0021, 0)</f>
        <v>82.352999999999994</v>
      </c>
      <c r="E863" s="4">
        <f>427.248258589202 * CHOOSE(CONTROL!$C$13, $C$13, 100%, $E$13) + CHOOSE(CONTROL!$C$32, 0.0021, 0)</f>
        <v>427.25035858920199</v>
      </c>
    </row>
    <row r="864" spans="1:5" ht="15">
      <c r="A864" s="13">
        <v>67450</v>
      </c>
      <c r="B864" s="4">
        <f>67.9819 * CHOOSE(CONTROL!$C$13, $C$13, 100%, $E$13) + CHOOSE(CONTROL!$C$32, 0.0272, 0)</f>
        <v>68.009099999999989</v>
      </c>
      <c r="C864" s="4">
        <f>67.6186 * CHOOSE(CONTROL!$C$13, $C$13, 100%, $E$13) + CHOOSE(CONTROL!$C$32, 0.0272, 0)</f>
        <v>67.645799999999994</v>
      </c>
      <c r="D864" s="4">
        <f>81.488 * CHOOSE(CONTROL!$C$13, $C$13, 100%, $E$13) + CHOOSE(CONTROL!$C$32, 0.0021, 0)</f>
        <v>81.490099999999998</v>
      </c>
      <c r="E864" s="4">
        <f>437.477476361661 * CHOOSE(CONTROL!$C$13, $C$13, 100%, $E$13) + CHOOSE(CONTROL!$C$32, 0.0021, 0)</f>
        <v>437.47957636166097</v>
      </c>
    </row>
    <row r="865" spans="1:5" ht="15">
      <c r="A865" s="13">
        <v>67480</v>
      </c>
      <c r="B865" s="4">
        <f>65.3036 * CHOOSE(CONTROL!$C$13, $C$13, 100%, $E$13) + CHOOSE(CONTROL!$C$32, 0.0272, 0)</f>
        <v>65.330799999999996</v>
      </c>
      <c r="C865" s="4">
        <f>64.9403 * CHOOSE(CONTROL!$C$13, $C$13, 100%, $E$13) + CHOOSE(CONTROL!$C$32, 0.0272, 0)</f>
        <v>64.967499999999987</v>
      </c>
      <c r="D865" s="4">
        <f>81.0802 * CHOOSE(CONTROL!$C$13, $C$13, 100%, $E$13) + CHOOSE(CONTROL!$C$32, 0.0021, 0)</f>
        <v>81.082300000000004</v>
      </c>
      <c r="E865" s="4">
        <f>420.04362680262 * CHOOSE(CONTROL!$C$13, $C$13, 100%, $E$13) + CHOOSE(CONTROL!$C$32, 0.0021, 0)</f>
        <v>420.04572680261998</v>
      </c>
    </row>
    <row r="866" spans="1:5" ht="15">
      <c r="A866" s="13">
        <v>67511</v>
      </c>
      <c r="B866" s="4">
        <f>63.1596 * CHOOSE(CONTROL!$C$13, $C$13, 100%, $E$13) + CHOOSE(CONTROL!$C$32, 0.0272, 0)</f>
        <v>63.186799999999998</v>
      </c>
      <c r="C866" s="4">
        <f>62.7963 * CHOOSE(CONTROL!$C$13, $C$13, 100%, $E$13) + CHOOSE(CONTROL!$C$32, 0.0272, 0)</f>
        <v>62.823500000000003</v>
      </c>
      <c r="D866" s="4">
        <f>79.9886 * CHOOSE(CONTROL!$C$13, $C$13, 100%, $E$13) + CHOOSE(CONTROL!$C$32, 0.0021, 0)</f>
        <v>79.990700000000004</v>
      </c>
      <c r="E866" s="4">
        <f>406.087484725467 * CHOOSE(CONTROL!$C$13, $C$13, 100%, $E$13) + CHOOSE(CONTROL!$C$32, 0.0021, 0)</f>
        <v>406.08958472546698</v>
      </c>
    </row>
    <row r="867" spans="1:5" ht="15">
      <c r="A867" s="13">
        <v>67541</v>
      </c>
      <c r="B867" s="4">
        <f>61.7786 * CHOOSE(CONTROL!$C$13, $C$13, 100%, $E$13) + CHOOSE(CONTROL!$C$32, 0.0272, 0)</f>
        <v>61.805799999999998</v>
      </c>
      <c r="C867" s="4">
        <f>61.4154 * CHOOSE(CONTROL!$C$13, $C$13, 100%, $E$13) + CHOOSE(CONTROL!$C$32, 0.0272, 0)</f>
        <v>61.442599999999999</v>
      </c>
      <c r="D867" s="4">
        <f>79.6132 * CHOOSE(CONTROL!$C$13, $C$13, 100%, $E$13) + CHOOSE(CONTROL!$C$32, 0.0021, 0)</f>
        <v>79.615300000000005</v>
      </c>
      <c r="E867" s="4">
        <f>397.09868704834 * CHOOSE(CONTROL!$C$13, $C$13, 100%, $E$13) + CHOOSE(CONTROL!$C$32, 0.0021, 0)</f>
        <v>397.10078704834001</v>
      </c>
    </row>
    <row r="868" spans="1:5" ht="15">
      <c r="A868" s="13">
        <v>67572</v>
      </c>
      <c r="B868" s="4">
        <f>60.8232 * CHOOSE(CONTROL!$C$13, $C$13, 100%, $E$13) + CHOOSE(CONTROL!$C$32, 0.0272, 0)</f>
        <v>60.8504</v>
      </c>
      <c r="C868" s="4">
        <f>60.4599 * CHOOSE(CONTROL!$C$13, $C$13, 100%, $E$13) + CHOOSE(CONTROL!$C$32, 0.0272, 0)</f>
        <v>60.487099999999998</v>
      </c>
      <c r="D868" s="4">
        <f>76.8501 * CHOOSE(CONTROL!$C$13, $C$13, 100%, $E$13) + CHOOSE(CONTROL!$C$32, 0.0021, 0)</f>
        <v>76.852199999999996</v>
      </c>
      <c r="E868" s="4">
        <f>390.879594515583 * CHOOSE(CONTROL!$C$13, $C$13, 100%, $E$13) + CHOOSE(CONTROL!$C$32, 0.0021, 0)</f>
        <v>390.88169451558298</v>
      </c>
    </row>
    <row r="869" spans="1:5" ht="15">
      <c r="A869" s="13">
        <v>67603</v>
      </c>
      <c r="B869" s="4">
        <f>58.3191 * CHOOSE(CONTROL!$C$13, $C$13, 100%, $E$13) + CHOOSE(CONTROL!$C$32, 0.0272, 0)</f>
        <v>58.346299999999999</v>
      </c>
      <c r="C869" s="4">
        <f>57.9558 * CHOOSE(CONTROL!$C$13, $C$13, 100%, $E$13) + CHOOSE(CONTROL!$C$32, 0.0272, 0)</f>
        <v>57.983000000000004</v>
      </c>
      <c r="D869" s="4">
        <f>73.6689 * CHOOSE(CONTROL!$C$13, $C$13, 100%, $E$13) + CHOOSE(CONTROL!$C$32, 0.0021, 0)</f>
        <v>73.670999999999992</v>
      </c>
      <c r="E869" s="4">
        <f>374.597871099909 * CHOOSE(CONTROL!$C$13, $C$13, 100%, $E$13) + CHOOSE(CONTROL!$C$32, 0.0021, 0)</f>
        <v>374.599971099909</v>
      </c>
    </row>
    <row r="870" spans="1:5" ht="15">
      <c r="A870" s="13">
        <v>67631</v>
      </c>
      <c r="B870" s="4">
        <f>59.6854 * CHOOSE(CONTROL!$C$13, $C$13, 100%, $E$13) + CHOOSE(CONTROL!$C$32, 0.0272, 0)</f>
        <v>59.712600000000002</v>
      </c>
      <c r="C870" s="4">
        <f>59.3222 * CHOOSE(CONTROL!$C$13, $C$13, 100%, $E$13) + CHOOSE(CONTROL!$C$32, 0.0272, 0)</f>
        <v>59.349400000000003</v>
      </c>
      <c r="D870" s="4">
        <f>76.2036 * CHOOSE(CONTROL!$C$13, $C$13, 100%, $E$13) + CHOOSE(CONTROL!$C$32, 0.0021, 0)</f>
        <v>76.205699999999993</v>
      </c>
      <c r="E870" s="4">
        <f>383.492300816107 * CHOOSE(CONTROL!$C$13, $C$13, 100%, $E$13) + CHOOSE(CONTROL!$C$32, 0.0021, 0)</f>
        <v>383.49440081610697</v>
      </c>
    </row>
    <row r="871" spans="1:5" ht="15">
      <c r="A871" s="13">
        <v>67662</v>
      </c>
      <c r="B871" s="4">
        <f>63.2736 * CHOOSE(CONTROL!$C$13, $C$13, 100%, $E$13) + CHOOSE(CONTROL!$C$32, 0.0272, 0)</f>
        <v>63.300800000000002</v>
      </c>
      <c r="C871" s="4">
        <f>62.9103 * CHOOSE(CONTROL!$C$13, $C$13, 100%, $E$13) + CHOOSE(CONTROL!$C$32, 0.0272, 0)</f>
        <v>62.9375</v>
      </c>
      <c r="D871" s="4">
        <f>80.1715 * CHOOSE(CONTROL!$C$13, $C$13, 100%, $E$13) + CHOOSE(CONTROL!$C$32, 0.0021, 0)</f>
        <v>80.173599999999993</v>
      </c>
      <c r="E871" s="4">
        <f>406.849545929546 * CHOOSE(CONTROL!$C$13, $C$13, 100%, $E$13) + CHOOSE(CONTROL!$C$32, 0.0021, 0)</f>
        <v>406.85164592954601</v>
      </c>
    </row>
    <row r="872" spans="1:5" ht="15">
      <c r="A872" s="13">
        <v>67692</v>
      </c>
      <c r="B872" s="4">
        <f>65.823 * CHOOSE(CONTROL!$C$13, $C$13, 100%, $E$13) + CHOOSE(CONTROL!$C$32, 0.0272, 0)</f>
        <v>65.850199999999987</v>
      </c>
      <c r="C872" s="4">
        <f>65.4597 * CHOOSE(CONTROL!$C$13, $C$13, 100%, $E$13) + CHOOSE(CONTROL!$C$32, 0.0272, 0)</f>
        <v>65.486899999999991</v>
      </c>
      <c r="D872" s="4">
        <f>82.4571 * CHOOSE(CONTROL!$C$13, $C$13, 100%, $E$13) + CHOOSE(CONTROL!$C$32, 0.0021, 0)</f>
        <v>82.459199999999996</v>
      </c>
      <c r="E872" s="4">
        <f>423.445179858863 * CHOOSE(CONTROL!$C$13, $C$13, 100%, $E$13) + CHOOSE(CONTROL!$C$32, 0.0021, 0)</f>
        <v>423.447279858863</v>
      </c>
    </row>
    <row r="873" spans="1:5" ht="15">
      <c r="A873" s="13">
        <v>67723</v>
      </c>
      <c r="B873" s="4">
        <f>67.3806 * CHOOSE(CONTROL!$C$13, $C$13, 100%, $E$13) + CHOOSE(CONTROL!$C$32, 0.0272, 0)</f>
        <v>67.407799999999995</v>
      </c>
      <c r="C873" s="4">
        <f>67.0174 * CHOOSE(CONTROL!$C$13, $C$13, 100%, $E$13) + CHOOSE(CONTROL!$C$32, 0.0272, 0)</f>
        <v>67.044599999999988</v>
      </c>
      <c r="D873" s="4">
        <f>81.5539 * CHOOSE(CONTROL!$C$13, $C$13, 100%, $E$13) + CHOOSE(CONTROL!$C$32, 0.0021, 0)</f>
        <v>81.555999999999997</v>
      </c>
      <c r="E873" s="4">
        <f>433.584714447841 * CHOOSE(CONTROL!$C$13, $C$13, 100%, $E$13) + CHOOSE(CONTROL!$C$32, 0.0021, 0)</f>
        <v>433.58681444784099</v>
      </c>
    </row>
    <row r="874" spans="1:5" ht="15">
      <c r="A874" s="13">
        <v>67753</v>
      </c>
      <c r="B874" s="4">
        <f>67.5914 * CHOOSE(CONTROL!$C$13, $C$13, 100%, $E$13) + CHOOSE(CONTROL!$C$32, 0.0272, 0)</f>
        <v>67.618599999999986</v>
      </c>
      <c r="C874" s="4">
        <f>67.2281 * CHOOSE(CONTROL!$C$13, $C$13, 100%, $E$13) + CHOOSE(CONTROL!$C$32, 0.0272, 0)</f>
        <v>67.255299999999991</v>
      </c>
      <c r="D874" s="4">
        <f>82.2895 * CHOOSE(CONTROL!$C$13, $C$13, 100%, $E$13) + CHOOSE(CONTROL!$C$32, 0.0021, 0)</f>
        <v>82.291600000000003</v>
      </c>
      <c r="E874" s="4">
        <f>434.956635557663 * CHOOSE(CONTROL!$C$13, $C$13, 100%, $E$13) + CHOOSE(CONTROL!$C$32, 0.0021, 0)</f>
        <v>434.95873555766298</v>
      </c>
    </row>
    <row r="875" spans="1:5" ht="15">
      <c r="A875" s="13">
        <v>67784</v>
      </c>
      <c r="B875" s="4">
        <f>67.5701 * CHOOSE(CONTROL!$C$13, $C$13, 100%, $E$13) + CHOOSE(CONTROL!$C$32, 0.0272, 0)</f>
        <v>67.59729999999999</v>
      </c>
      <c r="C875" s="4">
        <f>67.2069 * CHOOSE(CONTROL!$C$13, $C$13, 100%, $E$13) + CHOOSE(CONTROL!$C$32, 0.0272, 0)</f>
        <v>67.234099999999998</v>
      </c>
      <c r="D875" s="4">
        <f>83.6167 * CHOOSE(CONTROL!$C$13, $C$13, 100%, $E$13) + CHOOSE(CONTROL!$C$32, 0.0021, 0)</f>
        <v>83.618799999999993</v>
      </c>
      <c r="E875" s="4">
        <f>434.818290571798 * CHOOSE(CONTROL!$C$13, $C$13, 100%, $E$13) + CHOOSE(CONTROL!$C$32, 0.0021, 0)</f>
        <v>434.82039057179799</v>
      </c>
    </row>
    <row r="876" spans="1:5" ht="15">
      <c r="A876" s="13">
        <v>67815</v>
      </c>
      <c r="B876" s="4">
        <f>69.1694 * CHOOSE(CONTROL!$C$13, $C$13, 100%, $E$13) + CHOOSE(CONTROL!$C$32, 0.0272, 0)</f>
        <v>69.196599999999989</v>
      </c>
      <c r="C876" s="4">
        <f>68.8061 * CHOOSE(CONTROL!$C$13, $C$13, 100%, $E$13) + CHOOSE(CONTROL!$C$32, 0.0272, 0)</f>
        <v>68.833299999999994</v>
      </c>
      <c r="D876" s="4">
        <f>82.7402 * CHOOSE(CONTROL!$C$13, $C$13, 100%, $E$13) + CHOOSE(CONTROL!$C$32, 0.0021, 0)</f>
        <v>82.7423</v>
      </c>
      <c r="E876" s="4">
        <f>445.228750758094 * CHOOSE(CONTROL!$C$13, $C$13, 100%, $E$13) + CHOOSE(CONTROL!$C$32, 0.0021, 0)</f>
        <v>445.23085075809399</v>
      </c>
    </row>
    <row r="877" spans="1:5" ht="15">
      <c r="A877" s="13">
        <v>67845</v>
      </c>
      <c r="B877" s="4">
        <f>66.4437 * CHOOSE(CONTROL!$C$13, $C$13, 100%, $E$13) + CHOOSE(CONTROL!$C$32, 0.0272, 0)</f>
        <v>66.4709</v>
      </c>
      <c r="C877" s="4">
        <f>66.0805 * CHOOSE(CONTROL!$C$13, $C$13, 100%, $E$13) + CHOOSE(CONTROL!$C$32, 0.0272, 0)</f>
        <v>66.107699999999994</v>
      </c>
      <c r="D877" s="4">
        <f>82.3261 * CHOOSE(CONTROL!$C$13, $C$13, 100%, $E$13) + CHOOSE(CONTROL!$C$32, 0.0021, 0)</f>
        <v>82.328199999999995</v>
      </c>
      <c r="E877" s="4">
        <f>427.486006320985 * CHOOSE(CONTROL!$C$13, $C$13, 100%, $E$13) + CHOOSE(CONTROL!$C$32, 0.0021, 0)</f>
        <v>427.48810632098497</v>
      </c>
    </row>
    <row r="878" spans="1:5" ht="15">
      <c r="A878" s="13">
        <v>67876</v>
      </c>
      <c r="B878" s="4">
        <f>64.2618 * CHOOSE(CONTROL!$C$13, $C$13, 100%, $E$13) + CHOOSE(CONTROL!$C$32, 0.0272, 0)</f>
        <v>64.288999999999987</v>
      </c>
      <c r="C878" s="4">
        <f>63.8985 * CHOOSE(CONTROL!$C$13, $C$13, 100%, $E$13) + CHOOSE(CONTROL!$C$32, 0.0272, 0)</f>
        <v>63.925699999999999</v>
      </c>
      <c r="D878" s="4">
        <f>81.2173 * CHOOSE(CONTROL!$C$13, $C$13, 100%, $E$13) + CHOOSE(CONTROL!$C$32, 0.0021, 0)</f>
        <v>81.219399999999993</v>
      </c>
      <c r="E878" s="4">
        <f>413.28258777224 * CHOOSE(CONTROL!$C$13, $C$13, 100%, $E$13) + CHOOSE(CONTROL!$C$32, 0.0021, 0)</f>
        <v>413.28468777223998</v>
      </c>
    </row>
    <row r="879" spans="1:5" ht="15">
      <c r="A879" s="13">
        <v>67906</v>
      </c>
      <c r="B879" s="4">
        <f>62.8565 * CHOOSE(CONTROL!$C$13, $C$13, 100%, $E$13) + CHOOSE(CONTROL!$C$32, 0.0272, 0)</f>
        <v>62.883699999999997</v>
      </c>
      <c r="C879" s="4">
        <f>62.4932 * CHOOSE(CONTROL!$C$13, $C$13, 100%, $E$13) + CHOOSE(CONTROL!$C$32, 0.0272, 0)</f>
        <v>62.520400000000002</v>
      </c>
      <c r="D879" s="4">
        <f>80.836 * CHOOSE(CONTROL!$C$13, $C$13, 100%, $E$13) + CHOOSE(CONTROL!$C$32, 0.0021, 0)</f>
        <v>80.838099999999997</v>
      </c>
      <c r="E879" s="4">
        <f>404.134525581957 * CHOOSE(CONTROL!$C$13, $C$13, 100%, $E$13) + CHOOSE(CONTROL!$C$32, 0.0021, 0)</f>
        <v>404.13662558195699</v>
      </c>
    </row>
    <row r="880" spans="1:5" ht="15">
      <c r="A880" s="13">
        <v>67937</v>
      </c>
      <c r="B880" s="4">
        <f>61.8842 * CHOOSE(CONTROL!$C$13, $C$13, 100%, $E$13) + CHOOSE(CONTROL!$C$32, 0.0272, 0)</f>
        <v>61.9114</v>
      </c>
      <c r="C880" s="4">
        <f>61.5209 * CHOOSE(CONTROL!$C$13, $C$13, 100%, $E$13) + CHOOSE(CONTROL!$C$32, 0.0272, 0)</f>
        <v>61.548099999999998</v>
      </c>
      <c r="D880" s="4">
        <f>78.0294 * CHOOSE(CONTROL!$C$13, $C$13, 100%, $E$13) + CHOOSE(CONTROL!$C$32, 0.0021, 0)</f>
        <v>78.031499999999994</v>
      </c>
      <c r="E880" s="4">
        <f>397.805242478661 * CHOOSE(CONTROL!$C$13, $C$13, 100%, $E$13) + CHOOSE(CONTROL!$C$32, 0.0021, 0)</f>
        <v>397.80734247866098</v>
      </c>
    </row>
    <row r="881" spans="1:5" ht="15">
      <c r="A881" s="13">
        <v>67968</v>
      </c>
      <c r="B881" s="4">
        <f>59.3358 * CHOOSE(CONTROL!$C$13, $C$13, 100%, $E$13) + CHOOSE(CONTROL!$C$32, 0.0272, 0)</f>
        <v>59.363</v>
      </c>
      <c r="C881" s="4">
        <f>58.9725 * CHOOSE(CONTROL!$C$13, $C$13, 100%, $E$13) + CHOOSE(CONTROL!$C$32, 0.0272, 0)</f>
        <v>58.999699999999997</v>
      </c>
      <c r="D881" s="4">
        <f>74.7982 * CHOOSE(CONTROL!$C$13, $C$13, 100%, $E$13) + CHOOSE(CONTROL!$C$32, 0.0021, 0)</f>
        <v>74.800299999999993</v>
      </c>
      <c r="E881" s="4">
        <f>381.235037683577 * CHOOSE(CONTROL!$C$13, $C$13, 100%, $E$13) + CHOOSE(CONTROL!$C$32, 0.0021, 0)</f>
        <v>381.23713768357698</v>
      </c>
    </row>
    <row r="882" spans="1:5" ht="15">
      <c r="A882" s="13">
        <v>67996</v>
      </c>
      <c r="B882" s="4">
        <f>60.7263 * CHOOSE(CONTROL!$C$13, $C$13, 100%, $E$13) + CHOOSE(CONTROL!$C$32, 0.0272, 0)</f>
        <v>60.753500000000003</v>
      </c>
      <c r="C882" s="4">
        <f>60.363 * CHOOSE(CONTROL!$C$13, $C$13, 100%, $E$13) + CHOOSE(CONTROL!$C$32, 0.0272, 0)</f>
        <v>60.3902</v>
      </c>
      <c r="D882" s="4">
        <f>77.3728 * CHOOSE(CONTROL!$C$13, $C$13, 100%, $E$13) + CHOOSE(CONTROL!$C$32, 0.0021, 0)</f>
        <v>77.374899999999997</v>
      </c>
      <c r="E882" s="4">
        <f>390.287059890944 * CHOOSE(CONTROL!$C$13, $C$13, 100%, $E$13) + CHOOSE(CONTROL!$C$32, 0.0021, 0)</f>
        <v>390.28915989094401</v>
      </c>
    </row>
    <row r="883" spans="1:5" ht="15">
      <c r="A883" s="13">
        <v>68027</v>
      </c>
      <c r="B883" s="4">
        <f>64.3779 * CHOOSE(CONTROL!$C$13, $C$13, 100%, $E$13) + CHOOSE(CONTROL!$C$32, 0.0272, 0)</f>
        <v>64.40509999999999</v>
      </c>
      <c r="C883" s="4">
        <f>64.0146 * CHOOSE(CONTROL!$C$13, $C$13, 100%, $E$13) + CHOOSE(CONTROL!$C$32, 0.0272, 0)</f>
        <v>64.041799999999995</v>
      </c>
      <c r="D883" s="4">
        <f>81.4031 * CHOOSE(CONTROL!$C$13, $C$13, 100%, $E$13) + CHOOSE(CONTROL!$C$32, 0.0021, 0)</f>
        <v>81.405199999999994</v>
      </c>
      <c r="E883" s="4">
        <f>414.058151261165 * CHOOSE(CONTROL!$C$13, $C$13, 100%, $E$13) + CHOOSE(CONTROL!$C$32, 0.0021, 0)</f>
        <v>414.06025126116498</v>
      </c>
    </row>
    <row r="884" spans="1:5" ht="15">
      <c r="A884" s="13">
        <v>68057</v>
      </c>
      <c r="B884" s="4">
        <f>66.9723 * CHOOSE(CONTROL!$C$13, $C$13, 100%, $E$13) + CHOOSE(CONTROL!$C$32, 0.0272, 0)</f>
        <v>66.999499999999998</v>
      </c>
      <c r="C884" s="4">
        <f>66.609 * CHOOSE(CONTROL!$C$13, $C$13, 100%, $E$13) + CHOOSE(CONTROL!$C$32, 0.0272, 0)</f>
        <v>66.636199999999988</v>
      </c>
      <c r="D884" s="4">
        <f>83.7246 * CHOOSE(CONTROL!$C$13, $C$13, 100%, $E$13) + CHOOSE(CONTROL!$C$32, 0.0021, 0)</f>
        <v>83.726699999999994</v>
      </c>
      <c r="E884" s="4">
        <f>430.947828471153 * CHOOSE(CONTROL!$C$13, $C$13, 100%, $E$13) + CHOOSE(CONTROL!$C$32, 0.0021, 0)</f>
        <v>430.94992847115299</v>
      </c>
    </row>
    <row r="885" spans="1:5" ht="15">
      <c r="A885" s="13">
        <v>68088</v>
      </c>
      <c r="B885" s="4">
        <f>68.5575 * CHOOSE(CONTROL!$C$13, $C$13, 100%, $E$13) + CHOOSE(CONTROL!$C$32, 0.0272, 0)</f>
        <v>68.584699999999998</v>
      </c>
      <c r="C885" s="4">
        <f>68.1942 * CHOOSE(CONTROL!$C$13, $C$13, 100%, $E$13) + CHOOSE(CONTROL!$C$32, 0.0272, 0)</f>
        <v>68.221399999999988</v>
      </c>
      <c r="D885" s="4">
        <f>82.8073 * CHOOSE(CONTROL!$C$13, $C$13, 100%, $E$13) + CHOOSE(CONTROL!$C$32, 0.0021, 0)</f>
        <v>82.809399999999997</v>
      </c>
      <c r="E885" s="4">
        <f>441.267016457387 * CHOOSE(CONTROL!$C$13, $C$13, 100%, $E$13) + CHOOSE(CONTROL!$C$32, 0.0021, 0)</f>
        <v>441.26911645738699</v>
      </c>
    </row>
    <row r="886" spans="1:5" ht="15">
      <c r="A886" s="13">
        <v>68118</v>
      </c>
      <c r="B886" s="4">
        <f>68.7719 * CHOOSE(CONTROL!$C$13, $C$13, 100%, $E$13) + CHOOSE(CONTROL!$C$32, 0.0272, 0)</f>
        <v>68.799099999999996</v>
      </c>
      <c r="C886" s="4">
        <f>68.4087 * CHOOSE(CONTROL!$C$13, $C$13, 100%, $E$13) + CHOOSE(CONTROL!$C$32, 0.0272, 0)</f>
        <v>68.43589999999999</v>
      </c>
      <c r="D886" s="4">
        <f>83.5544 * CHOOSE(CONTROL!$C$13, $C$13, 100%, $E$13) + CHOOSE(CONTROL!$C$32, 0.0021, 0)</f>
        <v>83.5565</v>
      </c>
      <c r="E886" s="4">
        <f>442.663245417434 * CHOOSE(CONTROL!$C$13, $C$13, 100%, $E$13) + CHOOSE(CONTROL!$C$32, 0.0021, 0)</f>
        <v>442.66534541743397</v>
      </c>
    </row>
    <row r="887" spans="1:5" ht="15">
      <c r="A887" s="13">
        <v>68149</v>
      </c>
      <c r="B887" s="4">
        <f>68.7503 * CHOOSE(CONTROL!$C$13, $C$13, 100%, $E$13) + CHOOSE(CONTROL!$C$32, 0.0272, 0)</f>
        <v>68.777499999999989</v>
      </c>
      <c r="C887" s="4">
        <f>68.387 * CHOOSE(CONTROL!$C$13, $C$13, 100%, $E$13) + CHOOSE(CONTROL!$C$32, 0.0272, 0)</f>
        <v>68.414199999999994</v>
      </c>
      <c r="D887" s="4">
        <f>84.9025 * CHOOSE(CONTROL!$C$13, $C$13, 100%, $E$13) + CHOOSE(CONTROL!$C$32, 0.0021, 0)</f>
        <v>84.904600000000002</v>
      </c>
      <c r="E887" s="4">
        <f>442.522449219782 * CHOOSE(CONTROL!$C$13, $C$13, 100%, $E$13) + CHOOSE(CONTROL!$C$32, 0.0021, 0)</f>
        <v>442.52454921978199</v>
      </c>
    </row>
    <row r="888" spans="1:5" ht="15">
      <c r="A888" s="13">
        <v>68180</v>
      </c>
      <c r="B888" s="4">
        <f>70.3778 * CHOOSE(CONTROL!$C$13, $C$13, 100%, $E$13) + CHOOSE(CONTROL!$C$32, 0.0272, 0)</f>
        <v>70.404999999999987</v>
      </c>
      <c r="C888" s="4">
        <f>70.0145 * CHOOSE(CONTROL!$C$13, $C$13, 100%, $E$13) + CHOOSE(CONTROL!$C$32, 0.0272, 0)</f>
        <v>70.041699999999992</v>
      </c>
      <c r="D888" s="4">
        <f>84.0122 * CHOOSE(CONTROL!$C$13, $C$13, 100%, $E$13) + CHOOSE(CONTROL!$C$32, 0.0021, 0)</f>
        <v>84.014300000000006</v>
      </c>
      <c r="E888" s="4">
        <f>453.117363093084 * CHOOSE(CONTROL!$C$13, $C$13, 100%, $E$13) + CHOOSE(CONTROL!$C$32, 0.0021, 0)</f>
        <v>453.11946309308399</v>
      </c>
    </row>
    <row r="889" spans="1:5" ht="15">
      <c r="A889" s="13">
        <v>68210</v>
      </c>
      <c r="B889" s="4">
        <f>67.604 * CHOOSE(CONTROL!$C$13, $C$13, 100%, $E$13) + CHOOSE(CONTROL!$C$32, 0.0272, 0)</f>
        <v>67.631199999999993</v>
      </c>
      <c r="C889" s="4">
        <f>67.2407 * CHOOSE(CONTROL!$C$13, $C$13, 100%, $E$13) + CHOOSE(CONTROL!$C$32, 0.0272, 0)</f>
        <v>67.267899999999997</v>
      </c>
      <c r="D889" s="4">
        <f>83.5916 * CHOOSE(CONTROL!$C$13, $C$13, 100%, $E$13) + CHOOSE(CONTROL!$C$32, 0.0021, 0)</f>
        <v>83.593699999999998</v>
      </c>
      <c r="E889" s="4">
        <f>435.060250744234 * CHOOSE(CONTROL!$C$13, $C$13, 100%, $E$13) + CHOOSE(CONTROL!$C$32, 0.0021, 0)</f>
        <v>435.06235074423398</v>
      </c>
    </row>
    <row r="890" spans="1:5" ht="15">
      <c r="A890" s="13">
        <v>68241</v>
      </c>
      <c r="B890" s="4">
        <f>65.3836 * CHOOSE(CONTROL!$C$13, $C$13, 100%, $E$13) + CHOOSE(CONTROL!$C$32, 0.0272, 0)</f>
        <v>65.410799999999995</v>
      </c>
      <c r="C890" s="4">
        <f>65.0203 * CHOOSE(CONTROL!$C$13, $C$13, 100%, $E$13) + CHOOSE(CONTROL!$C$32, 0.0272, 0)</f>
        <v>65.047499999999999</v>
      </c>
      <c r="D890" s="4">
        <f>82.4653 * CHOOSE(CONTROL!$C$13, $C$13, 100%, $E$13) + CHOOSE(CONTROL!$C$32, 0.0021, 0)</f>
        <v>82.467399999999998</v>
      </c>
      <c r="E890" s="4">
        <f>420.605174451977 * CHOOSE(CONTROL!$C$13, $C$13, 100%, $E$13) + CHOOSE(CONTROL!$C$32, 0.0021, 0)</f>
        <v>420.60727445197699</v>
      </c>
    </row>
    <row r="891" spans="1:5" ht="15">
      <c r="A891" s="13">
        <v>68271</v>
      </c>
      <c r="B891" s="4">
        <f>63.9534 * CHOOSE(CONTROL!$C$13, $C$13, 100%, $E$13) + CHOOSE(CONTROL!$C$32, 0.0272, 0)</f>
        <v>63.980600000000003</v>
      </c>
      <c r="C891" s="4">
        <f>63.5901 * CHOOSE(CONTROL!$C$13, $C$13, 100%, $E$13) + CHOOSE(CONTROL!$C$32, 0.0272, 0)</f>
        <v>63.6173</v>
      </c>
      <c r="D891" s="4">
        <f>82.0781 * CHOOSE(CONTROL!$C$13, $C$13, 100%, $E$13) + CHOOSE(CONTROL!$C$32, 0.0021, 0)</f>
        <v>82.080200000000005</v>
      </c>
      <c r="E891" s="4">
        <f>411.295025882248 * CHOOSE(CONTROL!$C$13, $C$13, 100%, $E$13) + CHOOSE(CONTROL!$C$32, 0.0021, 0)</f>
        <v>411.297125882248</v>
      </c>
    </row>
    <row r="892" spans="1:5" ht="15">
      <c r="A892" s="13">
        <v>68302</v>
      </c>
      <c r="B892" s="4">
        <f>62.9639 * CHOOSE(CONTROL!$C$13, $C$13, 100%, $E$13) + CHOOSE(CONTROL!$C$32, 0.0272, 0)</f>
        <v>62.991100000000003</v>
      </c>
      <c r="C892" s="4">
        <f>62.6006 * CHOOSE(CONTROL!$C$13, $C$13, 100%, $E$13) + CHOOSE(CONTROL!$C$32, 0.0272, 0)</f>
        <v>62.627800000000001</v>
      </c>
      <c r="D892" s="4">
        <f>79.2273 * CHOOSE(CONTROL!$C$13, $C$13, 100%, $E$13) + CHOOSE(CONTROL!$C$32, 0.0021, 0)</f>
        <v>79.229399999999998</v>
      </c>
      <c r="E892" s="4">
        <f>404.853599839675 * CHOOSE(CONTROL!$C$13, $C$13, 100%, $E$13) + CHOOSE(CONTROL!$C$32, 0.0021, 0)</f>
        <v>404.85569983967497</v>
      </c>
    </row>
    <row r="893" spans="1:5" ht="15">
      <c r="A893" s="13">
        <v>68333</v>
      </c>
      <c r="B893" s="4">
        <f>60.3705 * CHOOSE(CONTROL!$C$13, $C$13, 100%, $E$13) + CHOOSE(CONTROL!$C$32, 0.0272, 0)</f>
        <v>60.3977</v>
      </c>
      <c r="C893" s="4">
        <f>60.0072 * CHOOSE(CONTROL!$C$13, $C$13, 100%, $E$13) + CHOOSE(CONTROL!$C$32, 0.0272, 0)</f>
        <v>60.034399999999998</v>
      </c>
      <c r="D893" s="4">
        <f>75.9453 * CHOOSE(CONTROL!$C$13, $C$13, 100%, $E$13) + CHOOSE(CONTROL!$C$32, 0.0021, 0)</f>
        <v>75.947400000000002</v>
      </c>
      <c r="E893" s="4">
        <f>387.989802320138 * CHOOSE(CONTROL!$C$13, $C$13, 100%, $E$13) + CHOOSE(CONTROL!$C$32, 0.0021, 0)</f>
        <v>387.99190232013797</v>
      </c>
    </row>
    <row r="894" spans="1:5" ht="15">
      <c r="A894" s="13">
        <v>68361</v>
      </c>
      <c r="B894" s="4">
        <f>61.7856 * CHOOSE(CONTROL!$C$13, $C$13, 100%, $E$13) + CHOOSE(CONTROL!$C$32, 0.0272, 0)</f>
        <v>61.812800000000003</v>
      </c>
      <c r="C894" s="4">
        <f>61.4223 * CHOOSE(CONTROL!$C$13, $C$13, 100%, $E$13) + CHOOSE(CONTROL!$C$32, 0.0272, 0)</f>
        <v>61.4495</v>
      </c>
      <c r="D894" s="4">
        <f>78.5603 * CHOOSE(CONTROL!$C$13, $C$13, 100%, $E$13) + CHOOSE(CONTROL!$C$32, 0.0021, 0)</f>
        <v>78.562399999999997</v>
      </c>
      <c r="E894" s="4">
        <f>397.202209259893 * CHOOSE(CONTROL!$C$13, $C$13, 100%, $E$13) + CHOOSE(CONTROL!$C$32, 0.0021, 0)</f>
        <v>397.20430925989297</v>
      </c>
    </row>
    <row r="895" spans="1:5" ht="15">
      <c r="A895" s="13">
        <v>68392</v>
      </c>
      <c r="B895" s="4">
        <f>65.5016 * CHOOSE(CONTROL!$C$13, $C$13, 100%, $E$13) + CHOOSE(CONTROL!$C$32, 0.0272, 0)</f>
        <v>65.52879999999999</v>
      </c>
      <c r="C895" s="4">
        <f>65.1383 * CHOOSE(CONTROL!$C$13, $C$13, 100%, $E$13) + CHOOSE(CONTROL!$C$32, 0.0272, 0)</f>
        <v>65.165499999999994</v>
      </c>
      <c r="D895" s="4">
        <f>82.654 * CHOOSE(CONTROL!$C$13, $C$13, 100%, $E$13) + CHOOSE(CONTROL!$C$32, 0.0021, 0)</f>
        <v>82.656099999999995</v>
      </c>
      <c r="E895" s="4">
        <f>421.394479460727 * CHOOSE(CONTROL!$C$13, $C$13, 100%, $E$13) + CHOOSE(CONTROL!$C$32, 0.0021, 0)</f>
        <v>421.39657946072697</v>
      </c>
    </row>
    <row r="896" spans="1:5" ht="15">
      <c r="A896" s="13">
        <v>68422</v>
      </c>
      <c r="B896" s="4">
        <f>68.1419 * CHOOSE(CONTROL!$C$13, $C$13, 100%, $E$13) + CHOOSE(CONTROL!$C$32, 0.0272, 0)</f>
        <v>68.1691</v>
      </c>
      <c r="C896" s="4">
        <f>67.7787 * CHOOSE(CONTROL!$C$13, $C$13, 100%, $E$13) + CHOOSE(CONTROL!$C$32, 0.0272, 0)</f>
        <v>67.805899999999994</v>
      </c>
      <c r="D896" s="4">
        <f>85.0121 * CHOOSE(CONTROL!$C$13, $C$13, 100%, $E$13) + CHOOSE(CONTROL!$C$32, 0.0021, 0)</f>
        <v>85.014200000000002</v>
      </c>
      <c r="E896" s="4">
        <f>438.58340984281 * CHOOSE(CONTROL!$C$13, $C$13, 100%, $E$13) + CHOOSE(CONTROL!$C$32, 0.0021, 0)</f>
        <v>438.58550984280998</v>
      </c>
    </row>
    <row r="897" spans="1:5" ht="15">
      <c r="A897" s="13">
        <v>68453</v>
      </c>
      <c r="B897" s="4">
        <f>69.7551 * CHOOSE(CONTROL!$C$13, $C$13, 100%, $E$13) + CHOOSE(CONTROL!$C$32, 0.0272, 0)</f>
        <v>69.782299999999992</v>
      </c>
      <c r="C897" s="4">
        <f>69.3918 * CHOOSE(CONTROL!$C$13, $C$13, 100%, $E$13) + CHOOSE(CONTROL!$C$32, 0.0272, 0)</f>
        <v>69.418999999999997</v>
      </c>
      <c r="D897" s="4">
        <f>84.0803 * CHOOSE(CONTROL!$C$13, $C$13, 100%, $E$13) + CHOOSE(CONTROL!$C$32, 0.0021, 0)</f>
        <v>84.082399999999993</v>
      </c>
      <c r="E897" s="4">
        <f>449.085434345097 * CHOOSE(CONTROL!$C$13, $C$13, 100%, $E$13) + CHOOSE(CONTROL!$C$32, 0.0021, 0)</f>
        <v>449.08753434509697</v>
      </c>
    </row>
    <row r="898" spans="1:5" ht="15">
      <c r="A898" s="13">
        <v>68483</v>
      </c>
      <c r="B898" s="4">
        <f>69.9734 * CHOOSE(CONTROL!$C$13, $C$13, 100%, $E$13) + CHOOSE(CONTROL!$C$32, 0.0272, 0)</f>
        <v>70.000599999999991</v>
      </c>
      <c r="C898" s="4">
        <f>69.6101 * CHOOSE(CONTROL!$C$13, $C$13, 100%, $E$13) + CHOOSE(CONTROL!$C$32, 0.0272, 0)</f>
        <v>69.637299999999996</v>
      </c>
      <c r="D898" s="4">
        <f>84.8392 * CHOOSE(CONTROL!$C$13, $C$13, 100%, $E$13) + CHOOSE(CONTROL!$C$32, 0.0021, 0)</f>
        <v>84.841300000000004</v>
      </c>
      <c r="E898" s="4">
        <f>450.506401844554 * CHOOSE(CONTROL!$C$13, $C$13, 100%, $E$13) + CHOOSE(CONTROL!$C$32, 0.0021, 0)</f>
        <v>450.50850184455396</v>
      </c>
    </row>
    <row r="899" spans="1:5" ht="15">
      <c r="A899" s="13">
        <v>68514</v>
      </c>
      <c r="B899" s="4">
        <f>69.9514 * CHOOSE(CONTROL!$C$13, $C$13, 100%, $E$13) + CHOOSE(CONTROL!$C$32, 0.0272, 0)</f>
        <v>69.9786</v>
      </c>
      <c r="C899" s="4">
        <f>69.5881 * CHOOSE(CONTROL!$C$13, $C$13, 100%, $E$13) + CHOOSE(CONTROL!$C$32, 0.0272, 0)</f>
        <v>69.615299999999991</v>
      </c>
      <c r="D899" s="4">
        <f>86.2084 * CHOOSE(CONTROL!$C$13, $C$13, 100%, $E$13) + CHOOSE(CONTROL!$C$32, 0.0021, 0)</f>
        <v>86.210499999999996</v>
      </c>
      <c r="E899" s="4">
        <f>450.363111004272 * CHOOSE(CONTROL!$C$13, $C$13, 100%, $E$13) + CHOOSE(CONTROL!$C$32, 0.0021, 0)</f>
        <v>450.365211004272</v>
      </c>
    </row>
    <row r="900" spans="1:5" ht="15">
      <c r="A900" s="13">
        <v>68545</v>
      </c>
      <c r="B900" s="4">
        <f>71.6076 * CHOOSE(CONTROL!$C$13, $C$13, 100%, $E$13) + CHOOSE(CONTROL!$C$32, 0.0272, 0)</f>
        <v>71.634799999999998</v>
      </c>
      <c r="C900" s="4">
        <f>71.2443 * CHOOSE(CONTROL!$C$13, $C$13, 100%, $E$13) + CHOOSE(CONTROL!$C$32, 0.0272, 0)</f>
        <v>71.271499999999989</v>
      </c>
      <c r="D900" s="4">
        <f>85.3042 * CHOOSE(CONTROL!$C$13, $C$13, 100%, $E$13) + CHOOSE(CONTROL!$C$32, 0.0021, 0)</f>
        <v>85.306299999999993</v>
      </c>
      <c r="E900" s="4">
        <f>461.145746735444 * CHOOSE(CONTROL!$C$13, $C$13, 100%, $E$13) + CHOOSE(CONTROL!$C$32, 0.0021, 0)</f>
        <v>461.14784673544398</v>
      </c>
    </row>
    <row r="901" spans="1:5" ht="15">
      <c r="A901" s="13">
        <v>68575</v>
      </c>
      <c r="B901" s="4">
        <f>68.7848 * CHOOSE(CONTROL!$C$13, $C$13, 100%, $E$13) + CHOOSE(CONTROL!$C$32, 0.0272, 0)</f>
        <v>68.811999999999998</v>
      </c>
      <c r="C901" s="4">
        <f>68.4215 * CHOOSE(CONTROL!$C$13, $C$13, 100%, $E$13) + CHOOSE(CONTROL!$C$32, 0.0272, 0)</f>
        <v>68.448699999999988</v>
      </c>
      <c r="D901" s="4">
        <f>84.8769 * CHOOSE(CONTROL!$C$13, $C$13, 100%, $E$13) + CHOOSE(CONTROL!$C$32, 0.0021, 0)</f>
        <v>84.879000000000005</v>
      </c>
      <c r="E901" s="4">
        <f>442.768696469361 * CHOOSE(CONTROL!$C$13, $C$13, 100%, $E$13) + CHOOSE(CONTROL!$C$32, 0.0021, 0)</f>
        <v>442.77079646936096</v>
      </c>
    </row>
    <row r="902" spans="1:5" ht="15">
      <c r="A902" s="13">
        <v>68606</v>
      </c>
      <c r="B902" s="4">
        <f>66.5251 * CHOOSE(CONTROL!$C$13, $C$13, 100%, $E$13) + CHOOSE(CONTROL!$C$32, 0.0272, 0)</f>
        <v>66.552299999999988</v>
      </c>
      <c r="C902" s="4">
        <f>66.1618 * CHOOSE(CONTROL!$C$13, $C$13, 100%, $E$13) + CHOOSE(CONTROL!$C$32, 0.0272, 0)</f>
        <v>66.188999999999993</v>
      </c>
      <c r="D902" s="4">
        <f>83.7329 * CHOOSE(CONTROL!$C$13, $C$13, 100%, $E$13) + CHOOSE(CONTROL!$C$32, 0.0021, 0)</f>
        <v>83.734999999999999</v>
      </c>
      <c r="E902" s="4">
        <f>428.057503533809 * CHOOSE(CONTROL!$C$13, $C$13, 100%, $E$13) + CHOOSE(CONTROL!$C$32, 0.0021, 0)</f>
        <v>428.05960353380897</v>
      </c>
    </row>
    <row r="903" spans="1:5" ht="15">
      <c r="A903" s="13">
        <v>68636</v>
      </c>
      <c r="B903" s="4">
        <f>65.0697 * CHOOSE(CONTROL!$C$13, $C$13, 100%, $E$13) + CHOOSE(CONTROL!$C$32, 0.0272, 0)</f>
        <v>65.096899999999991</v>
      </c>
      <c r="C903" s="4">
        <f>64.7064 * CHOOSE(CONTROL!$C$13, $C$13, 100%, $E$13) + CHOOSE(CONTROL!$C$32, 0.0272, 0)</f>
        <v>64.733599999999996</v>
      </c>
      <c r="D903" s="4">
        <f>83.3396 * CHOOSE(CONTROL!$C$13, $C$13, 100%, $E$13) + CHOOSE(CONTROL!$C$32, 0.0021, 0)</f>
        <v>83.341700000000003</v>
      </c>
      <c r="E903" s="4">
        <f>418.582396720205 * CHOOSE(CONTROL!$C$13, $C$13, 100%, $E$13) + CHOOSE(CONTROL!$C$32, 0.0021, 0)</f>
        <v>418.58449672020498</v>
      </c>
    </row>
    <row r="904" spans="1:5" ht="15">
      <c r="A904" s="13">
        <v>68667</v>
      </c>
      <c r="B904" s="4">
        <f>64.0627 * CHOOSE(CONTROL!$C$13, $C$13, 100%, $E$13) + CHOOSE(CONTROL!$C$32, 0.0272, 0)</f>
        <v>64.0899</v>
      </c>
      <c r="C904" s="4">
        <f>63.6994 * CHOOSE(CONTROL!$C$13, $C$13, 100%, $E$13) + CHOOSE(CONTROL!$C$32, 0.0272, 0)</f>
        <v>63.726599999999998</v>
      </c>
      <c r="D904" s="4">
        <f>80.4441 * CHOOSE(CONTROL!$C$13, $C$13, 100%, $E$13) + CHOOSE(CONTROL!$C$32, 0.0021, 0)</f>
        <v>80.446200000000005</v>
      </c>
      <c r="E904" s="4">
        <f>412.026840777334 * CHOOSE(CONTROL!$C$13, $C$13, 100%, $E$13) + CHOOSE(CONTROL!$C$32, 0.0021, 0)</f>
        <v>412.02894077733396</v>
      </c>
    </row>
    <row r="905" spans="1:5" ht="15">
      <c r="A905" s="13">
        <v>68698</v>
      </c>
      <c r="B905" s="4">
        <f>61.4235 * CHOOSE(CONTROL!$C$13, $C$13, 100%, $E$13) + CHOOSE(CONTROL!$C$32, 0.0272, 0)</f>
        <v>61.450699999999998</v>
      </c>
      <c r="C905" s="4">
        <f>61.0602 * CHOOSE(CONTROL!$C$13, $C$13, 100%, $E$13) + CHOOSE(CONTROL!$C$32, 0.0272, 0)</f>
        <v>61.087400000000002</v>
      </c>
      <c r="D905" s="4">
        <f>77.1104 * CHOOSE(CONTROL!$C$13, $C$13, 100%, $E$13) + CHOOSE(CONTROL!$C$32, 0.0021, 0)</f>
        <v>77.112499999999997</v>
      </c>
      <c r="E905" s="4">
        <f>394.864248624923 * CHOOSE(CONTROL!$C$13, $C$13, 100%, $E$13) + CHOOSE(CONTROL!$C$32, 0.0021, 0)</f>
        <v>394.86634862492298</v>
      </c>
    </row>
    <row r="906" spans="1:5" ht="15">
      <c r="A906" s="13">
        <v>68727</v>
      </c>
      <c r="B906" s="4">
        <f>62.8636 * CHOOSE(CONTROL!$C$13, $C$13, 100%, $E$13) + CHOOSE(CONTROL!$C$32, 0.0272, 0)</f>
        <v>62.890799999999999</v>
      </c>
      <c r="C906" s="4">
        <f>62.5003 * CHOOSE(CONTROL!$C$13, $C$13, 100%, $E$13) + CHOOSE(CONTROL!$C$32, 0.0272, 0)</f>
        <v>62.527500000000003</v>
      </c>
      <c r="D906" s="4">
        <f>79.7666 * CHOOSE(CONTROL!$C$13, $C$13, 100%, $E$13) + CHOOSE(CONTROL!$C$32, 0.0021, 0)</f>
        <v>79.768699999999995</v>
      </c>
      <c r="E906" s="4">
        <f>404.239882011524 * CHOOSE(CONTROL!$C$13, $C$13, 100%, $E$13) + CHOOSE(CONTROL!$C$32, 0.0021, 0)</f>
        <v>404.24198201152399</v>
      </c>
    </row>
    <row r="907" spans="1:5" ht="15">
      <c r="A907" s="13">
        <v>68758</v>
      </c>
      <c r="B907" s="4">
        <f>66.6453 * CHOOSE(CONTROL!$C$13, $C$13, 100%, $E$13) + CHOOSE(CONTROL!$C$32, 0.0272, 0)</f>
        <v>66.672499999999999</v>
      </c>
      <c r="C907" s="4">
        <f>66.282 * CHOOSE(CONTROL!$C$13, $C$13, 100%, $E$13) + CHOOSE(CONTROL!$C$32, 0.0272, 0)</f>
        <v>66.30919999999999</v>
      </c>
      <c r="D907" s="4">
        <f>83.9246 * CHOOSE(CONTROL!$C$13, $C$13, 100%, $E$13) + CHOOSE(CONTROL!$C$32, 0.0021, 0)</f>
        <v>83.926699999999997</v>
      </c>
      <c r="E907" s="4">
        <f>428.860793536156 * CHOOSE(CONTROL!$C$13, $C$13, 100%, $E$13) + CHOOSE(CONTROL!$C$32, 0.0021, 0)</f>
        <v>428.86289353615598</v>
      </c>
    </row>
    <row r="908" spans="1:5" ht="15">
      <c r="A908" s="13">
        <v>68788</v>
      </c>
      <c r="B908" s="4">
        <f>69.3322 * CHOOSE(CONTROL!$C$13, $C$13, 100%, $E$13) + CHOOSE(CONTROL!$C$32, 0.0272, 0)</f>
        <v>69.359399999999994</v>
      </c>
      <c r="C908" s="4">
        <f>68.9689 * CHOOSE(CONTROL!$C$13, $C$13, 100%, $E$13) + CHOOSE(CONTROL!$C$32, 0.0272, 0)</f>
        <v>68.996099999999998</v>
      </c>
      <c r="D908" s="4">
        <f>86.3198 * CHOOSE(CONTROL!$C$13, $C$13, 100%, $E$13) + CHOOSE(CONTROL!$C$32, 0.0021, 0)</f>
        <v>86.321899999999999</v>
      </c>
      <c r="E908" s="4">
        <f>446.354279291194 * CHOOSE(CONTROL!$C$13, $C$13, 100%, $E$13) + CHOOSE(CONTROL!$C$32, 0.0021, 0)</f>
        <v>446.356379291194</v>
      </c>
    </row>
    <row r="909" spans="1:5" ht="15">
      <c r="A909" s="13">
        <v>68819</v>
      </c>
      <c r="B909" s="4">
        <f>70.9739 * CHOOSE(CONTROL!$C$13, $C$13, 100%, $E$13) + CHOOSE(CONTROL!$C$32, 0.0272, 0)</f>
        <v>71.001099999999994</v>
      </c>
      <c r="C909" s="4">
        <f>70.6106 * CHOOSE(CONTROL!$C$13, $C$13, 100%, $E$13) + CHOOSE(CONTROL!$C$32, 0.0272, 0)</f>
        <v>70.637799999999999</v>
      </c>
      <c r="D909" s="4">
        <f>85.3733 * CHOOSE(CONTROL!$C$13, $C$13, 100%, $E$13) + CHOOSE(CONTROL!$C$32, 0.0021, 0)</f>
        <v>85.375399999999999</v>
      </c>
      <c r="E909" s="4">
        <f>457.042379827183 * CHOOSE(CONTROL!$C$13, $C$13, 100%, $E$13) + CHOOSE(CONTROL!$C$32, 0.0021, 0)</f>
        <v>457.04447982718301</v>
      </c>
    </row>
    <row r="910" spans="1:5" ht="15">
      <c r="A910" s="13">
        <v>68849</v>
      </c>
      <c r="B910" s="4">
        <f>71.196 * CHOOSE(CONTROL!$C$13, $C$13, 100%, $E$13) + CHOOSE(CONTROL!$C$32, 0.0272, 0)</f>
        <v>71.223199999999991</v>
      </c>
      <c r="C910" s="4">
        <f>70.8327 * CHOOSE(CONTROL!$C$13, $C$13, 100%, $E$13) + CHOOSE(CONTROL!$C$32, 0.0272, 0)</f>
        <v>70.859899999999996</v>
      </c>
      <c r="D910" s="4">
        <f>86.1441 * CHOOSE(CONTROL!$C$13, $C$13, 100%, $E$13) + CHOOSE(CONTROL!$C$32, 0.0021, 0)</f>
        <v>86.146199999999993</v>
      </c>
      <c r="E910" s="4">
        <f>458.488524186231 * CHOOSE(CONTROL!$C$13, $C$13, 100%, $E$13) + CHOOSE(CONTROL!$C$32, 0.0021, 0)</f>
        <v>458.490624186231</v>
      </c>
    </row>
    <row r="911" spans="1:5" ht="15">
      <c r="A911" s="13">
        <v>68880</v>
      </c>
      <c r="B911" s="4">
        <f>71.1736 * CHOOSE(CONTROL!$C$13, $C$13, 100%, $E$13) + CHOOSE(CONTROL!$C$32, 0.0272, 0)</f>
        <v>71.200799999999987</v>
      </c>
      <c r="C911" s="4">
        <f>70.8103 * CHOOSE(CONTROL!$C$13, $C$13, 100%, $E$13) + CHOOSE(CONTROL!$C$32, 0.0272, 0)</f>
        <v>70.837499999999991</v>
      </c>
      <c r="D911" s="4">
        <f>87.5349 * CHOOSE(CONTROL!$C$13, $C$13, 100%, $E$13) + CHOOSE(CONTROL!$C$32, 0.0021, 0)</f>
        <v>87.536999999999992</v>
      </c>
      <c r="E911" s="4">
        <f>458.342694502965 * CHOOSE(CONTROL!$C$13, $C$13, 100%, $E$13) + CHOOSE(CONTROL!$C$32, 0.0021, 0)</f>
        <v>458.34479450296499</v>
      </c>
    </row>
    <row r="912" spans="1:5" ht="15">
      <c r="A912" s="13">
        <v>68911</v>
      </c>
      <c r="B912" s="4">
        <f>72.8591 * CHOOSE(CONTROL!$C$13, $C$13, 100%, $E$13) + CHOOSE(CONTROL!$C$32, 0.0272, 0)</f>
        <v>72.886299999999991</v>
      </c>
      <c r="C912" s="4">
        <f>72.4959 * CHOOSE(CONTROL!$C$13, $C$13, 100%, $E$13) + CHOOSE(CONTROL!$C$32, 0.0272, 0)</f>
        <v>72.523099999999999</v>
      </c>
      <c r="D912" s="4">
        <f>86.6164 * CHOOSE(CONTROL!$C$13, $C$13, 100%, $E$13) + CHOOSE(CONTROL!$C$32, 0.0021, 0)</f>
        <v>86.618499999999997</v>
      </c>
      <c r="E912" s="4">
        <f>469.316378168682 * CHOOSE(CONTROL!$C$13, $C$13, 100%, $E$13) + CHOOSE(CONTROL!$C$32, 0.0021, 0)</f>
        <v>469.31847816868196</v>
      </c>
    </row>
    <row r="913" spans="1:5" ht="15">
      <c r="A913" s="13">
        <v>68941</v>
      </c>
      <c r="B913" s="4">
        <f>69.9865 * CHOOSE(CONTROL!$C$13, $C$13, 100%, $E$13) + CHOOSE(CONTROL!$C$32, 0.0272, 0)</f>
        <v>70.0137</v>
      </c>
      <c r="C913" s="4">
        <f>69.6232 * CHOOSE(CONTROL!$C$13, $C$13, 100%, $E$13) + CHOOSE(CONTROL!$C$32, 0.0272, 0)</f>
        <v>69.650399999999991</v>
      </c>
      <c r="D913" s="4">
        <f>86.1825 * CHOOSE(CONTROL!$C$13, $C$13, 100%, $E$13) + CHOOSE(CONTROL!$C$32, 0.0021, 0)</f>
        <v>86.184600000000003</v>
      </c>
      <c r="E913" s="4">
        <f>450.613721289902 * CHOOSE(CONTROL!$C$13, $C$13, 100%, $E$13) + CHOOSE(CONTROL!$C$32, 0.0021, 0)</f>
        <v>450.61582128990199</v>
      </c>
    </row>
    <row r="914" spans="1:5" ht="15">
      <c r="A914" s="13">
        <v>68972</v>
      </c>
      <c r="B914" s="4">
        <f>67.6868 * CHOOSE(CONTROL!$C$13, $C$13, 100%, $E$13) + CHOOSE(CONTROL!$C$32, 0.0272, 0)</f>
        <v>67.713999999999999</v>
      </c>
      <c r="C914" s="4">
        <f>67.3235 * CHOOSE(CONTROL!$C$13, $C$13, 100%, $E$13) + CHOOSE(CONTROL!$C$32, 0.0272, 0)</f>
        <v>67.350699999999989</v>
      </c>
      <c r="D914" s="4">
        <f>85.0205 * CHOOSE(CONTROL!$C$13, $C$13, 100%, $E$13) + CHOOSE(CONTROL!$C$32, 0.0021, 0)</f>
        <v>85.022599999999997</v>
      </c>
      <c r="E914" s="4">
        <f>435.641873807994 * CHOOSE(CONTROL!$C$13, $C$13, 100%, $E$13) + CHOOSE(CONTROL!$C$32, 0.0021, 0)</f>
        <v>435.64397380799397</v>
      </c>
    </row>
    <row r="915" spans="1:5" ht="15">
      <c r="A915" s="13">
        <v>69002</v>
      </c>
      <c r="B915" s="4">
        <f>66.2057 * CHOOSE(CONTROL!$C$13, $C$13, 100%, $E$13) + CHOOSE(CONTROL!$C$32, 0.0272, 0)</f>
        <v>66.232899999999987</v>
      </c>
      <c r="C915" s="4">
        <f>65.8424 * CHOOSE(CONTROL!$C$13, $C$13, 100%, $E$13) + CHOOSE(CONTROL!$C$32, 0.0272, 0)</f>
        <v>65.869599999999991</v>
      </c>
      <c r="D915" s="4">
        <f>84.621 * CHOOSE(CONTROL!$C$13, $C$13, 100%, $E$13) + CHOOSE(CONTROL!$C$32, 0.0021, 0)</f>
        <v>84.623099999999994</v>
      </c>
      <c r="E915" s="4">
        <f>425.998886002073 * CHOOSE(CONTROL!$C$13, $C$13, 100%, $E$13) + CHOOSE(CONTROL!$C$32, 0.0021, 0)</f>
        <v>426.00098600207298</v>
      </c>
    </row>
    <row r="916" spans="1:5" ht="15">
      <c r="A916" s="13">
        <v>69033</v>
      </c>
      <c r="B916" s="4">
        <f>65.1809 * CHOOSE(CONTROL!$C$13, $C$13, 100%, $E$13) + CHOOSE(CONTROL!$C$32, 0.0272, 0)</f>
        <v>65.208099999999988</v>
      </c>
      <c r="C916" s="4">
        <f>64.8176 * CHOOSE(CONTROL!$C$13, $C$13, 100%, $E$13) + CHOOSE(CONTROL!$C$32, 0.0272, 0)</f>
        <v>64.844799999999992</v>
      </c>
      <c r="D916" s="4">
        <f>81.6799 * CHOOSE(CONTROL!$C$13, $C$13, 100%, $E$13) + CHOOSE(CONTROL!$C$32, 0.0021, 0)</f>
        <v>81.682000000000002</v>
      </c>
      <c r="E916" s="4">
        <f>419.327177992684 * CHOOSE(CONTROL!$C$13, $C$13, 100%, $E$13) + CHOOSE(CONTROL!$C$32, 0.0021, 0)</f>
        <v>419.32927799268401</v>
      </c>
    </row>
    <row r="917" spans="1:5" ht="15">
      <c r="A917" s="13">
        <v>69064</v>
      </c>
      <c r="B917" s="4">
        <f>62.4951 * CHOOSE(CONTROL!$C$13, $C$13, 100%, $E$13) + CHOOSE(CONTROL!$C$32, 0.0272, 0)</f>
        <v>62.522300000000001</v>
      </c>
      <c r="C917" s="4">
        <f>62.1318 * CHOOSE(CONTROL!$C$13, $C$13, 100%, $E$13) + CHOOSE(CONTROL!$C$32, 0.0272, 0)</f>
        <v>62.158999999999999</v>
      </c>
      <c r="D917" s="4">
        <f>78.2938 * CHOOSE(CONTROL!$C$13, $C$13, 100%, $E$13) + CHOOSE(CONTROL!$C$32, 0.0021, 0)</f>
        <v>78.295900000000003</v>
      </c>
      <c r="E917" s="4">
        <f>401.86049713099 * CHOOSE(CONTROL!$C$13, $C$13, 100%, $E$13) + CHOOSE(CONTROL!$C$32, 0.0021, 0)</f>
        <v>401.86259713098997</v>
      </c>
    </row>
    <row r="918" spans="1:5" ht="15">
      <c r="A918" s="13">
        <v>69092</v>
      </c>
      <c r="B918" s="4">
        <f>63.9606 * CHOOSE(CONTROL!$C$13, $C$13, 100%, $E$13) + CHOOSE(CONTROL!$C$32, 0.0272, 0)</f>
        <v>63.9878</v>
      </c>
      <c r="C918" s="4">
        <f>63.5973 * CHOOSE(CONTROL!$C$13, $C$13, 100%, $E$13) + CHOOSE(CONTROL!$C$32, 0.0272, 0)</f>
        <v>63.624499999999998</v>
      </c>
      <c r="D918" s="4">
        <f>80.9918 * CHOOSE(CONTROL!$C$13, $C$13, 100%, $E$13) + CHOOSE(CONTROL!$C$32, 0.0021, 0)</f>
        <v>80.993899999999996</v>
      </c>
      <c r="E918" s="4">
        <f>411.402249028707 * CHOOSE(CONTROL!$C$13, $C$13, 100%, $E$13) + CHOOSE(CONTROL!$C$32, 0.0021, 0)</f>
        <v>411.40434902870697</v>
      </c>
    </row>
    <row r="919" spans="1:5" ht="15">
      <c r="A919" s="13">
        <v>69123</v>
      </c>
      <c r="B919" s="4">
        <f>67.8091 * CHOOSE(CONTROL!$C$13, $C$13, 100%, $E$13) + CHOOSE(CONTROL!$C$32, 0.0272, 0)</f>
        <v>67.836299999999994</v>
      </c>
      <c r="C919" s="4">
        <f>67.4458 * CHOOSE(CONTROL!$C$13, $C$13, 100%, $E$13) + CHOOSE(CONTROL!$C$32, 0.0272, 0)</f>
        <v>67.472999999999999</v>
      </c>
      <c r="D919" s="4">
        <f>85.2152 * CHOOSE(CONTROL!$C$13, $C$13, 100%, $E$13) + CHOOSE(CONTROL!$C$32, 0.0021, 0)</f>
        <v>85.217299999999994</v>
      </c>
      <c r="E919" s="4">
        <f>436.459396591602 * CHOOSE(CONTROL!$C$13, $C$13, 100%, $E$13) + CHOOSE(CONTROL!$C$32, 0.0021, 0)</f>
        <v>436.46149659160199</v>
      </c>
    </row>
    <row r="920" spans="1:5" ht="15">
      <c r="A920" s="13">
        <v>69153</v>
      </c>
      <c r="B920" s="4">
        <f>70.5435 * CHOOSE(CONTROL!$C$13, $C$13, 100%, $E$13) + CHOOSE(CONTROL!$C$32, 0.0272, 0)</f>
        <v>70.570699999999988</v>
      </c>
      <c r="C920" s="4">
        <f>70.1803 * CHOOSE(CONTROL!$C$13, $C$13, 100%, $E$13) + CHOOSE(CONTROL!$C$32, 0.0272, 0)</f>
        <v>70.207499999999996</v>
      </c>
      <c r="D920" s="4">
        <f>87.648 * CHOOSE(CONTROL!$C$13, $C$13, 100%, $E$13) + CHOOSE(CONTROL!$C$32, 0.0021, 0)</f>
        <v>87.650099999999995</v>
      </c>
      <c r="E920" s="4">
        <f>454.262833865436 * CHOOSE(CONTROL!$C$13, $C$13, 100%, $E$13) + CHOOSE(CONTROL!$C$32, 0.0021, 0)</f>
        <v>454.26493386543598</v>
      </c>
    </row>
    <row r="921" spans="1:5" ht="15">
      <c r="A921" s="13">
        <v>69184</v>
      </c>
      <c r="B921" s="4">
        <f>72.2142 * CHOOSE(CONTROL!$C$13, $C$13, 100%, $E$13) + CHOOSE(CONTROL!$C$32, 0.0272, 0)</f>
        <v>72.241399999999999</v>
      </c>
      <c r="C921" s="4">
        <f>71.8509 * CHOOSE(CONTROL!$C$13, $C$13, 100%, $E$13) + CHOOSE(CONTROL!$C$32, 0.0272, 0)</f>
        <v>71.878099999999989</v>
      </c>
      <c r="D921" s="4">
        <f>86.6867 * CHOOSE(CONTROL!$C$13, $C$13, 100%, $E$13) + CHOOSE(CONTROL!$C$32, 0.0021, 0)</f>
        <v>86.688800000000001</v>
      </c>
      <c r="E921" s="4">
        <f>465.140307350909 * CHOOSE(CONTROL!$C$13, $C$13, 100%, $E$13) + CHOOSE(CONTROL!$C$32, 0.0021, 0)</f>
        <v>465.14240735090897</v>
      </c>
    </row>
    <row r="922" spans="1:5" ht="15">
      <c r="A922" s="13">
        <v>69214</v>
      </c>
      <c r="B922" s="4">
        <f>72.4403 * CHOOSE(CONTROL!$C$13, $C$13, 100%, $E$13) + CHOOSE(CONTROL!$C$32, 0.0272, 0)</f>
        <v>72.467499999999987</v>
      </c>
      <c r="C922" s="4">
        <f>72.077 * CHOOSE(CONTROL!$C$13, $C$13, 100%, $E$13) + CHOOSE(CONTROL!$C$32, 0.0272, 0)</f>
        <v>72.104199999999992</v>
      </c>
      <c r="D922" s="4">
        <f>87.4696 * CHOOSE(CONTROL!$C$13, $C$13, 100%, $E$13) + CHOOSE(CONTROL!$C$32, 0.0021, 0)</f>
        <v>87.471699999999998</v>
      </c>
      <c r="E922" s="4">
        <f>466.612074655935 * CHOOSE(CONTROL!$C$13, $C$13, 100%, $E$13) + CHOOSE(CONTROL!$C$32, 0.0021, 0)</f>
        <v>466.61417465593496</v>
      </c>
    </row>
    <row r="923" spans="1:5" ht="15">
      <c r="A923" s="13">
        <v>69245</v>
      </c>
      <c r="B923" s="4">
        <f>72.4175 * CHOOSE(CONTROL!$C$13, $C$13, 100%, $E$13) + CHOOSE(CONTROL!$C$32, 0.0272, 0)</f>
        <v>72.444699999999997</v>
      </c>
      <c r="C923" s="4">
        <f>72.0542 * CHOOSE(CONTROL!$C$13, $C$13, 100%, $E$13) + CHOOSE(CONTROL!$C$32, 0.0272, 0)</f>
        <v>72.081399999999988</v>
      </c>
      <c r="D923" s="4">
        <f>88.8823 * CHOOSE(CONTROL!$C$13, $C$13, 100%, $E$13) + CHOOSE(CONTROL!$C$32, 0.0021, 0)</f>
        <v>88.884399999999999</v>
      </c>
      <c r="E923" s="4">
        <f>466.463661146185 * CHOOSE(CONTROL!$C$13, $C$13, 100%, $E$13) + CHOOSE(CONTROL!$C$32, 0.0021, 0)</f>
        <v>466.465761146185</v>
      </c>
    </row>
    <row r="924" spans="1:5" ht="15">
      <c r="A924" s="13">
        <v>69276</v>
      </c>
      <c r="B924" s="4">
        <f>74.1328 * CHOOSE(CONTROL!$C$13, $C$13, 100%, $E$13) + CHOOSE(CONTROL!$C$32, 0.0272, 0)</f>
        <v>74.16</v>
      </c>
      <c r="C924" s="4">
        <f>73.7695 * CHOOSE(CONTROL!$C$13, $C$13, 100%, $E$13) + CHOOSE(CONTROL!$C$32, 0.0272, 0)</f>
        <v>73.796699999999987</v>
      </c>
      <c r="D924" s="4">
        <f>87.9494 * CHOOSE(CONTROL!$C$13, $C$13, 100%, $E$13) + CHOOSE(CONTROL!$C$32, 0.0021, 0)</f>
        <v>87.951499999999996</v>
      </c>
      <c r="E924" s="4">
        <f>477.631777754919 * CHOOSE(CONTROL!$C$13, $C$13, 100%, $E$13) + CHOOSE(CONTROL!$C$32, 0.0021, 0)</f>
        <v>477.63387775491901</v>
      </c>
    </row>
    <row r="925" spans="1:5" ht="15">
      <c r="A925" s="13">
        <v>69306</v>
      </c>
      <c r="B925" s="4">
        <f>71.2093 * CHOOSE(CONTROL!$C$13, $C$13, 100%, $E$13) + CHOOSE(CONTROL!$C$32, 0.0272, 0)</f>
        <v>71.236499999999992</v>
      </c>
      <c r="C925" s="4">
        <f>70.8461 * CHOOSE(CONTROL!$C$13, $C$13, 100%, $E$13) + CHOOSE(CONTROL!$C$32, 0.0272, 0)</f>
        <v>70.8733</v>
      </c>
      <c r="D925" s="4">
        <f>87.5086 * CHOOSE(CONTROL!$C$13, $C$13, 100%, $E$13) + CHOOSE(CONTROL!$C$32, 0.0021, 0)</f>
        <v>87.5107</v>
      </c>
      <c r="E925" s="4">
        <f>458.597745129402 * CHOOSE(CONTROL!$C$13, $C$13, 100%, $E$13) + CHOOSE(CONTROL!$C$32, 0.0021, 0)</f>
        <v>458.59984512940201</v>
      </c>
    </row>
    <row r="926" spans="1:5" ht="15">
      <c r="A926" s="13">
        <v>69337</v>
      </c>
      <c r="B926" s="4">
        <f>68.8691 * CHOOSE(CONTROL!$C$13, $C$13, 100%, $E$13) + CHOOSE(CONTROL!$C$32, 0.0272, 0)</f>
        <v>68.896299999999997</v>
      </c>
      <c r="C926" s="4">
        <f>68.5058 * CHOOSE(CONTROL!$C$13, $C$13, 100%, $E$13) + CHOOSE(CONTROL!$C$32, 0.0272, 0)</f>
        <v>68.532999999999987</v>
      </c>
      <c r="D926" s="4">
        <f>86.3283 * CHOOSE(CONTROL!$C$13, $C$13, 100%, $E$13) + CHOOSE(CONTROL!$C$32, 0.0021, 0)</f>
        <v>86.330399999999997</v>
      </c>
      <c r="E926" s="4">
        <f>443.360624795006 * CHOOSE(CONTROL!$C$13, $C$13, 100%, $E$13) + CHOOSE(CONTROL!$C$32, 0.0021, 0)</f>
        <v>443.36272479500599</v>
      </c>
    </row>
    <row r="927" spans="1:5" ht="15">
      <c r="A927" s="13">
        <v>69367</v>
      </c>
      <c r="B927" s="4">
        <f>67.3618 * CHOOSE(CONTROL!$C$13, $C$13, 100%, $E$13) + CHOOSE(CONTROL!$C$32, 0.0272, 0)</f>
        <v>67.388999999999996</v>
      </c>
      <c r="C927" s="4">
        <f>66.9985 * CHOOSE(CONTROL!$C$13, $C$13, 100%, $E$13) + CHOOSE(CONTROL!$C$32, 0.0272, 0)</f>
        <v>67.025700000000001</v>
      </c>
      <c r="D927" s="4">
        <f>85.9225 * CHOOSE(CONTROL!$C$13, $C$13, 100%, $E$13) + CHOOSE(CONTROL!$C$32, 0.0021, 0)</f>
        <v>85.924599999999998</v>
      </c>
      <c r="E927" s="4">
        <f>433.546781462746 * CHOOSE(CONTROL!$C$13, $C$13, 100%, $E$13) + CHOOSE(CONTROL!$C$32, 0.0021, 0)</f>
        <v>433.54888146274601</v>
      </c>
    </row>
    <row r="928" spans="1:5" ht="15">
      <c r="A928" s="13">
        <v>69398</v>
      </c>
      <c r="B928" s="4">
        <f>66.3189 * CHOOSE(CONTROL!$C$13, $C$13, 100%, $E$13) + CHOOSE(CONTROL!$C$32, 0.0272, 0)</f>
        <v>66.346099999999993</v>
      </c>
      <c r="C928" s="4">
        <f>65.9556 * CHOOSE(CONTROL!$C$13, $C$13, 100%, $E$13) + CHOOSE(CONTROL!$C$32, 0.0272, 0)</f>
        <v>65.982799999999997</v>
      </c>
      <c r="D928" s="4">
        <f>82.9352 * CHOOSE(CONTROL!$C$13, $C$13, 100%, $E$13) + CHOOSE(CONTROL!$C$32, 0.0021, 0)</f>
        <v>82.937299999999993</v>
      </c>
      <c r="E928" s="4">
        <f>426.756863391656 * CHOOSE(CONTROL!$C$13, $C$13, 100%, $E$13) + CHOOSE(CONTROL!$C$32, 0.0021, 0)</f>
        <v>426.75896339165598</v>
      </c>
    </row>
    <row r="929" spans="1:5" ht="15">
      <c r="A929" s="13">
        <v>69429</v>
      </c>
      <c r="B929" s="4">
        <f>63.5856 * CHOOSE(CONTROL!$C$13, $C$13, 100%, $E$13) + CHOOSE(CONTROL!$C$32, 0.0272, 0)</f>
        <v>63.6128</v>
      </c>
      <c r="C929" s="4">
        <f>63.2223 * CHOOSE(CONTROL!$C$13, $C$13, 100%, $E$13) + CHOOSE(CONTROL!$C$32, 0.0272, 0)</f>
        <v>63.249499999999998</v>
      </c>
      <c r="D929" s="4">
        <f>79.4959 * CHOOSE(CONTROL!$C$13, $C$13, 100%, $E$13) + CHOOSE(CONTROL!$C$32, 0.0021, 0)</f>
        <v>79.498000000000005</v>
      </c>
      <c r="E929" s="4">
        <f>408.980705943235 * CHOOSE(CONTROL!$C$13, $C$13, 100%, $E$13) + CHOOSE(CONTROL!$C$32, 0.0021, 0)</f>
        <v>408.98280594323501</v>
      </c>
    </row>
    <row r="930" spans="1:5" ht="15">
      <c r="A930" s="13">
        <v>69457</v>
      </c>
      <c r="B930" s="4">
        <f>65.077 * CHOOSE(CONTROL!$C$13, $C$13, 100%, $E$13) + CHOOSE(CONTROL!$C$32, 0.0272, 0)</f>
        <v>65.104199999999992</v>
      </c>
      <c r="C930" s="4">
        <f>64.7137 * CHOOSE(CONTROL!$C$13, $C$13, 100%, $E$13) + CHOOSE(CONTROL!$C$32, 0.0272, 0)</f>
        <v>64.740899999999996</v>
      </c>
      <c r="D930" s="4">
        <f>82.2362 * CHOOSE(CONTROL!$C$13, $C$13, 100%, $E$13) + CHOOSE(CONTROL!$C$32, 0.0021, 0)</f>
        <v>82.238299999999995</v>
      </c>
      <c r="E930" s="4">
        <f>418.691519658253 * CHOOSE(CONTROL!$C$13, $C$13, 100%, $E$13) + CHOOSE(CONTROL!$C$32, 0.0021, 0)</f>
        <v>418.693619658253</v>
      </c>
    </row>
    <row r="931" spans="1:5" ht="15">
      <c r="A931" s="13">
        <v>69488</v>
      </c>
      <c r="B931" s="4">
        <f>68.9935 * CHOOSE(CONTROL!$C$13, $C$13, 100%, $E$13) + CHOOSE(CONTROL!$C$32, 0.0272, 0)</f>
        <v>69.020699999999991</v>
      </c>
      <c r="C931" s="4">
        <f>68.6302 * CHOOSE(CONTROL!$C$13, $C$13, 100%, $E$13) + CHOOSE(CONTROL!$C$32, 0.0272, 0)</f>
        <v>68.657399999999996</v>
      </c>
      <c r="D931" s="4">
        <f>86.5261 * CHOOSE(CONTROL!$C$13, $C$13, 100%, $E$13) + CHOOSE(CONTROL!$C$32, 0.0021, 0)</f>
        <v>86.528199999999998</v>
      </c>
      <c r="E931" s="4">
        <f>444.192632537871 * CHOOSE(CONTROL!$C$13, $C$13, 100%, $E$13) + CHOOSE(CONTROL!$C$32, 0.0021, 0)</f>
        <v>444.194732537871</v>
      </c>
    </row>
    <row r="932" spans="1:5" ht="15">
      <c r="A932" s="13">
        <v>69518</v>
      </c>
      <c r="B932" s="4">
        <f>71.7763 * CHOOSE(CONTROL!$C$13, $C$13, 100%, $E$13) + CHOOSE(CONTROL!$C$32, 0.0272, 0)</f>
        <v>71.8035</v>
      </c>
      <c r="C932" s="4">
        <f>71.413 * CHOOSE(CONTROL!$C$13, $C$13, 100%, $E$13) + CHOOSE(CONTROL!$C$32, 0.0272, 0)</f>
        <v>71.44019999999999</v>
      </c>
      <c r="D932" s="4">
        <f>88.9972 * CHOOSE(CONTROL!$C$13, $C$13, 100%, $E$13) + CHOOSE(CONTROL!$C$32, 0.0021, 0)</f>
        <v>88.999300000000005</v>
      </c>
      <c r="E932" s="4">
        <f>462.311513085853 * CHOOSE(CONTROL!$C$13, $C$13, 100%, $E$13) + CHOOSE(CONTROL!$C$32, 0.0021, 0)</f>
        <v>462.31361308585298</v>
      </c>
    </row>
    <row r="933" spans="1:5" ht="15">
      <c r="A933" s="13">
        <v>69549</v>
      </c>
      <c r="B933" s="4">
        <f>73.4764 * CHOOSE(CONTROL!$C$13, $C$13, 100%, $E$13) + CHOOSE(CONTROL!$C$32, 0.0272, 0)</f>
        <v>73.503599999999992</v>
      </c>
      <c r="C933" s="4">
        <f>73.1132 * CHOOSE(CONTROL!$C$13, $C$13, 100%, $E$13) + CHOOSE(CONTROL!$C$32, 0.0272, 0)</f>
        <v>73.1404</v>
      </c>
      <c r="D933" s="4">
        <f>88.0207 * CHOOSE(CONTROL!$C$13, $C$13, 100%, $E$13) + CHOOSE(CONTROL!$C$32, 0.0021, 0)</f>
        <v>88.022800000000004</v>
      </c>
      <c r="E933" s="4">
        <f>473.381714851709 * CHOOSE(CONTROL!$C$13, $C$13, 100%, $E$13) + CHOOSE(CONTROL!$C$32, 0.0021, 0)</f>
        <v>473.38381485170896</v>
      </c>
    </row>
    <row r="934" spans="1:5" ht="15">
      <c r="A934" s="13">
        <v>69579</v>
      </c>
      <c r="B934" s="4">
        <f>73.7065 * CHOOSE(CONTROL!$C$13, $C$13, 100%, $E$13) + CHOOSE(CONTROL!$C$32, 0.0272, 0)</f>
        <v>73.733699999999999</v>
      </c>
      <c r="C934" s="4">
        <f>73.3432 * CHOOSE(CONTROL!$C$13, $C$13, 100%, $E$13) + CHOOSE(CONTROL!$C$32, 0.0272, 0)</f>
        <v>73.370399999999989</v>
      </c>
      <c r="D934" s="4">
        <f>88.8159 * CHOOSE(CONTROL!$C$13, $C$13, 100%, $E$13) + CHOOSE(CONTROL!$C$32, 0.0021, 0)</f>
        <v>88.817999999999998</v>
      </c>
      <c r="E934" s="4">
        <f>474.87955909291 * CHOOSE(CONTROL!$C$13, $C$13, 100%, $E$13) + CHOOSE(CONTROL!$C$32, 0.0021, 0)</f>
        <v>474.88165909290996</v>
      </c>
    </row>
    <row r="935" spans="1:5" ht="15">
      <c r="A935" s="13">
        <v>69610</v>
      </c>
      <c r="B935" s="4">
        <f>73.6833 * CHOOSE(CONTROL!$C$13, $C$13, 100%, $E$13) + CHOOSE(CONTROL!$C$32, 0.0272, 0)</f>
        <v>73.710499999999996</v>
      </c>
      <c r="C935" s="4">
        <f>73.32 * CHOOSE(CONTROL!$C$13, $C$13, 100%, $E$13) + CHOOSE(CONTROL!$C$32, 0.0272, 0)</f>
        <v>73.347199999999987</v>
      </c>
      <c r="D935" s="4">
        <f>90.2509 * CHOOSE(CONTROL!$C$13, $C$13, 100%, $E$13) + CHOOSE(CONTROL!$C$32, 0.0021, 0)</f>
        <v>90.253</v>
      </c>
      <c r="E935" s="4">
        <f>474.72851597615 * CHOOSE(CONTROL!$C$13, $C$13, 100%, $E$13) + CHOOSE(CONTROL!$C$32, 0.0021, 0)</f>
        <v>474.73061597614998</v>
      </c>
    </row>
    <row r="936" spans="1:5" ht="15">
      <c r="A936" s="13">
        <v>69641</v>
      </c>
      <c r="B936" s="4">
        <f>75.4289 * CHOOSE(CONTROL!$C$13, $C$13, 100%, $E$13) + CHOOSE(CONTROL!$C$32, 0.0272, 0)</f>
        <v>75.456099999999992</v>
      </c>
      <c r="C936" s="4">
        <f>75.0656 * CHOOSE(CONTROL!$C$13, $C$13, 100%, $E$13) + CHOOSE(CONTROL!$C$32, 0.0272, 0)</f>
        <v>75.092799999999997</v>
      </c>
      <c r="D936" s="4">
        <f>89.3032 * CHOOSE(CONTROL!$C$13, $C$13, 100%, $E$13) + CHOOSE(CONTROL!$C$32, 0.0021, 0)</f>
        <v>89.305300000000003</v>
      </c>
      <c r="E936" s="4">
        <f>486.094510512328 * CHOOSE(CONTROL!$C$13, $C$13, 100%, $E$13) + CHOOSE(CONTROL!$C$32, 0.0021, 0)</f>
        <v>486.09661051232797</v>
      </c>
    </row>
    <row r="937" spans="1:5" ht="15">
      <c r="A937" s="13">
        <v>69671</v>
      </c>
      <c r="B937" s="4">
        <f>72.4538 * CHOOSE(CONTROL!$C$13, $C$13, 100%, $E$13) + CHOOSE(CONTROL!$C$32, 0.0272, 0)</f>
        <v>72.480999999999995</v>
      </c>
      <c r="C937" s="4">
        <f>72.0905 * CHOOSE(CONTROL!$C$13, $C$13, 100%, $E$13) + CHOOSE(CONTROL!$C$32, 0.0272, 0)</f>
        <v>72.117699999999999</v>
      </c>
      <c r="D937" s="4">
        <f>88.8555 * CHOOSE(CONTROL!$C$13, $C$13, 100%, $E$13) + CHOOSE(CONTROL!$C$32, 0.0021, 0)</f>
        <v>88.857600000000005</v>
      </c>
      <c r="E937" s="4">
        <f>466.723230787879 * CHOOSE(CONTROL!$C$13, $C$13, 100%, $E$13) + CHOOSE(CONTROL!$C$32, 0.0021, 0)</f>
        <v>466.72533078787899</v>
      </c>
    </row>
    <row r="938" spans="1:5" ht="15">
      <c r="A938" s="13">
        <v>69702</v>
      </c>
      <c r="B938" s="4">
        <f>70.0722 * CHOOSE(CONTROL!$C$13, $C$13, 100%, $E$13) + CHOOSE(CONTROL!$C$32, 0.0272, 0)</f>
        <v>70.099399999999989</v>
      </c>
      <c r="C938" s="4">
        <f>69.7089 * CHOOSE(CONTROL!$C$13, $C$13, 100%, $E$13) + CHOOSE(CONTROL!$C$32, 0.0272, 0)</f>
        <v>69.736099999999993</v>
      </c>
      <c r="D938" s="4">
        <f>87.6567 * CHOOSE(CONTROL!$C$13, $C$13, 100%, $E$13) + CHOOSE(CONTROL!$C$32, 0.0021, 0)</f>
        <v>87.658799999999999</v>
      </c>
      <c r="E938" s="4">
        <f>451.216137467203 * CHOOSE(CONTROL!$C$13, $C$13, 100%, $E$13) + CHOOSE(CONTROL!$C$32, 0.0021, 0)</f>
        <v>451.21823746720298</v>
      </c>
    </row>
    <row r="939" spans="1:5" ht="15">
      <c r="A939" s="13">
        <v>69732</v>
      </c>
      <c r="B939" s="4">
        <f>68.5383 * CHOOSE(CONTROL!$C$13, $C$13, 100%, $E$13) + CHOOSE(CONTROL!$C$32, 0.0272, 0)</f>
        <v>68.5655</v>
      </c>
      <c r="C939" s="4">
        <f>68.175 * CHOOSE(CONTROL!$C$13, $C$13, 100%, $E$13) + CHOOSE(CONTROL!$C$32, 0.0272, 0)</f>
        <v>68.202199999999991</v>
      </c>
      <c r="D939" s="4">
        <f>87.2445 * CHOOSE(CONTROL!$C$13, $C$13, 100%, $E$13) + CHOOSE(CONTROL!$C$32, 0.0021, 0)</f>
        <v>87.246600000000001</v>
      </c>
      <c r="E939" s="4">
        <f>441.228411371459 * CHOOSE(CONTROL!$C$13, $C$13, 100%, $E$13) + CHOOSE(CONTROL!$C$32, 0.0021, 0)</f>
        <v>441.23051137145899</v>
      </c>
    </row>
    <row r="940" spans="1:5" ht="15">
      <c r="A940" s="13">
        <v>69763</v>
      </c>
      <c r="B940" s="4">
        <f>67.477 * CHOOSE(CONTROL!$C$13, $C$13, 100%, $E$13) + CHOOSE(CONTROL!$C$32, 0.0272, 0)</f>
        <v>67.504199999999997</v>
      </c>
      <c r="C940" s="4">
        <f>67.1137 * CHOOSE(CONTROL!$C$13, $C$13, 100%, $E$13) + CHOOSE(CONTROL!$C$32, 0.0272, 0)</f>
        <v>67.140899999999988</v>
      </c>
      <c r="D940" s="4">
        <f>84.2102 * CHOOSE(CONTROL!$C$13, $C$13, 100%, $E$13) + CHOOSE(CONTROL!$C$32, 0.0021, 0)</f>
        <v>84.212299999999999</v>
      </c>
      <c r="E940" s="4">
        <f>434.318188779697 * CHOOSE(CONTROL!$C$13, $C$13, 100%, $E$13) + CHOOSE(CONTROL!$C$32, 0.0021, 0)</f>
        <v>434.32028877969697</v>
      </c>
    </row>
    <row r="941" spans="1:5" ht="15">
      <c r="A941" s="13">
        <v>69794</v>
      </c>
      <c r="B941" s="4">
        <f>64.6954 * CHOOSE(CONTROL!$C$13, $C$13, 100%, $E$13) + CHOOSE(CONTROL!$C$32, 0.0272, 0)</f>
        <v>64.7226</v>
      </c>
      <c r="C941" s="4">
        <f>64.3321 * CHOOSE(CONTROL!$C$13, $C$13, 100%, $E$13) + CHOOSE(CONTROL!$C$32, 0.0272, 0)</f>
        <v>64.35929999999999</v>
      </c>
      <c r="D941" s="4">
        <f>80.7168 * CHOOSE(CONTROL!$C$13, $C$13, 100%, $E$13) + CHOOSE(CONTROL!$C$32, 0.0021, 0)</f>
        <v>80.718900000000005</v>
      </c>
      <c r="E941" s="4">
        <f>416.227071404099 * CHOOSE(CONTROL!$C$13, $C$13, 100%, $E$13) + CHOOSE(CONTROL!$C$32, 0.0021, 0)</f>
        <v>416.22917140409896</v>
      </c>
    </row>
    <row r="942" spans="1:5" ht="15">
      <c r="A942" s="13">
        <v>69822</v>
      </c>
      <c r="B942" s="4">
        <f>66.2131 * CHOOSE(CONTROL!$C$13, $C$13, 100%, $E$13) + CHOOSE(CONTROL!$C$32, 0.0272, 0)</f>
        <v>66.240299999999991</v>
      </c>
      <c r="C942" s="4">
        <f>65.8498 * CHOOSE(CONTROL!$C$13, $C$13, 100%, $E$13) + CHOOSE(CONTROL!$C$32, 0.0272, 0)</f>
        <v>65.876999999999995</v>
      </c>
      <c r="D942" s="4">
        <f>83.5003 * CHOOSE(CONTROL!$C$13, $C$13, 100%, $E$13) + CHOOSE(CONTROL!$C$32, 0.0021, 0)</f>
        <v>83.502399999999994</v>
      </c>
      <c r="E942" s="4">
        <f>426.109942392427 * CHOOSE(CONTROL!$C$13, $C$13, 100%, $E$13) + CHOOSE(CONTROL!$C$32, 0.0021, 0)</f>
        <v>426.11204239242699</v>
      </c>
    </row>
    <row r="943" spans="1:5" ht="15">
      <c r="A943" s="13">
        <v>69853</v>
      </c>
      <c r="B943" s="4">
        <f>70.1988 * CHOOSE(CONTROL!$C$13, $C$13, 100%, $E$13) + CHOOSE(CONTROL!$C$32, 0.0272, 0)</f>
        <v>70.225999999999999</v>
      </c>
      <c r="C943" s="4">
        <f>69.8356 * CHOOSE(CONTROL!$C$13, $C$13, 100%, $E$13) + CHOOSE(CONTROL!$C$32, 0.0272, 0)</f>
        <v>69.862799999999993</v>
      </c>
      <c r="D943" s="4">
        <f>87.8576 * CHOOSE(CONTROL!$C$13, $C$13, 100%, $E$13) + CHOOSE(CONTROL!$C$32, 0.0021, 0)</f>
        <v>87.859700000000004</v>
      </c>
      <c r="E943" s="4">
        <f>452.062886815439 * CHOOSE(CONTROL!$C$13, $C$13, 100%, $E$13) + CHOOSE(CONTROL!$C$32, 0.0021, 0)</f>
        <v>452.064986815439</v>
      </c>
    </row>
    <row r="944" spans="1:5" ht="15">
      <c r="A944" s="13">
        <v>69883</v>
      </c>
      <c r="B944" s="4">
        <f>73.0307 * CHOOSE(CONTROL!$C$13, $C$13, 100%, $E$13) + CHOOSE(CONTROL!$C$32, 0.0272, 0)</f>
        <v>73.057899999999989</v>
      </c>
      <c r="C944" s="4">
        <f>72.6675 * CHOOSE(CONTROL!$C$13, $C$13, 100%, $E$13) + CHOOSE(CONTROL!$C$32, 0.0272, 0)</f>
        <v>72.694699999999997</v>
      </c>
      <c r="D944" s="4">
        <f>90.3675 * CHOOSE(CONTROL!$C$13, $C$13, 100%, $E$13) + CHOOSE(CONTROL!$C$32, 0.0021, 0)</f>
        <v>90.369600000000005</v>
      </c>
      <c r="E944" s="4">
        <f>470.502799696449 * CHOOSE(CONTROL!$C$13, $C$13, 100%, $E$13) + CHOOSE(CONTROL!$C$32, 0.0021, 0)</f>
        <v>470.504899696449</v>
      </c>
    </row>
    <row r="945" spans="1:5" ht="15">
      <c r="A945" s="13">
        <v>69914</v>
      </c>
      <c r="B945" s="4">
        <f>74.761 * CHOOSE(CONTROL!$C$13, $C$13, 100%, $E$13) + CHOOSE(CONTROL!$C$32, 0.0272, 0)</f>
        <v>74.788199999999989</v>
      </c>
      <c r="C945" s="4">
        <f>74.3977 * CHOOSE(CONTROL!$C$13, $C$13, 100%, $E$13) + CHOOSE(CONTROL!$C$32, 0.0272, 0)</f>
        <v>74.424899999999994</v>
      </c>
      <c r="D945" s="4">
        <f>89.3757 * CHOOSE(CONTROL!$C$13, $C$13, 100%, $E$13) + CHOOSE(CONTROL!$C$32, 0.0021, 0)</f>
        <v>89.377799999999993</v>
      </c>
      <c r="E945" s="4">
        <f>481.769144523713 * CHOOSE(CONTROL!$C$13, $C$13, 100%, $E$13) + CHOOSE(CONTROL!$C$32, 0.0021, 0)</f>
        <v>481.77124452371299</v>
      </c>
    </row>
    <row r="946" spans="1:5" ht="15">
      <c r="A946" s="13">
        <v>69944</v>
      </c>
      <c r="B946" s="4">
        <f>74.9951 * CHOOSE(CONTROL!$C$13, $C$13, 100%, $E$13) + CHOOSE(CONTROL!$C$32, 0.0272, 0)</f>
        <v>75.022299999999987</v>
      </c>
      <c r="C946" s="4">
        <f>74.6318 * CHOOSE(CONTROL!$C$13, $C$13, 100%, $E$13) + CHOOSE(CONTROL!$C$32, 0.0272, 0)</f>
        <v>74.658999999999992</v>
      </c>
      <c r="D946" s="4">
        <f>90.1835 * CHOOSE(CONTROL!$C$13, $C$13, 100%, $E$13) + CHOOSE(CONTROL!$C$32, 0.0021, 0)</f>
        <v>90.185599999999994</v>
      </c>
      <c r="E946" s="4">
        <f>483.293527735134 * CHOOSE(CONTROL!$C$13, $C$13, 100%, $E$13) + CHOOSE(CONTROL!$C$32, 0.0021, 0)</f>
        <v>483.29562773513396</v>
      </c>
    </row>
    <row r="947" spans="1:5" ht="15">
      <c r="A947" s="13">
        <v>69975</v>
      </c>
      <c r="B947" s="4">
        <f>74.9715 * CHOOSE(CONTROL!$C$13, $C$13, 100%, $E$13) + CHOOSE(CONTROL!$C$32, 0.0272, 0)</f>
        <v>74.998699999999999</v>
      </c>
      <c r="C947" s="4">
        <f>74.6082 * CHOOSE(CONTROL!$C$13, $C$13, 100%, $E$13) + CHOOSE(CONTROL!$C$32, 0.0272, 0)</f>
        <v>74.63539999999999</v>
      </c>
      <c r="D947" s="4">
        <f>91.6409 * CHOOSE(CONTROL!$C$13, $C$13, 100%, $E$13) + CHOOSE(CONTROL!$C$32, 0.0021, 0)</f>
        <v>91.643000000000001</v>
      </c>
      <c r="E947" s="4">
        <f>483.139808419697 * CHOOSE(CONTROL!$C$13, $C$13, 100%, $E$13) + CHOOSE(CONTROL!$C$32, 0.0021, 0)</f>
        <v>483.14190841969696</v>
      </c>
    </row>
    <row r="948" spans="1:5" ht="15">
      <c r="A948" s="13">
        <v>70006</v>
      </c>
      <c r="B948" s="4">
        <f>76.7479 * CHOOSE(CONTROL!$C$13, $C$13, 100%, $E$13) + CHOOSE(CONTROL!$C$32, 0.0272, 0)</f>
        <v>76.775099999999995</v>
      </c>
      <c r="C948" s="4">
        <f>76.3846 * CHOOSE(CONTROL!$C$13, $C$13, 100%, $E$13) + CHOOSE(CONTROL!$C$32, 0.0272, 0)</f>
        <v>76.411799999999999</v>
      </c>
      <c r="D948" s="4">
        <f>90.6784 * CHOOSE(CONTROL!$C$13, $C$13, 100%, $E$13) + CHOOSE(CONTROL!$C$32, 0.0021, 0)</f>
        <v>90.680499999999995</v>
      </c>
      <c r="E948" s="4">
        <f>494.70718690636 * CHOOSE(CONTROL!$C$13, $C$13, 100%, $E$13) + CHOOSE(CONTROL!$C$32, 0.0021, 0)</f>
        <v>494.70928690635998</v>
      </c>
    </row>
    <row r="949" spans="1:5" ht="15">
      <c r="A949" s="13">
        <v>70036</v>
      </c>
      <c r="B949" s="4">
        <f>73.7203 * CHOOSE(CONTROL!$C$13, $C$13, 100%, $E$13) + CHOOSE(CONTROL!$C$32, 0.0272, 0)</f>
        <v>73.747499999999988</v>
      </c>
      <c r="C949" s="4">
        <f>73.357 * CHOOSE(CONTROL!$C$13, $C$13, 100%, $E$13) + CHOOSE(CONTROL!$C$32, 0.0272, 0)</f>
        <v>73.384199999999993</v>
      </c>
      <c r="D949" s="4">
        <f>90.2236 * CHOOSE(CONTROL!$C$13, $C$13, 100%, $E$13) + CHOOSE(CONTROL!$C$32, 0.0021, 0)</f>
        <v>90.225700000000003</v>
      </c>
      <c r="E949" s="4">
        <f>474.992684701515 * CHOOSE(CONTROL!$C$13, $C$13, 100%, $E$13) + CHOOSE(CONTROL!$C$32, 0.0021, 0)</f>
        <v>474.99478470151496</v>
      </c>
    </row>
    <row r="950" spans="1:5" ht="15">
      <c r="A950" s="13">
        <v>70067</v>
      </c>
      <c r="B950" s="4">
        <f>71.2966 * CHOOSE(CONTROL!$C$13, $C$13, 100%, $E$13) + CHOOSE(CONTROL!$C$32, 0.0272, 0)</f>
        <v>71.323799999999991</v>
      </c>
      <c r="C950" s="4">
        <f>70.9333 * CHOOSE(CONTROL!$C$13, $C$13, 100%, $E$13) + CHOOSE(CONTROL!$C$32, 0.0272, 0)</f>
        <v>70.960499999999996</v>
      </c>
      <c r="D950" s="4">
        <f>89.006 * CHOOSE(CONTROL!$C$13, $C$13, 100%, $E$13) + CHOOSE(CONTROL!$C$32, 0.0021, 0)</f>
        <v>89.008099999999999</v>
      </c>
      <c r="E950" s="4">
        <f>459.210834983277 * CHOOSE(CONTROL!$C$13, $C$13, 100%, $E$13) + CHOOSE(CONTROL!$C$32, 0.0021, 0)</f>
        <v>459.21293498327697</v>
      </c>
    </row>
    <row r="951" spans="1:5" ht="15">
      <c r="A951" s="13">
        <v>70097</v>
      </c>
      <c r="B951" s="4">
        <f>69.7356 * CHOOSE(CONTROL!$C$13, $C$13, 100%, $E$13) + CHOOSE(CONTROL!$C$32, 0.0272, 0)</f>
        <v>69.762799999999999</v>
      </c>
      <c r="C951" s="4">
        <f>69.3723 * CHOOSE(CONTROL!$C$13, $C$13, 100%, $E$13) + CHOOSE(CONTROL!$C$32, 0.0272, 0)</f>
        <v>69.399499999999989</v>
      </c>
      <c r="D951" s="4">
        <f>88.5873 * CHOOSE(CONTROL!$C$13, $C$13, 100%, $E$13) + CHOOSE(CONTROL!$C$32, 0.0021, 0)</f>
        <v>88.589399999999998</v>
      </c>
      <c r="E951" s="4">
        <f>449.04614524998 * CHOOSE(CONTROL!$C$13, $C$13, 100%, $E$13) + CHOOSE(CONTROL!$C$32, 0.0021, 0)</f>
        <v>449.04824524997997</v>
      </c>
    </row>
    <row r="952" spans="1:5" ht="15">
      <c r="A952" s="13">
        <v>70128</v>
      </c>
      <c r="B952" s="4">
        <f>68.6555 * CHOOSE(CONTROL!$C$13, $C$13, 100%, $E$13) + CHOOSE(CONTROL!$C$32, 0.0272, 0)</f>
        <v>68.682699999999997</v>
      </c>
      <c r="C952" s="4">
        <f>68.2922 * CHOOSE(CONTROL!$C$13, $C$13, 100%, $E$13) + CHOOSE(CONTROL!$C$32, 0.0272, 0)</f>
        <v>68.319399999999987</v>
      </c>
      <c r="D952" s="4">
        <f>85.5053 * CHOOSE(CONTROL!$C$13, $C$13, 100%, $E$13) + CHOOSE(CONTROL!$C$32, 0.0021, 0)</f>
        <v>85.507400000000004</v>
      </c>
      <c r="E952" s="4">
        <f>442.01348656872 * CHOOSE(CONTROL!$C$13, $C$13, 100%, $E$13) + CHOOSE(CONTROL!$C$32, 0.0021, 0)</f>
        <v>442.01558656871998</v>
      </c>
    </row>
    <row r="953" spans="1:5" ht="15">
      <c r="A953" s="13">
        <v>70159</v>
      </c>
      <c r="B953" s="4">
        <f>65.8248 * CHOOSE(CONTROL!$C$13, $C$13, 100%, $E$13) + CHOOSE(CONTROL!$C$32, 0.0272, 0)</f>
        <v>65.85199999999999</v>
      </c>
      <c r="C953" s="4">
        <f>65.4615 * CHOOSE(CONTROL!$C$13, $C$13, 100%, $E$13) + CHOOSE(CONTROL!$C$32, 0.0272, 0)</f>
        <v>65.488699999999994</v>
      </c>
      <c r="D953" s="4">
        <f>81.957 * CHOOSE(CONTROL!$C$13, $C$13, 100%, $E$13) + CHOOSE(CONTROL!$C$32, 0.0021, 0)</f>
        <v>81.959099999999992</v>
      </c>
      <c r="E953" s="4">
        <f>423.601828771058 * CHOOSE(CONTROL!$C$13, $C$13, 100%, $E$13) + CHOOSE(CONTROL!$C$32, 0.0021, 0)</f>
        <v>423.60392877105801</v>
      </c>
    </row>
    <row r="954" spans="1:5" ht="15">
      <c r="A954" s="13">
        <v>70188</v>
      </c>
      <c r="B954" s="4">
        <f>67.3693 * CHOOSE(CONTROL!$C$13, $C$13, 100%, $E$13) + CHOOSE(CONTROL!$C$32, 0.0272, 0)</f>
        <v>67.396499999999989</v>
      </c>
      <c r="C954" s="4">
        <f>67.0061 * CHOOSE(CONTROL!$C$13, $C$13, 100%, $E$13) + CHOOSE(CONTROL!$C$32, 0.0272, 0)</f>
        <v>67.033299999999997</v>
      </c>
      <c r="D954" s="4">
        <f>84.7842 * CHOOSE(CONTROL!$C$13, $C$13, 100%, $E$13) + CHOOSE(CONTROL!$C$32, 0.0021, 0)</f>
        <v>84.786299999999997</v>
      </c>
      <c r="E954" s="4">
        <f>433.659805562529 * CHOOSE(CONTROL!$C$13, $C$13, 100%, $E$13) + CHOOSE(CONTROL!$C$32, 0.0021, 0)</f>
        <v>433.661905562529</v>
      </c>
    </row>
    <row r="955" spans="1:5" ht="15">
      <c r="A955" s="13">
        <v>70219</v>
      </c>
      <c r="B955" s="4">
        <f>71.4255 * CHOOSE(CONTROL!$C$13, $C$13, 100%, $E$13) + CHOOSE(CONTROL!$C$32, 0.0272, 0)</f>
        <v>71.452699999999993</v>
      </c>
      <c r="C955" s="4">
        <f>71.0622 * CHOOSE(CONTROL!$C$13, $C$13, 100%, $E$13) + CHOOSE(CONTROL!$C$32, 0.0272, 0)</f>
        <v>71.089399999999998</v>
      </c>
      <c r="D955" s="4">
        <f>89.21 * CHOOSE(CONTROL!$C$13, $C$13, 100%, $E$13) + CHOOSE(CONTROL!$C$32, 0.0021, 0)</f>
        <v>89.212099999999992</v>
      </c>
      <c r="E955" s="4">
        <f>460.072587130281 * CHOOSE(CONTROL!$C$13, $C$13, 100%, $E$13) + CHOOSE(CONTROL!$C$32, 0.0021, 0)</f>
        <v>460.07468713028101</v>
      </c>
    </row>
    <row r="956" spans="1:5" ht="15">
      <c r="A956" s="13">
        <v>70249</v>
      </c>
      <c r="B956" s="4">
        <f>74.3074 * CHOOSE(CONTROL!$C$13, $C$13, 100%, $E$13) + CHOOSE(CONTROL!$C$32, 0.0272, 0)</f>
        <v>74.334599999999995</v>
      </c>
      <c r="C956" s="4">
        <f>73.9441 * CHOOSE(CONTROL!$C$13, $C$13, 100%, $E$13) + CHOOSE(CONTROL!$C$32, 0.0272, 0)</f>
        <v>73.971299999999999</v>
      </c>
      <c r="D956" s="4">
        <f>91.7594 * CHOOSE(CONTROL!$C$13, $C$13, 100%, $E$13) + CHOOSE(CONTROL!$C$32, 0.0021, 0)</f>
        <v>91.761499999999998</v>
      </c>
      <c r="E956" s="4">
        <f>478.839220430763 * CHOOSE(CONTROL!$C$13, $C$13, 100%, $E$13) + CHOOSE(CONTROL!$C$32, 0.0021, 0)</f>
        <v>478.84132043076301</v>
      </c>
    </row>
    <row r="957" spans="1:5" ht="15">
      <c r="A957" s="13">
        <v>70280</v>
      </c>
      <c r="B957" s="4">
        <f>76.0682 * CHOOSE(CONTROL!$C$13, $C$13, 100%, $E$13) + CHOOSE(CONTROL!$C$32, 0.0272, 0)</f>
        <v>76.095399999999998</v>
      </c>
      <c r="C957" s="4">
        <f>75.7049 * CHOOSE(CONTROL!$C$13, $C$13, 100%, $E$13) + CHOOSE(CONTROL!$C$32, 0.0272, 0)</f>
        <v>75.732099999999988</v>
      </c>
      <c r="D957" s="4">
        <f>90.752 * CHOOSE(CONTROL!$C$13, $C$13, 100%, $E$13) + CHOOSE(CONTROL!$C$32, 0.0021, 0)</f>
        <v>90.754099999999994</v>
      </c>
      <c r="E957" s="4">
        <f>490.305183603931 * CHOOSE(CONTROL!$C$13, $C$13, 100%, $E$13) + CHOOSE(CONTROL!$C$32, 0.0021, 0)</f>
        <v>490.30728360393101</v>
      </c>
    </row>
    <row r="958" spans="1:5" ht="15">
      <c r="A958" s="13">
        <v>70310</v>
      </c>
      <c r="B958" s="4">
        <f>76.3064 * CHOOSE(CONTROL!$C$13, $C$13, 100%, $E$13) + CHOOSE(CONTROL!$C$32, 0.0272, 0)</f>
        <v>76.33359999999999</v>
      </c>
      <c r="C958" s="4">
        <f>75.9432 * CHOOSE(CONTROL!$C$13, $C$13, 100%, $E$13) + CHOOSE(CONTROL!$C$32, 0.0272, 0)</f>
        <v>75.970399999999998</v>
      </c>
      <c r="D958" s="4">
        <f>91.5725 * CHOOSE(CONTROL!$C$13, $C$13, 100%, $E$13) + CHOOSE(CONTROL!$C$32, 0.0021, 0)</f>
        <v>91.574600000000004</v>
      </c>
      <c r="E958" s="4">
        <f>491.856576005985 * CHOOSE(CONTROL!$C$13, $C$13, 100%, $E$13) + CHOOSE(CONTROL!$C$32, 0.0021, 0)</f>
        <v>491.85867600598499</v>
      </c>
    </row>
    <row r="959" spans="1:5" ht="15">
      <c r="A959" s="13">
        <v>70341</v>
      </c>
      <c r="B959" s="4">
        <f>76.2824 * CHOOSE(CONTROL!$C$13, $C$13, 100%, $E$13) + CHOOSE(CONTROL!$C$32, 0.0272, 0)</f>
        <v>76.309599999999989</v>
      </c>
      <c r="C959" s="4">
        <f>75.9191 * CHOOSE(CONTROL!$C$13, $C$13, 100%, $E$13) + CHOOSE(CONTROL!$C$32, 0.0272, 0)</f>
        <v>75.946299999999994</v>
      </c>
      <c r="D959" s="4">
        <f>93.0529 * CHOOSE(CONTROL!$C$13, $C$13, 100%, $E$13) + CHOOSE(CONTROL!$C$32, 0.0021, 0)</f>
        <v>93.054999999999993</v>
      </c>
      <c r="E959" s="4">
        <f>491.700133074686 * CHOOSE(CONTROL!$C$13, $C$13, 100%, $E$13) + CHOOSE(CONTROL!$C$32, 0.0021, 0)</f>
        <v>491.70223307468598</v>
      </c>
    </row>
    <row r="960" spans="1:5" ht="15">
      <c r="A960" s="13">
        <v>70372</v>
      </c>
      <c r="B960" s="4">
        <f>78.0903 * CHOOSE(CONTROL!$C$13, $C$13, 100%, $E$13) + CHOOSE(CONTROL!$C$32, 0.0272, 0)</f>
        <v>78.117499999999993</v>
      </c>
      <c r="C960" s="4">
        <f>77.727 * CHOOSE(CONTROL!$C$13, $C$13, 100%, $E$13) + CHOOSE(CONTROL!$C$32, 0.0272, 0)</f>
        <v>77.754199999999997</v>
      </c>
      <c r="D960" s="4">
        <f>92.0752 * CHOOSE(CONTROL!$C$13, $C$13, 100%, $E$13) + CHOOSE(CONTROL!$C$32, 0.0021, 0)</f>
        <v>92.077299999999994</v>
      </c>
      <c r="E960" s="4">
        <f>503.472463654982 * CHOOSE(CONTROL!$C$13, $C$13, 100%, $E$13) + CHOOSE(CONTROL!$C$32, 0.0021, 0)</f>
        <v>503.47456365498198</v>
      </c>
    </row>
    <row r="961" spans="1:5" ht="15">
      <c r="A961" s="13">
        <v>70402</v>
      </c>
      <c r="B961" s="4">
        <f>75.0091 * CHOOSE(CONTROL!$C$13, $C$13, 100%, $E$13) + CHOOSE(CONTROL!$C$32, 0.0272, 0)</f>
        <v>75.036299999999997</v>
      </c>
      <c r="C961" s="4">
        <f>74.6458 * CHOOSE(CONTROL!$C$13, $C$13, 100%, $E$13) + CHOOSE(CONTROL!$C$32, 0.0272, 0)</f>
        <v>74.672999999999988</v>
      </c>
      <c r="D961" s="4">
        <f>91.6133 * CHOOSE(CONTROL!$C$13, $C$13, 100%, $E$13) + CHOOSE(CONTROL!$C$32, 0.0021, 0)</f>
        <v>91.615399999999994</v>
      </c>
      <c r="E961" s="4">
        <f>483.408657715806 * CHOOSE(CONTROL!$C$13, $C$13, 100%, $E$13) + CHOOSE(CONTROL!$C$32, 0.0021, 0)</f>
        <v>483.41075771580597</v>
      </c>
    </row>
    <row r="962" spans="1:5" ht="15">
      <c r="A962" s="13">
        <v>70433</v>
      </c>
      <c r="B962" s="4">
        <f>72.5426 * CHOOSE(CONTROL!$C$13, $C$13, 100%, $E$13) + CHOOSE(CONTROL!$C$32, 0.0272, 0)</f>
        <v>72.569799999999987</v>
      </c>
      <c r="C962" s="4">
        <f>72.1793 * CHOOSE(CONTROL!$C$13, $C$13, 100%, $E$13) + CHOOSE(CONTROL!$C$32, 0.0272, 0)</f>
        <v>72.206499999999991</v>
      </c>
      <c r="D962" s="4">
        <f>90.3765 * CHOOSE(CONTROL!$C$13, $C$13, 100%, $E$13) + CHOOSE(CONTROL!$C$32, 0.0021, 0)</f>
        <v>90.378599999999992</v>
      </c>
      <c r="E962" s="4">
        <f>467.347183435713 * CHOOSE(CONTROL!$C$13, $C$13, 100%, $E$13) + CHOOSE(CONTROL!$C$32, 0.0021, 0)</f>
        <v>467.34928343571301</v>
      </c>
    </row>
    <row r="963" spans="1:5" ht="15">
      <c r="A963" s="13">
        <v>70463</v>
      </c>
      <c r="B963" s="4">
        <f>70.954 * CHOOSE(CONTROL!$C$13, $C$13, 100%, $E$13) + CHOOSE(CONTROL!$C$32, 0.0272, 0)</f>
        <v>70.981199999999987</v>
      </c>
      <c r="C963" s="4">
        <f>70.5907 * CHOOSE(CONTROL!$C$13, $C$13, 100%, $E$13) + CHOOSE(CONTROL!$C$32, 0.0272, 0)</f>
        <v>70.617899999999992</v>
      </c>
      <c r="D963" s="4">
        <f>89.9512 * CHOOSE(CONTROL!$C$13, $C$13, 100%, $E$13) + CHOOSE(CONTROL!$C$32, 0.0021, 0)</f>
        <v>89.953299999999999</v>
      </c>
      <c r="E963" s="4">
        <f>457.002394603526 * CHOOSE(CONTROL!$C$13, $C$13, 100%, $E$13) + CHOOSE(CONTROL!$C$32, 0.0021, 0)</f>
        <v>457.00449460352598</v>
      </c>
    </row>
    <row r="964" spans="1:5" ht="15">
      <c r="A964" s="13">
        <v>70494</v>
      </c>
      <c r="B964" s="4">
        <f>69.8549 * CHOOSE(CONTROL!$C$13, $C$13, 100%, $E$13) + CHOOSE(CONTROL!$C$32, 0.0272, 0)</f>
        <v>69.882099999999994</v>
      </c>
      <c r="C964" s="4">
        <f>69.4916 * CHOOSE(CONTROL!$C$13, $C$13, 100%, $E$13) + CHOOSE(CONTROL!$C$32, 0.0272, 0)</f>
        <v>69.518799999999999</v>
      </c>
      <c r="D964" s="4">
        <f>86.8208 * CHOOSE(CONTROL!$C$13, $C$13, 100%, $E$13) + CHOOSE(CONTROL!$C$32, 0.0021, 0)</f>
        <v>86.822900000000004</v>
      </c>
      <c r="E964" s="4">
        <f>449.845130496568 * CHOOSE(CONTROL!$C$13, $C$13, 100%, $E$13) + CHOOSE(CONTROL!$C$32, 0.0021, 0)</f>
        <v>449.84723049656799</v>
      </c>
    </row>
    <row r="965" spans="1:5" ht="15">
      <c r="A965" s="13">
        <v>70525</v>
      </c>
      <c r="B965" s="4">
        <f>66.9741 * CHOOSE(CONTROL!$C$13, $C$13, 100%, $E$13) + CHOOSE(CONTROL!$C$32, 0.0272, 0)</f>
        <v>67.001300000000001</v>
      </c>
      <c r="C965" s="4">
        <f>66.6108 * CHOOSE(CONTROL!$C$13, $C$13, 100%, $E$13) + CHOOSE(CONTROL!$C$32, 0.0272, 0)</f>
        <v>66.637999999999991</v>
      </c>
      <c r="D965" s="4">
        <f>83.2166 * CHOOSE(CONTROL!$C$13, $C$13, 100%, $E$13) + CHOOSE(CONTROL!$C$32, 0.0021, 0)</f>
        <v>83.218699999999998</v>
      </c>
      <c r="E965" s="4">
        <f>431.10725290613 * CHOOSE(CONTROL!$C$13, $C$13, 100%, $E$13) + CHOOSE(CONTROL!$C$32, 0.0021, 0)</f>
        <v>431.10935290612997</v>
      </c>
    </row>
    <row r="966" spans="1:5" ht="15">
      <c r="A966" s="13">
        <v>70553</v>
      </c>
      <c r="B966" s="4">
        <f>68.546 * CHOOSE(CONTROL!$C$13, $C$13, 100%, $E$13) + CHOOSE(CONTROL!$C$32, 0.0272, 0)</f>
        <v>68.5732</v>
      </c>
      <c r="C966" s="4">
        <f>68.1827 * CHOOSE(CONTROL!$C$13, $C$13, 100%, $E$13) + CHOOSE(CONTROL!$C$32, 0.0272, 0)</f>
        <v>68.20989999999999</v>
      </c>
      <c r="D966" s="4">
        <f>86.0883 * CHOOSE(CONTROL!$C$13, $C$13, 100%, $E$13) + CHOOSE(CONTROL!$C$32, 0.0021, 0)</f>
        <v>86.090400000000002</v>
      </c>
      <c r="E966" s="4">
        <f>441.343438044765 * CHOOSE(CONTROL!$C$13, $C$13, 100%, $E$13) + CHOOSE(CONTROL!$C$32, 0.0021, 0)</f>
        <v>441.34553804476496</v>
      </c>
    </row>
    <row r="967" spans="1:5" ht="15">
      <c r="A967" s="13">
        <v>70584</v>
      </c>
      <c r="B967" s="4">
        <f>72.6738 * CHOOSE(CONTROL!$C$13, $C$13, 100%, $E$13) + CHOOSE(CONTROL!$C$32, 0.0272, 0)</f>
        <v>72.700999999999993</v>
      </c>
      <c r="C967" s="4">
        <f>72.3105 * CHOOSE(CONTROL!$C$13, $C$13, 100%, $E$13) + CHOOSE(CONTROL!$C$32, 0.0272, 0)</f>
        <v>72.337699999999998</v>
      </c>
      <c r="D967" s="4">
        <f>90.5837 * CHOOSE(CONTROL!$C$13, $C$13, 100%, $E$13) + CHOOSE(CONTROL!$C$32, 0.0021, 0)</f>
        <v>90.585799999999992</v>
      </c>
      <c r="E967" s="4">
        <f>468.224204202734 * CHOOSE(CONTROL!$C$13, $C$13, 100%, $E$13) + CHOOSE(CONTROL!$C$32, 0.0021, 0)</f>
        <v>468.22630420273396</v>
      </c>
    </row>
    <row r="968" spans="1:5" ht="15">
      <c r="A968" s="13">
        <v>70614</v>
      </c>
      <c r="B968" s="4">
        <f>75.6066 * CHOOSE(CONTROL!$C$13, $C$13, 100%, $E$13) + CHOOSE(CONTROL!$C$32, 0.0272, 0)</f>
        <v>75.633799999999994</v>
      </c>
      <c r="C968" s="4">
        <f>75.2433 * CHOOSE(CONTROL!$C$13, $C$13, 100%, $E$13) + CHOOSE(CONTROL!$C$32, 0.0272, 0)</f>
        <v>75.270499999999998</v>
      </c>
      <c r="D968" s="4">
        <f>93.1732 * CHOOSE(CONTROL!$C$13, $C$13, 100%, $E$13) + CHOOSE(CONTROL!$C$32, 0.0021, 0)</f>
        <v>93.175299999999993</v>
      </c>
      <c r="E968" s="4">
        <f>487.323346791281 * CHOOSE(CONTROL!$C$13, $C$13, 100%, $E$13) + CHOOSE(CONTROL!$C$32, 0.0021, 0)</f>
        <v>487.32544679128097</v>
      </c>
    </row>
    <row r="969" spans="1:5" ht="15">
      <c r="A969" s="13">
        <v>70645</v>
      </c>
      <c r="B969" s="4">
        <f>77.3985 * CHOOSE(CONTROL!$C$13, $C$13, 100%, $E$13) + CHOOSE(CONTROL!$C$32, 0.0272, 0)</f>
        <v>77.425699999999992</v>
      </c>
      <c r="C969" s="4">
        <f>77.0353 * CHOOSE(CONTROL!$C$13, $C$13, 100%, $E$13) + CHOOSE(CONTROL!$C$32, 0.0272, 0)</f>
        <v>77.0625</v>
      </c>
      <c r="D969" s="4">
        <f>92.15 * CHOOSE(CONTROL!$C$13, $C$13, 100%, $E$13) + CHOOSE(CONTROL!$C$32, 0.0021, 0)</f>
        <v>92.152100000000004</v>
      </c>
      <c r="E969" s="4">
        <f>498.992465170321 * CHOOSE(CONTROL!$C$13, $C$13, 100%, $E$13) + CHOOSE(CONTROL!$C$32, 0.0021, 0)</f>
        <v>498.99456517032098</v>
      </c>
    </row>
    <row r="970" spans="1:5" ht="15">
      <c r="A970" s="13">
        <v>70675</v>
      </c>
      <c r="B970" s="4">
        <f>77.641 * CHOOSE(CONTROL!$C$13, $C$13, 100%, $E$13) + CHOOSE(CONTROL!$C$32, 0.0272, 0)</f>
        <v>77.668199999999999</v>
      </c>
      <c r="C970" s="4">
        <f>77.2777 * CHOOSE(CONTROL!$C$13, $C$13, 100%, $E$13) + CHOOSE(CONTROL!$C$32, 0.0272, 0)</f>
        <v>77.304899999999989</v>
      </c>
      <c r="D970" s="4">
        <f>92.9833 * CHOOSE(CONTROL!$C$13, $C$13, 100%, $E$13) + CHOOSE(CONTROL!$C$32, 0.0021, 0)</f>
        <v>92.985399999999998</v>
      </c>
      <c r="E970" s="4">
        <f>500.571345314841 * CHOOSE(CONTROL!$C$13, $C$13, 100%, $E$13) + CHOOSE(CONTROL!$C$32, 0.0021, 0)</f>
        <v>500.57344531484097</v>
      </c>
    </row>
    <row r="971" spans="1:5" ht="15">
      <c r="A971" s="13">
        <v>70706</v>
      </c>
      <c r="B971" s="4">
        <f>77.6165 * CHOOSE(CONTROL!$C$13, $C$13, 100%, $E$13) + CHOOSE(CONTROL!$C$32, 0.0272, 0)</f>
        <v>77.643699999999995</v>
      </c>
      <c r="C971" s="4">
        <f>77.2533 * CHOOSE(CONTROL!$C$13, $C$13, 100%, $E$13) + CHOOSE(CONTROL!$C$32, 0.0272, 0)</f>
        <v>77.280499999999989</v>
      </c>
      <c r="D971" s="4">
        <f>94.487 * CHOOSE(CONTROL!$C$13, $C$13, 100%, $E$13) + CHOOSE(CONTROL!$C$32, 0.0021, 0)</f>
        <v>94.489099999999993</v>
      </c>
      <c r="E971" s="4">
        <f>500.412130510352 * CHOOSE(CONTROL!$C$13, $C$13, 100%, $E$13) + CHOOSE(CONTROL!$C$32, 0.0021, 0)</f>
        <v>500.41423051035196</v>
      </c>
    </row>
    <row r="972" spans="1:5" ht="15">
      <c r="A972" s="13">
        <v>70737</v>
      </c>
      <c r="B972" s="4">
        <f>79.4563 * CHOOSE(CONTROL!$C$13, $C$13, 100%, $E$13) + CHOOSE(CONTROL!$C$32, 0.0272, 0)</f>
        <v>79.483499999999992</v>
      </c>
      <c r="C972" s="4">
        <f>79.093 * CHOOSE(CONTROL!$C$13, $C$13, 100%, $E$13) + CHOOSE(CONTROL!$C$32, 0.0272, 0)</f>
        <v>79.120199999999997</v>
      </c>
      <c r="D972" s="4">
        <f>93.4939 * CHOOSE(CONTROL!$C$13, $C$13, 100%, $E$13) + CHOOSE(CONTROL!$C$32, 0.0021, 0)</f>
        <v>93.495999999999995</v>
      </c>
      <c r="E972" s="4">
        <f>512.393044548183 * CHOOSE(CONTROL!$C$13, $C$13, 100%, $E$13) + CHOOSE(CONTROL!$C$32, 0.0021, 0)</f>
        <v>512.395144548183</v>
      </c>
    </row>
    <row r="973" spans="1:5" ht="15">
      <c r="A973" s="13">
        <v>70767</v>
      </c>
      <c r="B973" s="4">
        <f>76.3207 * CHOOSE(CONTROL!$C$13, $C$13, 100%, $E$13) + CHOOSE(CONTROL!$C$32, 0.0272, 0)</f>
        <v>76.347899999999996</v>
      </c>
      <c r="C973" s="4">
        <f>75.9575 * CHOOSE(CONTROL!$C$13, $C$13, 100%, $E$13) + CHOOSE(CONTROL!$C$32, 0.0272, 0)</f>
        <v>75.984699999999989</v>
      </c>
      <c r="D973" s="4">
        <f>93.0248 * CHOOSE(CONTROL!$C$13, $C$13, 100%, $E$13) + CHOOSE(CONTROL!$C$32, 0.0021, 0)</f>
        <v>93.026899999999998</v>
      </c>
      <c r="E973" s="4">
        <f>491.973745872411 * CHOOSE(CONTROL!$C$13, $C$13, 100%, $E$13) + CHOOSE(CONTROL!$C$32, 0.0021, 0)</f>
        <v>491.97584587241096</v>
      </c>
    </row>
    <row r="974" spans="1:5" ht="15">
      <c r="A974" s="13">
        <v>70798</v>
      </c>
      <c r="B974" s="4">
        <f>73.8107 * CHOOSE(CONTROL!$C$13, $C$13, 100%, $E$13) + CHOOSE(CONTROL!$C$32, 0.0272, 0)</f>
        <v>73.837899999999991</v>
      </c>
      <c r="C974" s="4">
        <f>73.4474 * CHOOSE(CONTROL!$C$13, $C$13, 100%, $E$13) + CHOOSE(CONTROL!$C$32, 0.0272, 0)</f>
        <v>73.474599999999995</v>
      </c>
      <c r="D974" s="4">
        <f>91.7685 * CHOOSE(CONTROL!$C$13, $C$13, 100%, $E$13) + CHOOSE(CONTROL!$C$32, 0.0021, 0)</f>
        <v>91.770600000000002</v>
      </c>
      <c r="E974" s="4">
        <f>475.627692611494 * CHOOSE(CONTROL!$C$13, $C$13, 100%, $E$13) + CHOOSE(CONTROL!$C$32, 0.0021, 0)</f>
        <v>475.629792611494</v>
      </c>
    </row>
    <row r="975" spans="1:5" ht="15">
      <c r="A975" s="13">
        <v>70828</v>
      </c>
      <c r="B975" s="4">
        <f>72.194 * CHOOSE(CONTROL!$C$13, $C$13, 100%, $E$13) + CHOOSE(CONTROL!$C$32, 0.0272, 0)</f>
        <v>72.221199999999996</v>
      </c>
      <c r="C975" s="4">
        <f>71.8307 * CHOOSE(CONTROL!$C$13, $C$13, 100%, $E$13) + CHOOSE(CONTROL!$C$32, 0.0272, 0)</f>
        <v>71.857899999999987</v>
      </c>
      <c r="D975" s="4">
        <f>91.3366 * CHOOSE(CONTROL!$C$13, $C$13, 100%, $E$13) + CHOOSE(CONTROL!$C$32, 0.0021, 0)</f>
        <v>91.338700000000003</v>
      </c>
      <c r="E975" s="4">
        <f>465.099613664629 * CHOOSE(CONTROL!$C$13, $C$13, 100%, $E$13) + CHOOSE(CONTROL!$C$32, 0.0021, 0)</f>
        <v>465.10171366462896</v>
      </c>
    </row>
    <row r="976" spans="1:5" ht="15">
      <c r="A976" s="13">
        <v>70859</v>
      </c>
      <c r="B976" s="4">
        <f>71.0754 * CHOOSE(CONTROL!$C$13, $C$13, 100%, $E$13) + CHOOSE(CONTROL!$C$32, 0.0272, 0)</f>
        <v>71.102599999999995</v>
      </c>
      <c r="C976" s="4">
        <f>70.7121 * CHOOSE(CONTROL!$C$13, $C$13, 100%, $E$13) + CHOOSE(CONTROL!$C$32, 0.0272, 0)</f>
        <v>70.7393</v>
      </c>
      <c r="D976" s="4">
        <f>88.1569 * CHOOSE(CONTROL!$C$13, $C$13, 100%, $E$13) + CHOOSE(CONTROL!$C$32, 0.0021, 0)</f>
        <v>88.158999999999992</v>
      </c>
      <c r="E976" s="4">
        <f>457.815536359236 * CHOOSE(CONTROL!$C$13, $C$13, 100%, $E$13) + CHOOSE(CONTROL!$C$32, 0.0021, 0)</f>
        <v>457.81763635923596</v>
      </c>
    </row>
    <row r="977" spans="1:5" ht="15">
      <c r="A977" s="13">
        <v>70890</v>
      </c>
      <c r="B977" s="4">
        <f>68.1438 * CHOOSE(CONTROL!$C$13, $C$13, 100%, $E$13) + CHOOSE(CONTROL!$C$32, 0.0272, 0)</f>
        <v>68.170999999999992</v>
      </c>
      <c r="C977" s="4">
        <f>67.7805 * CHOOSE(CONTROL!$C$13, $C$13, 100%, $E$13) + CHOOSE(CONTROL!$C$32, 0.0272, 0)</f>
        <v>67.807699999999997</v>
      </c>
      <c r="D977" s="4">
        <f>84.4961 * CHOOSE(CONTROL!$C$13, $C$13, 100%, $E$13) + CHOOSE(CONTROL!$C$32, 0.0021, 0)</f>
        <v>84.498199999999997</v>
      </c>
      <c r="E977" s="4">
        <f>438.74565897759 * CHOOSE(CONTROL!$C$13, $C$13, 100%, $E$13) + CHOOSE(CONTROL!$C$32, 0.0021, 0)</f>
        <v>438.74775897758997</v>
      </c>
    </row>
    <row r="978" spans="1:5" ht="15">
      <c r="A978" s="13">
        <v>70918</v>
      </c>
      <c r="B978" s="4">
        <f>69.7434 * CHOOSE(CONTROL!$C$13, $C$13, 100%, $E$13) + CHOOSE(CONTROL!$C$32, 0.0272, 0)</f>
        <v>69.770599999999988</v>
      </c>
      <c r="C978" s="4">
        <f>69.3801 * CHOOSE(CONTROL!$C$13, $C$13, 100%, $E$13) + CHOOSE(CONTROL!$C$32, 0.0272, 0)</f>
        <v>69.407299999999992</v>
      </c>
      <c r="D978" s="4">
        <f>87.4129 * CHOOSE(CONTROL!$C$13, $C$13, 100%, $E$13) + CHOOSE(CONTROL!$C$32, 0.0021, 0)</f>
        <v>87.414999999999992</v>
      </c>
      <c r="E978" s="4">
        <f>449.163209978628 * CHOOSE(CONTROL!$C$13, $C$13, 100%, $E$13) + CHOOSE(CONTROL!$C$32, 0.0021, 0)</f>
        <v>449.16530997862799</v>
      </c>
    </row>
    <row r="979" spans="1:5" ht="15">
      <c r="A979" s="13">
        <v>70949</v>
      </c>
      <c r="B979" s="4">
        <f>73.9441 * CHOOSE(CONTROL!$C$13, $C$13, 100%, $E$13) + CHOOSE(CONTROL!$C$32, 0.0272, 0)</f>
        <v>73.971299999999999</v>
      </c>
      <c r="C979" s="4">
        <f>73.5808 * CHOOSE(CONTROL!$C$13, $C$13, 100%, $E$13) + CHOOSE(CONTROL!$C$32, 0.0272, 0)</f>
        <v>73.60799999999999</v>
      </c>
      <c r="D979" s="4">
        <f>91.979 * CHOOSE(CONTROL!$C$13, $C$13, 100%, $E$13) + CHOOSE(CONTROL!$C$32, 0.0021, 0)</f>
        <v>91.981099999999998</v>
      </c>
      <c r="E979" s="4">
        <f>476.520252529635 * CHOOSE(CONTROL!$C$13, $C$13, 100%, $E$13) + CHOOSE(CONTROL!$C$32, 0.0021, 0)</f>
        <v>476.52235252963499</v>
      </c>
    </row>
    <row r="980" spans="1:5" ht="15">
      <c r="A980" s="13">
        <v>70979</v>
      </c>
      <c r="B980" s="4">
        <f>76.9288 * CHOOSE(CONTROL!$C$13, $C$13, 100%, $E$13) + CHOOSE(CONTROL!$C$32, 0.0272, 0)</f>
        <v>76.955999999999989</v>
      </c>
      <c r="C980" s="4">
        <f>76.5655 * CHOOSE(CONTROL!$C$13, $C$13, 100%, $E$13) + CHOOSE(CONTROL!$C$32, 0.0272, 0)</f>
        <v>76.592699999999994</v>
      </c>
      <c r="D980" s="4">
        <f>94.6092 * CHOOSE(CONTROL!$C$13, $C$13, 100%, $E$13) + CHOOSE(CONTROL!$C$32, 0.0021, 0)</f>
        <v>94.6113</v>
      </c>
      <c r="E980" s="4">
        <f>495.957795842653 * CHOOSE(CONTROL!$C$13, $C$13, 100%, $E$13) + CHOOSE(CONTROL!$C$32, 0.0021, 0)</f>
        <v>495.959895842653</v>
      </c>
    </row>
    <row r="981" spans="1:5" ht="15">
      <c r="A981" s="13">
        <v>71010</v>
      </c>
      <c r="B981" s="4">
        <f>78.7524 * CHOOSE(CONTROL!$C$13, $C$13, 100%, $E$13) + CHOOSE(CONTROL!$C$32, 0.0272, 0)</f>
        <v>78.779599999999988</v>
      </c>
      <c r="C981" s="4">
        <f>78.3891 * CHOOSE(CONTROL!$C$13, $C$13, 100%, $E$13) + CHOOSE(CONTROL!$C$32, 0.0272, 0)</f>
        <v>78.416299999999993</v>
      </c>
      <c r="D981" s="4">
        <f>93.5699 * CHOOSE(CONTROL!$C$13, $C$13, 100%, $E$13) + CHOOSE(CONTROL!$C$32, 0.0021, 0)</f>
        <v>93.572000000000003</v>
      </c>
      <c r="E981" s="4">
        <f>507.833668954011 * CHOOSE(CONTROL!$C$13, $C$13, 100%, $E$13) + CHOOSE(CONTROL!$C$32, 0.0021, 0)</f>
        <v>507.83576895401097</v>
      </c>
    </row>
    <row r="982" spans="1:5" ht="15">
      <c r="A982" s="13">
        <v>71040</v>
      </c>
      <c r="B982" s="4">
        <f>78.9991 * CHOOSE(CONTROL!$C$13, $C$13, 100%, $E$13) + CHOOSE(CONTROL!$C$32, 0.0272, 0)</f>
        <v>79.026299999999992</v>
      </c>
      <c r="C982" s="4">
        <f>78.6358 * CHOOSE(CONTROL!$C$13, $C$13, 100%, $E$13) + CHOOSE(CONTROL!$C$32, 0.0272, 0)</f>
        <v>78.662999999999997</v>
      </c>
      <c r="D982" s="4">
        <f>94.4163 * CHOOSE(CONTROL!$C$13, $C$13, 100%, $E$13) + CHOOSE(CONTROL!$C$32, 0.0021, 0)</f>
        <v>94.418400000000005</v>
      </c>
      <c r="E982" s="4">
        <f>509.440523871863 * CHOOSE(CONTROL!$C$13, $C$13, 100%, $E$13) + CHOOSE(CONTROL!$C$32, 0.0021, 0)</f>
        <v>509.44262387186296</v>
      </c>
    </row>
    <row r="983" spans="1:5" ht="15">
      <c r="A983" s="13">
        <v>71071</v>
      </c>
      <c r="B983" s="4">
        <f>78.9742 * CHOOSE(CONTROL!$C$13, $C$13, 100%, $E$13) + CHOOSE(CONTROL!$C$32, 0.0272, 0)</f>
        <v>79.00139999999999</v>
      </c>
      <c r="C983" s="4">
        <f>78.6109 * CHOOSE(CONTROL!$C$13, $C$13, 100%, $E$13) + CHOOSE(CONTROL!$C$32, 0.0272, 0)</f>
        <v>78.638099999999994</v>
      </c>
      <c r="D983" s="4">
        <f>95.9437 * CHOOSE(CONTROL!$C$13, $C$13, 100%, $E$13) + CHOOSE(CONTROL!$C$32, 0.0021, 0)</f>
        <v>95.945800000000006</v>
      </c>
      <c r="E983" s="4">
        <f>509.278488081828 * CHOOSE(CONTROL!$C$13, $C$13, 100%, $E$13) + CHOOSE(CONTROL!$C$32, 0.0021, 0)</f>
        <v>509.280588081828</v>
      </c>
    </row>
    <row r="984" spans="1:5" ht="15">
      <c r="A984" s="13">
        <v>71102</v>
      </c>
      <c r="B984" s="4">
        <f>80.8465 * CHOOSE(CONTROL!$C$13, $C$13, 100%, $E$13) + CHOOSE(CONTROL!$C$32, 0.0272, 0)</f>
        <v>80.873699999999999</v>
      </c>
      <c r="C984" s="4">
        <f>80.4832 * CHOOSE(CONTROL!$C$13, $C$13, 100%, $E$13) + CHOOSE(CONTROL!$C$32, 0.0272, 0)</f>
        <v>80.51039999999999</v>
      </c>
      <c r="D984" s="4">
        <f>94.935 * CHOOSE(CONTROL!$C$13, $C$13, 100%, $E$13) + CHOOSE(CONTROL!$C$32, 0.0021, 0)</f>
        <v>94.937100000000001</v>
      </c>
      <c r="E984" s="4">
        <f>521.471681282005 * CHOOSE(CONTROL!$C$13, $C$13, 100%, $E$13) + CHOOSE(CONTROL!$C$32, 0.0021, 0)</f>
        <v>521.47378128200501</v>
      </c>
    </row>
    <row r="985" spans="1:5" ht="15">
      <c r="A985" s="13">
        <v>71132</v>
      </c>
      <c r="B985" s="4">
        <f>77.6555 * CHOOSE(CONTROL!$C$13, $C$13, 100%, $E$13) + CHOOSE(CONTROL!$C$32, 0.0272, 0)</f>
        <v>77.682699999999997</v>
      </c>
      <c r="C985" s="4">
        <f>77.2923 * CHOOSE(CONTROL!$C$13, $C$13, 100%, $E$13) + CHOOSE(CONTROL!$C$32, 0.0272, 0)</f>
        <v>77.319499999999991</v>
      </c>
      <c r="D985" s="4">
        <f>94.4585 * CHOOSE(CONTROL!$C$13, $C$13, 100%, $E$13) + CHOOSE(CONTROL!$C$32, 0.0021, 0)</f>
        <v>94.460599999999999</v>
      </c>
      <c r="E985" s="4">
        <f>500.690591209942 * CHOOSE(CONTROL!$C$13, $C$13, 100%, $E$13) + CHOOSE(CONTROL!$C$32, 0.0021, 0)</f>
        <v>500.69269120994198</v>
      </c>
    </row>
    <row r="986" spans="1:5" ht="15">
      <c r="A986" s="13">
        <v>71163</v>
      </c>
      <c r="B986" s="4">
        <f>75.1011 * CHOOSE(CONTROL!$C$13, $C$13, 100%, $E$13) + CHOOSE(CONTROL!$C$32, 0.0272, 0)</f>
        <v>75.128299999999996</v>
      </c>
      <c r="C986" s="4">
        <f>74.7378 * CHOOSE(CONTROL!$C$13, $C$13, 100%, $E$13) + CHOOSE(CONTROL!$C$32, 0.0272, 0)</f>
        <v>74.764999999999986</v>
      </c>
      <c r="D986" s="4">
        <f>93.1824 * CHOOSE(CONTROL!$C$13, $C$13, 100%, $E$13) + CHOOSE(CONTROL!$C$32, 0.0021, 0)</f>
        <v>93.1845</v>
      </c>
      <c r="E986" s="4">
        <f>484.054916766289 * CHOOSE(CONTROL!$C$13, $C$13, 100%, $E$13) + CHOOSE(CONTROL!$C$32, 0.0021, 0)</f>
        <v>484.057016766289</v>
      </c>
    </row>
    <row r="987" spans="1:5" ht="15">
      <c r="A987" s="13">
        <v>71193</v>
      </c>
      <c r="B987" s="4">
        <f>73.4558 * CHOOSE(CONTROL!$C$13, $C$13, 100%, $E$13) + CHOOSE(CONTROL!$C$32, 0.0272, 0)</f>
        <v>73.48299999999999</v>
      </c>
      <c r="C987" s="4">
        <f>73.0926 * CHOOSE(CONTROL!$C$13, $C$13, 100%, $E$13) + CHOOSE(CONTROL!$C$32, 0.0272, 0)</f>
        <v>73.119799999999998</v>
      </c>
      <c r="D987" s="4">
        <f>92.7437 * CHOOSE(CONTROL!$C$13, $C$13, 100%, $E$13) + CHOOSE(CONTROL!$C$32, 0.0021, 0)</f>
        <v>92.745800000000003</v>
      </c>
      <c r="E987" s="4">
        <f>473.340300150186 * CHOOSE(CONTROL!$C$13, $C$13, 100%, $E$13) + CHOOSE(CONTROL!$C$32, 0.0021, 0)</f>
        <v>473.34240015018599</v>
      </c>
    </row>
    <row r="988" spans="1:5" ht="15">
      <c r="A988" s="13">
        <v>71224</v>
      </c>
      <c r="B988" s="4">
        <f>72.3175 * CHOOSE(CONTROL!$C$13, $C$13, 100%, $E$13) + CHOOSE(CONTROL!$C$32, 0.0272, 0)</f>
        <v>72.344699999999989</v>
      </c>
      <c r="C988" s="4">
        <f>71.9543 * CHOOSE(CONTROL!$C$13, $C$13, 100%, $E$13) + CHOOSE(CONTROL!$C$32, 0.0272, 0)</f>
        <v>71.981499999999997</v>
      </c>
      <c r="D988" s="4">
        <f>89.514 * CHOOSE(CONTROL!$C$13, $C$13, 100%, $E$13) + CHOOSE(CONTROL!$C$32, 0.0021, 0)</f>
        <v>89.516099999999994</v>
      </c>
      <c r="E988" s="4">
        <f>465.927162756059 * CHOOSE(CONTROL!$C$13, $C$13, 100%, $E$13) + CHOOSE(CONTROL!$C$32, 0.0021, 0)</f>
        <v>465.92926275605896</v>
      </c>
    </row>
    <row r="989" spans="1:5" ht="15">
      <c r="A989" s="13">
        <v>71255</v>
      </c>
      <c r="B989" s="4">
        <f>69.3341 * CHOOSE(CONTROL!$C$13, $C$13, 100%, $E$13) + CHOOSE(CONTROL!$C$32, 0.0272, 0)</f>
        <v>69.3613</v>
      </c>
      <c r="C989" s="4">
        <f>68.9708 * CHOOSE(CONTROL!$C$13, $C$13, 100%, $E$13) + CHOOSE(CONTROL!$C$32, 0.0272, 0)</f>
        <v>68.99799999999999</v>
      </c>
      <c r="D989" s="4">
        <f>85.7957 * CHOOSE(CONTROL!$C$13, $C$13, 100%, $E$13) + CHOOSE(CONTROL!$C$32, 0.0021, 0)</f>
        <v>85.797799999999995</v>
      </c>
      <c r="E989" s="4">
        <f>446.51940317412 * CHOOSE(CONTROL!$C$13, $C$13, 100%, $E$13) + CHOOSE(CONTROL!$C$32, 0.0021, 0)</f>
        <v>446.52150317411997</v>
      </c>
    </row>
    <row r="990" spans="1:5" ht="15">
      <c r="A990" s="13">
        <v>71283</v>
      </c>
      <c r="B990" s="4">
        <f>70.962 * CHOOSE(CONTROL!$C$13, $C$13, 100%, $E$13) + CHOOSE(CONTROL!$C$32, 0.0272, 0)</f>
        <v>70.989199999999997</v>
      </c>
      <c r="C990" s="4">
        <f>70.5987 * CHOOSE(CONTROL!$C$13, $C$13, 100%, $E$13) + CHOOSE(CONTROL!$C$32, 0.0272, 0)</f>
        <v>70.625899999999987</v>
      </c>
      <c r="D990" s="4">
        <f>88.7584 * CHOOSE(CONTROL!$C$13, $C$13, 100%, $E$13) + CHOOSE(CONTROL!$C$32, 0.0021, 0)</f>
        <v>88.760499999999993</v>
      </c>
      <c r="E990" s="4">
        <f>457.121533498005 * CHOOSE(CONTROL!$C$13, $C$13, 100%, $E$13) + CHOOSE(CONTROL!$C$32, 0.0021, 0)</f>
        <v>457.12363349800501</v>
      </c>
    </row>
    <row r="991" spans="1:5" ht="15">
      <c r="A991" s="13">
        <v>71314</v>
      </c>
      <c r="B991" s="4">
        <f>75.2369 * CHOOSE(CONTROL!$C$13, $C$13, 100%, $E$13) + CHOOSE(CONTROL!$C$32, 0.0272, 0)</f>
        <v>75.264099999999999</v>
      </c>
      <c r="C991" s="4">
        <f>74.8736 * CHOOSE(CONTROL!$C$13, $C$13, 100%, $E$13) + CHOOSE(CONTROL!$C$32, 0.0272, 0)</f>
        <v>74.90079999999999</v>
      </c>
      <c r="D991" s="4">
        <f>93.3963 * CHOOSE(CONTROL!$C$13, $C$13, 100%, $E$13) + CHOOSE(CONTROL!$C$32, 0.0021, 0)</f>
        <v>93.398399999999995</v>
      </c>
      <c r="E991" s="4">
        <f>484.963291159951 * CHOOSE(CONTROL!$C$13, $C$13, 100%, $E$13) + CHOOSE(CONTROL!$C$32, 0.0021, 0)</f>
        <v>484.96539115995097</v>
      </c>
    </row>
    <row r="992" spans="1:5" ht="15">
      <c r="A992" s="13">
        <v>71344</v>
      </c>
      <c r="B992" s="4">
        <f>78.2743 * CHOOSE(CONTROL!$C$13, $C$13, 100%, $E$13) + CHOOSE(CONTROL!$C$32, 0.0272, 0)</f>
        <v>78.30149999999999</v>
      </c>
      <c r="C992" s="4">
        <f>77.9111 * CHOOSE(CONTROL!$C$13, $C$13, 100%, $E$13) + CHOOSE(CONTROL!$C$32, 0.0272, 0)</f>
        <v>77.938299999999998</v>
      </c>
      <c r="D992" s="4">
        <f>96.0678 * CHOOSE(CONTROL!$C$13, $C$13, 100%, $E$13) + CHOOSE(CONTROL!$C$32, 0.0021, 0)</f>
        <v>96.069900000000004</v>
      </c>
      <c r="E992" s="4">
        <f>504.745231018969 * CHOOSE(CONTROL!$C$13, $C$13, 100%, $E$13) + CHOOSE(CONTROL!$C$32, 0.0021, 0)</f>
        <v>504.74733101896896</v>
      </c>
    </row>
    <row r="993" spans="1:5" ht="15">
      <c r="A993" s="13">
        <v>71375</v>
      </c>
      <c r="B993" s="4">
        <f>80.1301 * CHOOSE(CONTROL!$C$13, $C$13, 100%, $E$13) + CHOOSE(CONTROL!$C$32, 0.0272, 0)</f>
        <v>80.157299999999992</v>
      </c>
      <c r="C993" s="4">
        <f>79.7668 * CHOOSE(CONTROL!$C$13, $C$13, 100%, $E$13) + CHOOSE(CONTROL!$C$32, 0.0272, 0)</f>
        <v>79.793999999999997</v>
      </c>
      <c r="D993" s="4">
        <f>95.0122 * CHOOSE(CONTROL!$C$13, $C$13, 100%, $E$13) + CHOOSE(CONTROL!$C$32, 0.0021, 0)</f>
        <v>95.014300000000006</v>
      </c>
      <c r="E993" s="4">
        <f>516.831522165899 * CHOOSE(CONTROL!$C$13, $C$13, 100%, $E$13) + CHOOSE(CONTROL!$C$32, 0.0021, 0)</f>
        <v>516.83362216589899</v>
      </c>
    </row>
    <row r="994" spans="1:5" ht="15">
      <c r="A994" s="13">
        <v>71405</v>
      </c>
      <c r="B994" s="4">
        <f>80.3812 * CHOOSE(CONTROL!$C$13, $C$13, 100%, $E$13) + CHOOSE(CONTROL!$C$32, 0.0272, 0)</f>
        <v>80.4084</v>
      </c>
      <c r="C994" s="4">
        <f>80.0179 * CHOOSE(CONTROL!$C$13, $C$13, 100%, $E$13) + CHOOSE(CONTROL!$C$32, 0.0272, 0)</f>
        <v>80.045099999999991</v>
      </c>
      <c r="D994" s="4">
        <f>95.8719 * CHOOSE(CONTROL!$C$13, $C$13, 100%, $E$13) + CHOOSE(CONTROL!$C$32, 0.0021, 0)</f>
        <v>95.873999999999995</v>
      </c>
      <c r="E994" s="4">
        <f>518.466847517218 * CHOOSE(CONTROL!$C$13, $C$13, 100%, $E$13) + CHOOSE(CONTROL!$C$32, 0.0021, 0)</f>
        <v>518.468947517218</v>
      </c>
    </row>
    <row r="995" spans="1:5" ht="15">
      <c r="A995" s="13">
        <v>71436</v>
      </c>
      <c r="B995" s="4">
        <f>80.3559 * CHOOSE(CONTROL!$C$13, $C$13, 100%, $E$13) + CHOOSE(CONTROL!$C$32, 0.0272, 0)</f>
        <v>80.383099999999999</v>
      </c>
      <c r="C995" s="4">
        <f>79.9926 * CHOOSE(CONTROL!$C$13, $C$13, 100%, $E$13) + CHOOSE(CONTROL!$C$32, 0.0272, 0)</f>
        <v>80.019799999999989</v>
      </c>
      <c r="D995" s="4">
        <f>97.4233 * CHOOSE(CONTROL!$C$13, $C$13, 100%, $E$13) + CHOOSE(CONTROL!$C$32, 0.0021, 0)</f>
        <v>97.425399999999996</v>
      </c>
      <c r="E995" s="4">
        <f>518.301940759102 * CHOOSE(CONTROL!$C$13, $C$13, 100%, $E$13) + CHOOSE(CONTROL!$C$32, 0.0021, 0)</f>
        <v>518.30404075910201</v>
      </c>
    </row>
    <row r="996" spans="1:5" ht="15">
      <c r="A996" s="13">
        <v>71467</v>
      </c>
      <c r="B996" s="4">
        <f>82.2613 * CHOOSE(CONTROL!$C$13, $C$13, 100%, $E$13) + CHOOSE(CONTROL!$C$32, 0.0272, 0)</f>
        <v>82.288499999999999</v>
      </c>
      <c r="C996" s="4">
        <f>81.898 * CHOOSE(CONTROL!$C$13, $C$13, 100%, $E$13) + CHOOSE(CONTROL!$C$32, 0.0272, 0)</f>
        <v>81.92519999999999</v>
      </c>
      <c r="D996" s="4">
        <f>96.3987 * CHOOSE(CONTROL!$C$13, $C$13, 100%, $E$13) + CHOOSE(CONTROL!$C$32, 0.0021, 0)</f>
        <v>96.400800000000004</v>
      </c>
      <c r="E996" s="4">
        <f>530.711174307343 * CHOOSE(CONTROL!$C$13, $C$13, 100%, $E$13) + CHOOSE(CONTROL!$C$32, 0.0021, 0)</f>
        <v>530.713274307343</v>
      </c>
    </row>
    <row r="997" spans="1:5" ht="15">
      <c r="A997" s="13">
        <v>71497</v>
      </c>
      <c r="B997" s="4">
        <f>79.0139 * CHOOSE(CONTROL!$C$13, $C$13, 100%, $E$13) + CHOOSE(CONTROL!$C$32, 0.0272, 0)</f>
        <v>79.0411</v>
      </c>
      <c r="C997" s="4">
        <f>78.6506 * CHOOSE(CONTROL!$C$13, $C$13, 100%, $E$13) + CHOOSE(CONTROL!$C$32, 0.0272, 0)</f>
        <v>78.677799999999991</v>
      </c>
      <c r="D997" s="4">
        <f>95.9147 * CHOOSE(CONTROL!$C$13, $C$13, 100%, $E$13) + CHOOSE(CONTROL!$C$32, 0.0021, 0)</f>
        <v>95.916799999999995</v>
      </c>
      <c r="E997" s="4">
        <f>509.561882578945 * CHOOSE(CONTROL!$C$13, $C$13, 100%, $E$13) + CHOOSE(CONTROL!$C$32, 0.0021, 0)</f>
        <v>509.563982578945</v>
      </c>
    </row>
    <row r="998" spans="1:5" ht="15">
      <c r="A998" s="13">
        <v>71528</v>
      </c>
      <c r="B998" s="4">
        <f>76.4143 * CHOOSE(CONTROL!$C$13, $C$13, 100%, $E$13) + CHOOSE(CONTROL!$C$32, 0.0272, 0)</f>
        <v>76.441499999999991</v>
      </c>
      <c r="C998" s="4">
        <f>76.0511 * CHOOSE(CONTROL!$C$13, $C$13, 100%, $E$13) + CHOOSE(CONTROL!$C$32, 0.0272, 0)</f>
        <v>76.078299999999999</v>
      </c>
      <c r="D998" s="4">
        <f>94.6186 * CHOOSE(CONTROL!$C$13, $C$13, 100%, $E$13) + CHOOSE(CONTROL!$C$32, 0.0021, 0)</f>
        <v>94.620699999999999</v>
      </c>
      <c r="E998" s="4">
        <f>492.631455412352 * CHOOSE(CONTROL!$C$13, $C$13, 100%, $E$13) + CHOOSE(CONTROL!$C$32, 0.0021, 0)</f>
        <v>492.633555412352</v>
      </c>
    </row>
    <row r="999" spans="1:5" ht="15">
      <c r="A999" s="13">
        <v>71558</v>
      </c>
      <c r="B999" s="4">
        <f>74.74 * CHOOSE(CONTROL!$C$13, $C$13, 100%, $E$13) + CHOOSE(CONTROL!$C$32, 0.0272, 0)</f>
        <v>74.767199999999988</v>
      </c>
      <c r="C999" s="4">
        <f>74.3767 * CHOOSE(CONTROL!$C$13, $C$13, 100%, $E$13) + CHOOSE(CONTROL!$C$32, 0.0272, 0)</f>
        <v>74.403899999999993</v>
      </c>
      <c r="D999" s="4">
        <f>94.173 * CHOOSE(CONTROL!$C$13, $C$13, 100%, $E$13) + CHOOSE(CONTROL!$C$32, 0.0021, 0)</f>
        <v>94.1751</v>
      </c>
      <c r="E999" s="4">
        <f>481.726996031921 * CHOOSE(CONTROL!$C$13, $C$13, 100%, $E$13) + CHOOSE(CONTROL!$C$32, 0.0021, 0)</f>
        <v>481.72909603192096</v>
      </c>
    </row>
    <row r="1000" spans="1:5" ht="15">
      <c r="A1000" s="13">
        <v>71589</v>
      </c>
      <c r="B1000" s="4">
        <f>73.5816 * CHOOSE(CONTROL!$C$13, $C$13, 100%, $E$13) + CHOOSE(CONTROL!$C$32, 0.0272, 0)</f>
        <v>73.608799999999988</v>
      </c>
      <c r="C1000" s="4">
        <f>73.2183 * CHOOSE(CONTROL!$C$13, $C$13, 100%, $E$13) + CHOOSE(CONTROL!$C$32, 0.0272, 0)</f>
        <v>73.245499999999993</v>
      </c>
      <c r="D1000" s="4">
        <f>90.8925 * CHOOSE(CONTROL!$C$13, $C$13, 100%, $E$13) + CHOOSE(CONTROL!$C$32, 0.0021, 0)</f>
        <v>90.894599999999997</v>
      </c>
      <c r="E1000" s="4">
        <f>474.182511848107 * CHOOSE(CONTROL!$C$13, $C$13, 100%, $E$13) + CHOOSE(CONTROL!$C$32, 0.0021, 0)</f>
        <v>474.18461184810701</v>
      </c>
    </row>
    <row r="1001" spans="1:5" ht="15">
      <c r="A1001" s="13">
        <v>71620</v>
      </c>
      <c r="B1001" s="4">
        <f>70.5454 * CHOOSE(CONTROL!$C$13, $C$13, 100%, $E$13) + CHOOSE(CONTROL!$C$32, 0.0272, 0)</f>
        <v>70.572599999999994</v>
      </c>
      <c r="C1001" s="4">
        <f>70.1821 * CHOOSE(CONTROL!$C$13, $C$13, 100%, $E$13) + CHOOSE(CONTROL!$C$32, 0.0272, 0)</f>
        <v>70.209299999999999</v>
      </c>
      <c r="D1001" s="4">
        <f>87.1157 * CHOOSE(CONTROL!$C$13, $C$13, 100%, $E$13) + CHOOSE(CONTROL!$C$32, 0.0021, 0)</f>
        <v>87.117800000000003</v>
      </c>
      <c r="E1001" s="4">
        <f>454.430883431615 * CHOOSE(CONTROL!$C$13, $C$13, 100%, $E$13) + CHOOSE(CONTROL!$C$32, 0.0021, 0)</f>
        <v>454.43298343161496</v>
      </c>
    </row>
    <row r="1002" spans="1:5" ht="15">
      <c r="A1002" s="13">
        <v>71649</v>
      </c>
      <c r="B1002" s="4">
        <f>72.2021 * CHOOSE(CONTROL!$C$13, $C$13, 100%, $E$13) + CHOOSE(CONTROL!$C$32, 0.0272, 0)</f>
        <v>72.229299999999995</v>
      </c>
      <c r="C1002" s="4">
        <f>71.8388 * CHOOSE(CONTROL!$C$13, $C$13, 100%, $E$13) + CHOOSE(CONTROL!$C$32, 0.0272, 0)</f>
        <v>71.866</v>
      </c>
      <c r="D1002" s="4">
        <f>90.125 * CHOOSE(CONTROL!$C$13, $C$13, 100%, $E$13) + CHOOSE(CONTROL!$C$32, 0.0021, 0)</f>
        <v>90.127099999999999</v>
      </c>
      <c r="E1002" s="4">
        <f>465.220863475241 * CHOOSE(CONTROL!$C$13, $C$13, 100%, $E$13) + CHOOSE(CONTROL!$C$32, 0.0021, 0)</f>
        <v>465.22296347524099</v>
      </c>
    </row>
    <row r="1003" spans="1:5" ht="15">
      <c r="A1003" s="13">
        <v>71680</v>
      </c>
      <c r="B1003" s="4">
        <f>76.5526 * CHOOSE(CONTROL!$C$13, $C$13, 100%, $E$13) + CHOOSE(CONTROL!$C$32, 0.0272, 0)</f>
        <v>76.579799999999992</v>
      </c>
      <c r="C1003" s="4">
        <f>76.1893 * CHOOSE(CONTROL!$C$13, $C$13, 100%, $E$13) + CHOOSE(CONTROL!$C$32, 0.0272, 0)</f>
        <v>76.216499999999996</v>
      </c>
      <c r="D1003" s="4">
        <f>94.8358 * CHOOSE(CONTROL!$C$13, $C$13, 100%, $E$13) + CHOOSE(CONTROL!$C$32, 0.0021, 0)</f>
        <v>94.837900000000005</v>
      </c>
      <c r="E1003" s="4">
        <f>493.555924484164 * CHOOSE(CONTROL!$C$13, $C$13, 100%, $E$13) + CHOOSE(CONTROL!$C$32, 0.0021, 0)</f>
        <v>493.55802448416398</v>
      </c>
    </row>
    <row r="1004" spans="1:5" ht="15">
      <c r="A1004" s="13">
        <v>71710</v>
      </c>
      <c r="B1004" s="4">
        <f>79.6436 * CHOOSE(CONTROL!$C$13, $C$13, 100%, $E$13) + CHOOSE(CONTROL!$C$32, 0.0272, 0)</f>
        <v>79.6708</v>
      </c>
      <c r="C1004" s="4">
        <f>79.2804 * CHOOSE(CONTROL!$C$13, $C$13, 100%, $E$13) + CHOOSE(CONTROL!$C$32, 0.0272, 0)</f>
        <v>79.307599999999994</v>
      </c>
      <c r="D1004" s="4">
        <f>97.5494 * CHOOSE(CONTROL!$C$13, $C$13, 100%, $E$13) + CHOOSE(CONTROL!$C$32, 0.0021, 0)</f>
        <v>97.551500000000004</v>
      </c>
      <c r="E1004" s="4">
        <f>513.688362945342 * CHOOSE(CONTROL!$C$13, $C$13, 100%, $E$13) + CHOOSE(CONTROL!$C$32, 0.0021, 0)</f>
        <v>513.69046294534201</v>
      </c>
    </row>
    <row r="1005" spans="1:5" ht="15">
      <c r="A1005" s="13">
        <v>71741</v>
      </c>
      <c r="B1005" s="4">
        <f>81.5322 * CHOOSE(CONTROL!$C$13, $C$13, 100%, $E$13) + CHOOSE(CONTROL!$C$32, 0.0272, 0)</f>
        <v>81.559399999999997</v>
      </c>
      <c r="C1005" s="4">
        <f>81.1689 * CHOOSE(CONTROL!$C$13, $C$13, 100%, $E$13) + CHOOSE(CONTROL!$C$32, 0.0272, 0)</f>
        <v>81.196099999999987</v>
      </c>
      <c r="D1005" s="4">
        <f>96.4771 * CHOOSE(CONTROL!$C$13, $C$13, 100%, $E$13) + CHOOSE(CONTROL!$C$32, 0.0021, 0)</f>
        <v>96.479199999999992</v>
      </c>
      <c r="E1005" s="4">
        <f>525.988800337912 * CHOOSE(CONTROL!$C$13, $C$13, 100%, $E$13) + CHOOSE(CONTROL!$C$32, 0.0021, 0)</f>
        <v>525.99090033791208</v>
      </c>
    </row>
    <row r="1006" spans="1:5" ht="15">
      <c r="A1006" s="13">
        <v>71771</v>
      </c>
      <c r="B1006" s="4">
        <f>81.7878 * CHOOSE(CONTROL!$C$13, $C$13, 100%, $E$13) + CHOOSE(CONTROL!$C$32, 0.0272, 0)</f>
        <v>81.814999999999998</v>
      </c>
      <c r="C1006" s="4">
        <f>81.4245 * CHOOSE(CONTROL!$C$13, $C$13, 100%, $E$13) + CHOOSE(CONTROL!$C$32, 0.0272, 0)</f>
        <v>81.451699999999988</v>
      </c>
      <c r="D1006" s="4">
        <f>97.3504 * CHOOSE(CONTROL!$C$13, $C$13, 100%, $E$13) + CHOOSE(CONTROL!$C$32, 0.0021, 0)</f>
        <v>97.352499999999992</v>
      </c>
      <c r="E1006" s="4">
        <f>527.653100564991 * CHOOSE(CONTROL!$C$13, $C$13, 100%, $E$13) + CHOOSE(CONTROL!$C$32, 0.0021, 0)</f>
        <v>527.65520056499099</v>
      </c>
    </row>
    <row r="1007" spans="1:5" ht="15">
      <c r="A1007" s="13">
        <v>71802</v>
      </c>
      <c r="B1007" s="4">
        <f>81.762 * CHOOSE(CONTROL!$C$13, $C$13, 100%, $E$13) + CHOOSE(CONTROL!$C$32, 0.0272, 0)</f>
        <v>81.789199999999994</v>
      </c>
      <c r="C1007" s="4">
        <f>81.3987 * CHOOSE(CONTROL!$C$13, $C$13, 100%, $E$13) + CHOOSE(CONTROL!$C$32, 0.0272, 0)</f>
        <v>81.425899999999999</v>
      </c>
      <c r="D1007" s="4">
        <f>98.9261 * CHOOSE(CONTROL!$C$13, $C$13, 100%, $E$13) + CHOOSE(CONTROL!$C$32, 0.0021, 0)</f>
        <v>98.928200000000004</v>
      </c>
      <c r="E1007" s="4">
        <f>527.485271970664 * CHOOSE(CONTROL!$C$13, $C$13, 100%, $E$13) + CHOOSE(CONTROL!$C$32, 0.0021, 0)</f>
        <v>527.48737197066407</v>
      </c>
    </row>
    <row r="1008" spans="1:5" ht="15">
      <c r="A1008" s="13">
        <v>71833</v>
      </c>
      <c r="B1008" s="4">
        <f>83.701 * CHOOSE(CONTROL!$C$13, $C$13, 100%, $E$13) + CHOOSE(CONTROL!$C$32, 0.0272, 0)</f>
        <v>83.728199999999987</v>
      </c>
      <c r="C1008" s="4">
        <f>83.3377 * CHOOSE(CONTROL!$C$13, $C$13, 100%, $E$13) + CHOOSE(CONTROL!$C$32, 0.0272, 0)</f>
        <v>83.364899999999992</v>
      </c>
      <c r="D1008" s="4">
        <f>97.8855 * CHOOSE(CONTROL!$C$13, $C$13, 100%, $E$13) + CHOOSE(CONTROL!$C$32, 0.0021, 0)</f>
        <v>97.887599999999992</v>
      </c>
      <c r="E1008" s="4">
        <f>540.114373693792 * CHOOSE(CONTROL!$C$13, $C$13, 100%, $E$13) + CHOOSE(CONTROL!$C$32, 0.0021, 0)</f>
        <v>540.11647369379205</v>
      </c>
    </row>
    <row r="1009" spans="1:5" ht="15">
      <c r="A1009" s="13">
        <v>71863</v>
      </c>
      <c r="B1009" s="4">
        <f>80.3963 * CHOOSE(CONTROL!$C$13, $C$13, 100%, $E$13) + CHOOSE(CONTROL!$C$32, 0.0272, 0)</f>
        <v>80.42349999999999</v>
      </c>
      <c r="C1009" s="4">
        <f>80.033 * CHOOSE(CONTROL!$C$13, $C$13, 100%, $E$13) + CHOOSE(CONTROL!$C$32, 0.0272, 0)</f>
        <v>80.060199999999995</v>
      </c>
      <c r="D1009" s="4">
        <f>97.3938 * CHOOSE(CONTROL!$C$13, $C$13, 100%, $E$13) + CHOOSE(CONTROL!$C$32, 0.0021, 0)</f>
        <v>97.395899999999997</v>
      </c>
      <c r="E1009" s="4">
        <f>518.590356471318 * CHOOSE(CONTROL!$C$13, $C$13, 100%, $E$13) + CHOOSE(CONTROL!$C$32, 0.0021, 0)</f>
        <v>518.59245647131809</v>
      </c>
    </row>
    <row r="1010" spans="1:5" ht="15">
      <c r="A1010" s="13">
        <v>71894</v>
      </c>
      <c r="B1010" s="4">
        <f>77.7508 * CHOOSE(CONTROL!$C$13, $C$13, 100%, $E$13) + CHOOSE(CONTROL!$C$32, 0.0272, 0)</f>
        <v>77.777999999999992</v>
      </c>
      <c r="C1010" s="4">
        <f>77.3875 * CHOOSE(CONTROL!$C$13, $C$13, 100%, $E$13) + CHOOSE(CONTROL!$C$32, 0.0272, 0)</f>
        <v>77.414699999999996</v>
      </c>
      <c r="D1010" s="4">
        <f>96.0774 * CHOOSE(CONTROL!$C$13, $C$13, 100%, $E$13) + CHOOSE(CONTROL!$C$32, 0.0021, 0)</f>
        <v>96.079499999999996</v>
      </c>
      <c r="E1010" s="4">
        <f>501.359954120383 * CHOOSE(CONTROL!$C$13, $C$13, 100%, $E$13) + CHOOSE(CONTROL!$C$32, 0.0021, 0)</f>
        <v>501.36205412038299</v>
      </c>
    </row>
    <row r="1011" spans="1:5" ht="15">
      <c r="A1011" s="13">
        <v>71924</v>
      </c>
      <c r="B1011" s="4">
        <f>76.0469 * CHOOSE(CONTROL!$C$13, $C$13, 100%, $E$13) + CHOOSE(CONTROL!$C$32, 0.0272, 0)</f>
        <v>76.074099999999987</v>
      </c>
      <c r="C1011" s="4">
        <f>75.6836 * CHOOSE(CONTROL!$C$13, $C$13, 100%, $E$13) + CHOOSE(CONTROL!$C$32, 0.0272, 0)</f>
        <v>75.710799999999992</v>
      </c>
      <c r="D1011" s="4">
        <f>95.6248 * CHOOSE(CONTROL!$C$13, $C$13, 100%, $E$13) + CHOOSE(CONTROL!$C$32, 0.0021, 0)</f>
        <v>95.626899999999992</v>
      </c>
      <c r="E1011" s="4">
        <f>490.262288320491 * CHOOSE(CONTROL!$C$13, $C$13, 100%, $E$13) + CHOOSE(CONTROL!$C$32, 0.0021, 0)</f>
        <v>490.26438832049098</v>
      </c>
    </row>
    <row r="1012" spans="1:5" ht="15">
      <c r="A1012" s="13">
        <v>71955</v>
      </c>
      <c r="B1012" s="4">
        <f>74.868 * CHOOSE(CONTROL!$C$13, $C$13, 100%, $E$13) + CHOOSE(CONTROL!$C$32, 0.0272, 0)</f>
        <v>74.895199999999988</v>
      </c>
      <c r="C1012" s="4">
        <f>74.5047 * CHOOSE(CONTROL!$C$13, $C$13, 100%, $E$13) + CHOOSE(CONTROL!$C$32, 0.0272, 0)</f>
        <v>74.531899999999993</v>
      </c>
      <c r="D1012" s="4">
        <f>92.2927 * CHOOSE(CONTROL!$C$13, $C$13, 100%, $E$13) + CHOOSE(CONTROL!$C$32, 0.0021, 0)</f>
        <v>92.294799999999995</v>
      </c>
      <c r="E1012" s="4">
        <f>482.584130130018 * CHOOSE(CONTROL!$C$13, $C$13, 100%, $E$13) + CHOOSE(CONTROL!$C$32, 0.0021, 0)</f>
        <v>482.58623013001801</v>
      </c>
    </row>
    <row r="1013" spans="1:5" ht="15">
      <c r="A1013" s="13">
        <v>71986</v>
      </c>
      <c r="B1013" s="4">
        <f>71.7782 * CHOOSE(CONTROL!$C$13, $C$13, 100%, $E$13) + CHOOSE(CONTROL!$C$32, 0.0272, 0)</f>
        <v>71.805399999999992</v>
      </c>
      <c r="C1013" s="4">
        <f>71.4149 * CHOOSE(CONTROL!$C$13, $C$13, 100%, $E$13) + CHOOSE(CONTROL!$C$32, 0.0272, 0)</f>
        <v>71.442099999999996</v>
      </c>
      <c r="D1013" s="4">
        <f>88.4564 * CHOOSE(CONTROL!$C$13, $C$13, 100%, $E$13) + CHOOSE(CONTROL!$C$32, 0.0021, 0)</f>
        <v>88.458500000000001</v>
      </c>
      <c r="E1013" s="4">
        <f>462.482540172864 * CHOOSE(CONTROL!$C$13, $C$13, 100%, $E$13) + CHOOSE(CONTROL!$C$32, 0.0021, 0)</f>
        <v>462.48464017286398</v>
      </c>
    </row>
    <row r="1014" spans="1:5" ht="15">
      <c r="A1014" s="13">
        <v>72014</v>
      </c>
      <c r="B1014" s="4">
        <f>73.4641 * CHOOSE(CONTROL!$C$13, $C$13, 100%, $E$13) + CHOOSE(CONTROL!$C$32, 0.0272, 0)</f>
        <v>73.491299999999995</v>
      </c>
      <c r="C1014" s="4">
        <f>73.1008 * CHOOSE(CONTROL!$C$13, $C$13, 100%, $E$13) + CHOOSE(CONTROL!$C$32, 0.0272, 0)</f>
        <v>73.128</v>
      </c>
      <c r="D1014" s="4">
        <f>91.513 * CHOOSE(CONTROL!$C$13, $C$13, 100%, $E$13) + CHOOSE(CONTROL!$C$32, 0.0021, 0)</f>
        <v>91.515100000000004</v>
      </c>
      <c r="E1014" s="4">
        <f>473.463698278377 * CHOOSE(CONTROL!$C$13, $C$13, 100%, $E$13) + CHOOSE(CONTROL!$C$32, 0.0021, 0)</f>
        <v>473.46579827837701</v>
      </c>
    </row>
    <row r="1015" spans="1:5" ht="15">
      <c r="A1015" s="13">
        <v>72045</v>
      </c>
      <c r="B1015" s="4">
        <f>77.8915 * CHOOSE(CONTROL!$C$13, $C$13, 100%, $E$13) + CHOOSE(CONTROL!$C$32, 0.0272, 0)</f>
        <v>77.918699999999987</v>
      </c>
      <c r="C1015" s="4">
        <f>77.5282 * CHOOSE(CONTROL!$C$13, $C$13, 100%, $E$13) + CHOOSE(CONTROL!$C$32, 0.0272, 0)</f>
        <v>77.555399999999992</v>
      </c>
      <c r="D1015" s="4">
        <f>96.298 * CHOOSE(CONTROL!$C$13, $C$13, 100%, $E$13) + CHOOSE(CONTROL!$C$32, 0.0021, 0)</f>
        <v>96.3001</v>
      </c>
      <c r="E1015" s="4">
        <f>502.300803037636 * CHOOSE(CONTROL!$C$13, $C$13, 100%, $E$13) + CHOOSE(CONTROL!$C$32, 0.0021, 0)</f>
        <v>502.30290303763599</v>
      </c>
    </row>
    <row r="1016" spans="1:5" ht="15">
      <c r="A1016" s="13">
        <v>72075</v>
      </c>
      <c r="B1016" s="4">
        <f>81.0371 * CHOOSE(CONTROL!$C$13, $C$13, 100%, $E$13) + CHOOSE(CONTROL!$C$32, 0.0272, 0)</f>
        <v>81.064299999999989</v>
      </c>
      <c r="C1016" s="4">
        <f>80.6739 * CHOOSE(CONTROL!$C$13, $C$13, 100%, $E$13) + CHOOSE(CONTROL!$C$32, 0.0272, 0)</f>
        <v>80.701099999999997</v>
      </c>
      <c r="D1016" s="4">
        <f>99.0542 * CHOOSE(CONTROL!$C$13, $C$13, 100%, $E$13) + CHOOSE(CONTROL!$C$32, 0.0021, 0)</f>
        <v>99.056299999999993</v>
      </c>
      <c r="E1016" s="4">
        <f>522.789950274039 * CHOOSE(CONTROL!$C$13, $C$13, 100%, $E$13) + CHOOSE(CONTROL!$C$32, 0.0021, 0)</f>
        <v>522.79205027403907</v>
      </c>
    </row>
    <row r="1017" spans="1:5" ht="15">
      <c r="A1017" s="13">
        <v>72106</v>
      </c>
      <c r="B1017" s="4">
        <f>82.9591 * CHOOSE(CONTROL!$C$13, $C$13, 100%, $E$13) + CHOOSE(CONTROL!$C$32, 0.0272, 0)</f>
        <v>82.9863</v>
      </c>
      <c r="C1017" s="4">
        <f>82.5958 * CHOOSE(CONTROL!$C$13, $C$13, 100%, $E$13) + CHOOSE(CONTROL!$C$32, 0.0272, 0)</f>
        <v>82.62299999999999</v>
      </c>
      <c r="D1017" s="4">
        <f>97.9651 * CHOOSE(CONTROL!$C$13, $C$13, 100%, $E$13) + CHOOSE(CONTROL!$C$32, 0.0021, 0)</f>
        <v>97.967200000000005</v>
      </c>
      <c r="E1017" s="4">
        <f>535.308328179157 * CHOOSE(CONTROL!$C$13, $C$13, 100%, $E$13) + CHOOSE(CONTROL!$C$32, 0.0021, 0)</f>
        <v>535.31042817915704</v>
      </c>
    </row>
    <row r="1018" spans="1:5" ht="15">
      <c r="A1018" s="13">
        <v>72136</v>
      </c>
      <c r="B1018" s="4">
        <f>83.2191 * CHOOSE(CONTROL!$C$13, $C$13, 100%, $E$13) + CHOOSE(CONTROL!$C$32, 0.0272, 0)</f>
        <v>83.246299999999991</v>
      </c>
      <c r="C1018" s="4">
        <f>82.8559 * CHOOSE(CONTROL!$C$13, $C$13, 100%, $E$13) + CHOOSE(CONTROL!$C$32, 0.0272, 0)</f>
        <v>82.883099999999999</v>
      </c>
      <c r="D1018" s="4">
        <f>98.8521 * CHOOSE(CONTROL!$C$13, $C$13, 100%, $E$13) + CHOOSE(CONTROL!$C$32, 0.0021, 0)</f>
        <v>98.854199999999992</v>
      </c>
      <c r="E1018" s="4">
        <f>537.002116662055 * CHOOSE(CONTROL!$C$13, $C$13, 100%, $E$13) + CHOOSE(CONTROL!$C$32, 0.0021, 0)</f>
        <v>537.004216662055</v>
      </c>
    </row>
    <row r="1019" spans="1:5" ht="15">
      <c r="A1019" s="13">
        <v>72167</v>
      </c>
      <c r="B1019" s="4">
        <f>83.1929 * CHOOSE(CONTROL!$C$13, $C$13, 100%, $E$13) + CHOOSE(CONTROL!$C$32, 0.0272, 0)</f>
        <v>83.220099999999988</v>
      </c>
      <c r="C1019" s="4">
        <f>82.8296 * CHOOSE(CONTROL!$C$13, $C$13, 100%, $E$13) + CHOOSE(CONTROL!$C$32, 0.0272, 0)</f>
        <v>82.856799999999993</v>
      </c>
      <c r="D1019" s="4">
        <f>100.4526 * CHOOSE(CONTROL!$C$13, $C$13, 100%, $E$13) + CHOOSE(CONTROL!$C$32, 0.0021, 0)</f>
        <v>100.4547</v>
      </c>
      <c r="E1019" s="4">
        <f>536.831314462099 * CHOOSE(CONTROL!$C$13, $C$13, 100%, $E$13) + CHOOSE(CONTROL!$C$32, 0.0021, 0)</f>
        <v>536.83341446209909</v>
      </c>
    </row>
    <row r="1020" spans="1:5" ht="15">
      <c r="A1020" s="13">
        <v>72198</v>
      </c>
      <c r="B1020" s="4">
        <f>85.1662 * CHOOSE(CONTROL!$C$13, $C$13, 100%, $E$13) + CHOOSE(CONTROL!$C$32, 0.0272, 0)</f>
        <v>85.193399999999997</v>
      </c>
      <c r="C1020" s="4">
        <f>84.8029 * CHOOSE(CONTROL!$C$13, $C$13, 100%, $E$13) + CHOOSE(CONTROL!$C$32, 0.0272, 0)</f>
        <v>84.830099999999987</v>
      </c>
      <c r="D1020" s="4">
        <f>99.3956 * CHOOSE(CONTROL!$C$13, $C$13, 100%, $E$13) + CHOOSE(CONTROL!$C$32, 0.0021, 0)</f>
        <v>99.3977</v>
      </c>
      <c r="E1020" s="4">
        <f>549.684180008797 * CHOOSE(CONTROL!$C$13, $C$13, 100%, $E$13) + CHOOSE(CONTROL!$C$32, 0.0021, 0)</f>
        <v>549.6862800087971</v>
      </c>
    </row>
    <row r="1021" spans="1:5" ht="15">
      <c r="A1021" s="13">
        <v>72228</v>
      </c>
      <c r="B1021" s="4">
        <f>81.8031 * CHOOSE(CONTROL!$C$13, $C$13, 100%, $E$13) + CHOOSE(CONTROL!$C$32, 0.0272, 0)</f>
        <v>81.830299999999994</v>
      </c>
      <c r="C1021" s="4">
        <f>81.4398 * CHOOSE(CONTROL!$C$13, $C$13, 100%, $E$13) + CHOOSE(CONTROL!$C$32, 0.0272, 0)</f>
        <v>81.466999999999999</v>
      </c>
      <c r="D1021" s="4">
        <f>98.8962 * CHOOSE(CONTROL!$C$13, $C$13, 100%, $E$13) + CHOOSE(CONTROL!$C$32, 0.0021, 0)</f>
        <v>98.898299999999992</v>
      </c>
      <c r="E1021" s="4">
        <f>527.778797864424 * CHOOSE(CONTROL!$C$13, $C$13, 100%, $E$13) + CHOOSE(CONTROL!$C$32, 0.0021, 0)</f>
        <v>527.78089786442399</v>
      </c>
    </row>
    <row r="1022" spans="1:5" ht="15">
      <c r="A1022" s="13">
        <v>72259</v>
      </c>
      <c r="B1022" s="4">
        <f>79.1108 * CHOOSE(CONTROL!$C$13, $C$13, 100%, $E$13) + CHOOSE(CONTROL!$C$32, 0.0272, 0)</f>
        <v>79.137999999999991</v>
      </c>
      <c r="C1022" s="4">
        <f>78.7476 * CHOOSE(CONTROL!$C$13, $C$13, 100%, $E$13) + CHOOSE(CONTROL!$C$32, 0.0272, 0)</f>
        <v>78.774799999999999</v>
      </c>
      <c r="D1022" s="4">
        <f>97.559 * CHOOSE(CONTROL!$C$13, $C$13, 100%, $E$13) + CHOOSE(CONTROL!$C$32, 0.0021, 0)</f>
        <v>97.561099999999996</v>
      </c>
      <c r="E1022" s="4">
        <f>510.243105335595 * CHOOSE(CONTROL!$C$13, $C$13, 100%, $E$13) + CHOOSE(CONTROL!$C$32, 0.0021, 0)</f>
        <v>510.24520533559496</v>
      </c>
    </row>
    <row r="1023" spans="1:5" ht="15">
      <c r="A1023" s="13">
        <v>72289</v>
      </c>
      <c r="B1023" s="4">
        <f>77.3768 * CHOOSE(CONTROL!$C$13, $C$13, 100%, $E$13) + CHOOSE(CONTROL!$C$32, 0.0272, 0)</f>
        <v>77.403999999999996</v>
      </c>
      <c r="C1023" s="4">
        <f>77.0135 * CHOOSE(CONTROL!$C$13, $C$13, 100%, $E$13) + CHOOSE(CONTROL!$C$32, 0.0272, 0)</f>
        <v>77.040699999999987</v>
      </c>
      <c r="D1023" s="4">
        <f>97.0993 * CHOOSE(CONTROL!$C$13, $C$13, 100%, $E$13) + CHOOSE(CONTROL!$C$32, 0.0021, 0)</f>
        <v>97.101399999999998</v>
      </c>
      <c r="E1023" s="4">
        <f>498.948809863497 * CHOOSE(CONTROL!$C$13, $C$13, 100%, $E$13) + CHOOSE(CONTROL!$C$32, 0.0021, 0)</f>
        <v>498.95090986349697</v>
      </c>
    </row>
    <row r="1024" spans="1:5" ht="15">
      <c r="A1024" s="13">
        <v>72320</v>
      </c>
      <c r="B1024" s="4">
        <f>76.1771 * CHOOSE(CONTROL!$C$13, $C$13, 100%, $E$13) + CHOOSE(CONTROL!$C$32, 0.0272, 0)</f>
        <v>76.204299999999989</v>
      </c>
      <c r="C1024" s="4">
        <f>75.8138 * CHOOSE(CONTROL!$C$13, $C$13, 100%, $E$13) + CHOOSE(CONTROL!$C$32, 0.0272, 0)</f>
        <v>75.840999999999994</v>
      </c>
      <c r="D1024" s="4">
        <f>93.7149 * CHOOSE(CONTROL!$C$13, $C$13, 100%, $E$13) + CHOOSE(CONTROL!$C$32, 0.0021, 0)</f>
        <v>93.716999999999999</v>
      </c>
      <c r="E1024" s="4">
        <f>491.134609215504 * CHOOSE(CONTROL!$C$13, $C$13, 100%, $E$13) + CHOOSE(CONTROL!$C$32, 0.0021, 0)</f>
        <v>491.13670921550397</v>
      </c>
    </row>
    <row r="1025" spans="1:5" ht="15">
      <c r="A1025" s="13">
        <v>72351</v>
      </c>
      <c r="B1025" s="4">
        <f>73.0327 * CHOOSE(CONTROL!$C$13, $C$13, 100%, $E$13) + CHOOSE(CONTROL!$C$32, 0.0272, 0)</f>
        <v>73.059899999999999</v>
      </c>
      <c r="C1025" s="4">
        <f>72.6694 * CHOOSE(CONTROL!$C$13, $C$13, 100%, $E$13) + CHOOSE(CONTROL!$C$32, 0.0272, 0)</f>
        <v>72.696599999999989</v>
      </c>
      <c r="D1025" s="4">
        <f>89.8183 * CHOOSE(CONTROL!$C$13, $C$13, 100%, $E$13) + CHOOSE(CONTROL!$C$32, 0.0021, 0)</f>
        <v>89.820399999999992</v>
      </c>
      <c r="E1025" s="4">
        <f>470.676857060337 * CHOOSE(CONTROL!$C$13, $C$13, 100%, $E$13) + CHOOSE(CONTROL!$C$32, 0.0021, 0)</f>
        <v>470.67895706033698</v>
      </c>
    </row>
    <row r="1026" spans="1:5" ht="15">
      <c r="A1026" s="13">
        <v>72379</v>
      </c>
      <c r="B1026" s="4">
        <f>74.7484 * CHOOSE(CONTROL!$C$13, $C$13, 100%, $E$13) + CHOOSE(CONTROL!$C$32, 0.0272, 0)</f>
        <v>74.775599999999997</v>
      </c>
      <c r="C1026" s="4">
        <f>74.3851 * CHOOSE(CONTROL!$C$13, $C$13, 100%, $E$13) + CHOOSE(CONTROL!$C$32, 0.0272, 0)</f>
        <v>74.412299999999988</v>
      </c>
      <c r="D1026" s="4">
        <f>92.923 * CHOOSE(CONTROL!$C$13, $C$13, 100%, $E$13) + CHOOSE(CONTROL!$C$32, 0.0021, 0)</f>
        <v>92.9251</v>
      </c>
      <c r="E1026" s="4">
        <f>481.852580541819 * CHOOSE(CONTROL!$C$13, $C$13, 100%, $E$13) + CHOOSE(CONTROL!$C$32, 0.0021, 0)</f>
        <v>481.85468054181899</v>
      </c>
    </row>
    <row r="1027" spans="1:5" ht="15">
      <c r="A1027" s="13">
        <v>72410</v>
      </c>
      <c r="B1027" s="4">
        <f>79.254 * CHOOSE(CONTROL!$C$13, $C$13, 100%, $E$13) + CHOOSE(CONTROL!$C$32, 0.0272, 0)</f>
        <v>79.281199999999998</v>
      </c>
      <c r="C1027" s="4">
        <f>78.8907 * CHOOSE(CONTROL!$C$13, $C$13, 100%, $E$13) + CHOOSE(CONTROL!$C$32, 0.0272, 0)</f>
        <v>78.917899999999989</v>
      </c>
      <c r="D1027" s="4">
        <f>97.7831 * CHOOSE(CONTROL!$C$13, $C$13, 100%, $E$13) + CHOOSE(CONTROL!$C$32, 0.0021, 0)</f>
        <v>97.785200000000003</v>
      </c>
      <c r="E1027" s="4">
        <f>511.200624318205 * CHOOSE(CONTROL!$C$13, $C$13, 100%, $E$13) + CHOOSE(CONTROL!$C$32, 0.0021, 0)</f>
        <v>511.20272431820496</v>
      </c>
    </row>
    <row r="1028" spans="1:5" ht="15">
      <c r="A1028" s="13">
        <v>72440</v>
      </c>
      <c r="B1028" s="4">
        <f>82.4553 * CHOOSE(CONTROL!$C$13, $C$13, 100%, $E$13) + CHOOSE(CONTROL!$C$32, 0.0272, 0)</f>
        <v>82.482499999999987</v>
      </c>
      <c r="C1028" s="4">
        <f>82.092 * CHOOSE(CONTROL!$C$13, $C$13, 100%, $E$13) + CHOOSE(CONTROL!$C$32, 0.0272, 0)</f>
        <v>82.119199999999992</v>
      </c>
      <c r="D1028" s="4">
        <f>100.5827 * CHOOSE(CONTROL!$C$13, $C$13, 100%, $E$13) + CHOOSE(CONTROL!$C$32, 0.0021, 0)</f>
        <v>100.5848</v>
      </c>
      <c r="E1028" s="4">
        <f>532.052800535435 * CHOOSE(CONTROL!$C$13, $C$13, 100%, $E$13) + CHOOSE(CONTROL!$C$32, 0.0021, 0)</f>
        <v>532.05490053543508</v>
      </c>
    </row>
    <row r="1029" spans="1:5" ht="15">
      <c r="A1029" s="13">
        <v>72471</v>
      </c>
      <c r="B1029" s="4">
        <f>84.4112 * CHOOSE(CONTROL!$C$13, $C$13, 100%, $E$13) + CHOOSE(CONTROL!$C$32, 0.0272, 0)</f>
        <v>84.438399999999987</v>
      </c>
      <c r="C1029" s="4">
        <f>84.0479 * CHOOSE(CONTROL!$C$13, $C$13, 100%, $E$13) + CHOOSE(CONTROL!$C$32, 0.0272, 0)</f>
        <v>84.075099999999992</v>
      </c>
      <c r="D1029" s="4">
        <f>99.4764 * CHOOSE(CONTROL!$C$13, $C$13, 100%, $E$13) + CHOOSE(CONTROL!$C$32, 0.0021, 0)</f>
        <v>99.478499999999997</v>
      </c>
      <c r="E1029" s="4">
        <f>544.792980447248 * CHOOSE(CONTROL!$C$13, $C$13, 100%, $E$13) + CHOOSE(CONTROL!$C$32, 0.0021, 0)</f>
        <v>544.7950804472481</v>
      </c>
    </row>
    <row r="1030" spans="1:5" ht="15">
      <c r="A1030" s="13">
        <v>72501</v>
      </c>
      <c r="B1030" s="4">
        <f>84.6758 * CHOOSE(CONTROL!$C$13, $C$13, 100%, $E$13) + CHOOSE(CONTROL!$C$32, 0.0272, 0)</f>
        <v>84.702999999999989</v>
      </c>
      <c r="C1030" s="4">
        <f>84.3125 * CHOOSE(CONTROL!$C$13, $C$13, 100%, $E$13) + CHOOSE(CONTROL!$C$32, 0.0272, 0)</f>
        <v>84.339699999999993</v>
      </c>
      <c r="D1030" s="4">
        <f>100.3774 * CHOOSE(CONTROL!$C$13, $C$13, 100%, $E$13) + CHOOSE(CONTROL!$C$32, 0.0021, 0)</f>
        <v>100.37949999999999</v>
      </c>
      <c r="E1030" s="4">
        <f>546.516779662149 * CHOOSE(CONTROL!$C$13, $C$13, 100%, $E$13) + CHOOSE(CONTROL!$C$32, 0.0021, 0)</f>
        <v>546.51887966214906</v>
      </c>
    </row>
    <row r="1031" spans="1:5" ht="15">
      <c r="A1031" s="13">
        <v>72532</v>
      </c>
      <c r="B1031" s="4">
        <f>84.6491 * CHOOSE(CONTROL!$C$13, $C$13, 100%, $E$13) + CHOOSE(CONTROL!$C$32, 0.0272, 0)</f>
        <v>84.676299999999998</v>
      </c>
      <c r="C1031" s="4">
        <f>84.2858 * CHOOSE(CONTROL!$C$13, $C$13, 100%, $E$13) + CHOOSE(CONTROL!$C$32, 0.0272, 0)</f>
        <v>84.312999999999988</v>
      </c>
      <c r="D1031" s="4">
        <f>102.0031 * CHOOSE(CONTROL!$C$13, $C$13, 100%, $E$13) + CHOOSE(CONTROL!$C$32, 0.0021, 0)</f>
        <v>102.0052</v>
      </c>
      <c r="E1031" s="4">
        <f>546.34295116989 * CHOOSE(CONTROL!$C$13, $C$13, 100%, $E$13) + CHOOSE(CONTROL!$C$32, 0.0021, 0)</f>
        <v>546.34505116988998</v>
      </c>
    </row>
    <row r="1032" spans="1:5" ht="15">
      <c r="A1032" s="13">
        <v>72563</v>
      </c>
      <c r="B1032" s="4">
        <f>86.6573 * CHOOSE(CONTROL!$C$13, $C$13, 100%, $E$13) + CHOOSE(CONTROL!$C$32, 0.0272, 0)</f>
        <v>86.6845</v>
      </c>
      <c r="C1032" s="4">
        <f>86.294 * CHOOSE(CONTROL!$C$13, $C$13, 100%, $E$13) + CHOOSE(CONTROL!$C$32, 0.0272, 0)</f>
        <v>86.32119999999999</v>
      </c>
      <c r="D1032" s="4">
        <f>100.9295 * CHOOSE(CONTROL!$C$13, $C$13, 100%, $E$13) + CHOOSE(CONTROL!$C$32, 0.0021, 0)</f>
        <v>100.9316</v>
      </c>
      <c r="E1032" s="4">
        <f>559.423545212376 * CHOOSE(CONTROL!$C$13, $C$13, 100%, $E$13) + CHOOSE(CONTROL!$C$32, 0.0021, 0)</f>
        <v>559.42564521237603</v>
      </c>
    </row>
    <row r="1033" spans="1:5" ht="15">
      <c r="A1033" s="13">
        <v>72593</v>
      </c>
      <c r="B1033" s="4">
        <f>83.2347 * CHOOSE(CONTROL!$C$13, $C$13, 100%, $E$13) + CHOOSE(CONTROL!$C$32, 0.0272, 0)</f>
        <v>83.261899999999997</v>
      </c>
      <c r="C1033" s="4">
        <f>82.8715 * CHOOSE(CONTROL!$C$13, $C$13, 100%, $E$13) + CHOOSE(CONTROL!$C$32, 0.0272, 0)</f>
        <v>82.898699999999991</v>
      </c>
      <c r="D1033" s="4">
        <f>100.4222 * CHOOSE(CONTROL!$C$13, $C$13, 100%, $E$13) + CHOOSE(CONTROL!$C$32, 0.0021, 0)</f>
        <v>100.4243</v>
      </c>
      <c r="E1033" s="4">
        <f>537.130041080166 * CHOOSE(CONTROL!$C$13, $C$13, 100%, $E$13) + CHOOSE(CONTROL!$C$32, 0.0021, 0)</f>
        <v>537.13214108016609</v>
      </c>
    </row>
    <row r="1034" spans="1:5" ht="15">
      <c r="A1034" s="13">
        <v>72624</v>
      </c>
      <c r="B1034" s="4">
        <f>80.4949 * CHOOSE(CONTROL!$C$13, $C$13, 100%, $E$13) + CHOOSE(CONTROL!$C$32, 0.0272, 0)</f>
        <v>80.522099999999995</v>
      </c>
      <c r="C1034" s="4">
        <f>80.1316 * CHOOSE(CONTROL!$C$13, $C$13, 100%, $E$13) + CHOOSE(CONTROL!$C$32, 0.0272, 0)</f>
        <v>80.158799999999999</v>
      </c>
      <c r="D1034" s="4">
        <f>99.064 * CHOOSE(CONTROL!$C$13, $C$13, 100%, $E$13) + CHOOSE(CONTROL!$C$32, 0.0021, 0)</f>
        <v>99.066099999999992</v>
      </c>
      <c r="E1034" s="4">
        <f>519.283649208246 * CHOOSE(CONTROL!$C$13, $C$13, 100%, $E$13) + CHOOSE(CONTROL!$C$32, 0.0021, 0)</f>
        <v>519.28574920824599</v>
      </c>
    </row>
    <row r="1035" spans="1:5" ht="15">
      <c r="A1035" s="13">
        <v>72654</v>
      </c>
      <c r="B1035" s="4">
        <f>78.7303 * CHOOSE(CONTROL!$C$13, $C$13, 100%, $E$13) + CHOOSE(CONTROL!$C$32, 0.0272, 0)</f>
        <v>78.757499999999993</v>
      </c>
      <c r="C1035" s="4">
        <f>78.367 * CHOOSE(CONTROL!$C$13, $C$13, 100%, $E$13) + CHOOSE(CONTROL!$C$32, 0.0272, 0)</f>
        <v>78.394199999999998</v>
      </c>
      <c r="D1035" s="4">
        <f>98.5971 * CHOOSE(CONTROL!$C$13, $C$13, 100%, $E$13) + CHOOSE(CONTROL!$C$32, 0.0021, 0)</f>
        <v>98.599199999999996</v>
      </c>
      <c r="E1035" s="4">
        <f>507.789240157623 * CHOOSE(CONTROL!$C$13, $C$13, 100%, $E$13) + CHOOSE(CONTROL!$C$32, 0.0021, 0)</f>
        <v>507.79134015762298</v>
      </c>
    </row>
    <row r="1036" spans="1:5" ht="15">
      <c r="A1036" s="13">
        <v>72685</v>
      </c>
      <c r="B1036" s="4">
        <f>77.5094 * CHOOSE(CONTROL!$C$13, $C$13, 100%, $E$13) + CHOOSE(CONTROL!$C$32, 0.0272, 0)</f>
        <v>77.536599999999993</v>
      </c>
      <c r="C1036" s="4">
        <f>77.1461 * CHOOSE(CONTROL!$C$13, $C$13, 100%, $E$13) + CHOOSE(CONTROL!$C$32, 0.0272, 0)</f>
        <v>77.173299999999998</v>
      </c>
      <c r="D1036" s="4">
        <f>95.1594 * CHOOSE(CONTROL!$C$13, $C$13, 100%, $E$13) + CHOOSE(CONTROL!$C$32, 0.0021, 0)</f>
        <v>95.161500000000004</v>
      </c>
      <c r="E1036" s="4">
        <f>499.836586636776 * CHOOSE(CONTROL!$C$13, $C$13, 100%, $E$13) + CHOOSE(CONTROL!$C$32, 0.0021, 0)</f>
        <v>499.838686636776</v>
      </c>
    </row>
    <row r="1037" spans="1:5" ht="15">
      <c r="A1037" s="13">
        <v>72716</v>
      </c>
      <c r="B1037" s="4">
        <f>74.3094 * CHOOSE(CONTROL!$C$13, $C$13, 100%, $E$13) + CHOOSE(CONTROL!$C$32, 0.0272, 0)</f>
        <v>74.33659999999999</v>
      </c>
      <c r="C1037" s="4">
        <f>73.9461 * CHOOSE(CONTROL!$C$13, $C$13, 100%, $E$13) + CHOOSE(CONTROL!$C$32, 0.0272, 0)</f>
        <v>73.973299999999995</v>
      </c>
      <c r="D1037" s="4">
        <f>91.2015 * CHOOSE(CONTROL!$C$13, $C$13, 100%, $E$13) + CHOOSE(CONTROL!$C$32, 0.0021, 0)</f>
        <v>91.203599999999994</v>
      </c>
      <c r="E1037" s="4">
        <f>479.016361762309 * CHOOSE(CONTROL!$C$13, $C$13, 100%, $E$13) + CHOOSE(CONTROL!$C$32, 0.0021, 0)</f>
        <v>479.01846176230896</v>
      </c>
    </row>
    <row r="1038" spans="1:5" ht="15">
      <c r="A1038" s="13">
        <v>72744</v>
      </c>
      <c r="B1038" s="4">
        <f>76.0554 * CHOOSE(CONTROL!$C$13, $C$13, 100%, $E$13) + CHOOSE(CONTROL!$C$32, 0.0272, 0)</f>
        <v>76.082599999999999</v>
      </c>
      <c r="C1038" s="4">
        <f>75.6922 * CHOOSE(CONTROL!$C$13, $C$13, 100%, $E$13) + CHOOSE(CONTROL!$C$32, 0.0272, 0)</f>
        <v>75.719399999999993</v>
      </c>
      <c r="D1038" s="4">
        <f>94.3551 * CHOOSE(CONTROL!$C$13, $C$13, 100%, $E$13) + CHOOSE(CONTROL!$C$32, 0.0021, 0)</f>
        <v>94.357199999999992</v>
      </c>
      <c r="E1038" s="4">
        <f>490.390097950649 * CHOOSE(CONTROL!$C$13, $C$13, 100%, $E$13) + CHOOSE(CONTROL!$C$32, 0.0021, 0)</f>
        <v>490.39219795064901</v>
      </c>
    </row>
    <row r="1039" spans="1:5" ht="15">
      <c r="A1039" s="13">
        <v>72775</v>
      </c>
      <c r="B1039" s="4">
        <f>80.6406 * CHOOSE(CONTROL!$C$13, $C$13, 100%, $E$13) + CHOOSE(CONTROL!$C$32, 0.0272, 0)</f>
        <v>80.6678</v>
      </c>
      <c r="C1039" s="4">
        <f>80.2773 * CHOOSE(CONTROL!$C$13, $C$13, 100%, $E$13) + CHOOSE(CONTROL!$C$32, 0.0272, 0)</f>
        <v>80.30449999999999</v>
      </c>
      <c r="D1039" s="4">
        <f>99.2916 * CHOOSE(CONTROL!$C$13, $C$13, 100%, $E$13) + CHOOSE(CONTROL!$C$32, 0.0021, 0)</f>
        <v>99.293700000000001</v>
      </c>
      <c r="E1039" s="4">
        <f>520.258133618278 * CHOOSE(CONTROL!$C$13, $C$13, 100%, $E$13) + CHOOSE(CONTROL!$C$32, 0.0021, 0)</f>
        <v>520.26023361827799</v>
      </c>
    </row>
    <row r="1040" spans="1:5" ht="15">
      <c r="A1040" s="13">
        <v>72805</v>
      </c>
      <c r="B1040" s="4">
        <f>83.8984 * CHOOSE(CONTROL!$C$13, $C$13, 100%, $E$13) + CHOOSE(CONTROL!$C$32, 0.0272, 0)</f>
        <v>83.925599999999989</v>
      </c>
      <c r="C1040" s="4">
        <f>83.5352 * CHOOSE(CONTROL!$C$13, $C$13, 100%, $E$13) + CHOOSE(CONTROL!$C$32, 0.0272, 0)</f>
        <v>83.562399999999997</v>
      </c>
      <c r="D1040" s="4">
        <f>102.1352 * CHOOSE(CONTROL!$C$13, $C$13, 100%, $E$13) + CHOOSE(CONTROL!$C$32, 0.0021, 0)</f>
        <v>102.1373</v>
      </c>
      <c r="E1040" s="4">
        <f>541.479771004039 * CHOOSE(CONTROL!$C$13, $C$13, 100%, $E$13) + CHOOSE(CONTROL!$C$32, 0.0021, 0)</f>
        <v>541.48187100403902</v>
      </c>
    </row>
    <row r="1041" spans="1:5" ht="15">
      <c r="A1041" s="13">
        <v>72836</v>
      </c>
      <c r="B1041" s="4">
        <f>85.8889 * CHOOSE(CONTROL!$C$13, $C$13, 100%, $E$13) + CHOOSE(CONTROL!$C$32, 0.0272, 0)</f>
        <v>85.9161</v>
      </c>
      <c r="C1041" s="4">
        <f>85.5256 * CHOOSE(CONTROL!$C$13, $C$13, 100%, $E$13) + CHOOSE(CONTROL!$C$32, 0.0272, 0)</f>
        <v>85.552799999999991</v>
      </c>
      <c r="D1041" s="4">
        <f>101.0116 * CHOOSE(CONTROL!$C$13, $C$13, 100%, $E$13) + CHOOSE(CONTROL!$C$32, 0.0021, 0)</f>
        <v>101.0137</v>
      </c>
      <c r="E1041" s="4">
        <f>554.445682835076 * CHOOSE(CONTROL!$C$13, $C$13, 100%, $E$13) + CHOOSE(CONTROL!$C$32, 0.0021, 0)</f>
        <v>554.44778283507605</v>
      </c>
    </row>
    <row r="1042" spans="1:5" ht="15">
      <c r="A1042" s="13">
        <v>72866</v>
      </c>
      <c r="B1042" s="4">
        <f>86.1582 * CHOOSE(CONTROL!$C$13, $C$13, 100%, $E$13) + CHOOSE(CONTROL!$C$32, 0.0272, 0)</f>
        <v>86.185399999999987</v>
      </c>
      <c r="C1042" s="4">
        <f>85.7949 * CHOOSE(CONTROL!$C$13, $C$13, 100%, $E$13) + CHOOSE(CONTROL!$C$32, 0.0272, 0)</f>
        <v>85.822099999999992</v>
      </c>
      <c r="D1042" s="4">
        <f>101.9267 * CHOOSE(CONTROL!$C$13, $C$13, 100%, $E$13) + CHOOSE(CONTROL!$C$32, 0.0021, 0)</f>
        <v>101.9288</v>
      </c>
      <c r="E1042" s="4">
        <f>556.200024515455 * CHOOSE(CONTROL!$C$13, $C$13, 100%, $E$13) + CHOOSE(CONTROL!$C$32, 0.0021, 0)</f>
        <v>556.20212451545501</v>
      </c>
    </row>
    <row r="1043" spans="1:5" ht="15">
      <c r="A1043" s="13">
        <v>72897</v>
      </c>
      <c r="B1043" s="4">
        <f>86.1311 * CHOOSE(CONTROL!$C$13, $C$13, 100%, $E$13) + CHOOSE(CONTROL!$C$32, 0.0272, 0)</f>
        <v>86.158299999999997</v>
      </c>
      <c r="C1043" s="4">
        <f>85.7678 * CHOOSE(CONTROL!$C$13, $C$13, 100%, $E$13) + CHOOSE(CONTROL!$C$32, 0.0272, 0)</f>
        <v>85.794999999999987</v>
      </c>
      <c r="D1043" s="4">
        <f>103.578 * CHOOSE(CONTROL!$C$13, $C$13, 100%, $E$13) + CHOOSE(CONTROL!$C$32, 0.0021, 0)</f>
        <v>103.5801</v>
      </c>
      <c r="E1043" s="4">
        <f>556.023116110711 * CHOOSE(CONTROL!$C$13, $C$13, 100%, $E$13) + CHOOSE(CONTROL!$C$32, 0.0021, 0)</f>
        <v>556.02521611071109</v>
      </c>
    </row>
    <row r="1044" spans="1:5" ht="15">
      <c r="A1044" s="13">
        <v>72928</v>
      </c>
      <c r="B1044" s="4">
        <f>88.1747 * CHOOSE(CONTROL!$C$13, $C$13, 100%, $E$13) + CHOOSE(CONTROL!$C$32, 0.0272, 0)</f>
        <v>88.201899999999995</v>
      </c>
      <c r="C1044" s="4">
        <f>87.8114 * CHOOSE(CONTROL!$C$13, $C$13, 100%, $E$13) + CHOOSE(CONTROL!$C$32, 0.0272, 0)</f>
        <v>87.8386</v>
      </c>
      <c r="D1044" s="4">
        <f>102.4875 * CHOOSE(CONTROL!$C$13, $C$13, 100%, $E$13) + CHOOSE(CONTROL!$C$32, 0.0021, 0)</f>
        <v>102.4896</v>
      </c>
      <c r="E1044" s="4">
        <f>569.335473567704 * CHOOSE(CONTROL!$C$13, $C$13, 100%, $E$13) + CHOOSE(CONTROL!$C$32, 0.0021, 0)</f>
        <v>569.337573567704</v>
      </c>
    </row>
    <row r="1045" spans="1:5" ht="15">
      <c r="A1045" s="13">
        <v>72958</v>
      </c>
      <c r="B1045" s="4">
        <f>84.6917 * CHOOSE(CONTROL!$C$13, $C$13, 100%, $E$13) + CHOOSE(CONTROL!$C$32, 0.0272, 0)</f>
        <v>84.718899999999991</v>
      </c>
      <c r="C1045" s="4">
        <f>84.3284 * CHOOSE(CONTROL!$C$13, $C$13, 100%, $E$13) + CHOOSE(CONTROL!$C$32, 0.0272, 0)</f>
        <v>84.355599999999995</v>
      </c>
      <c r="D1045" s="4">
        <f>101.9722 * CHOOSE(CONTROL!$C$13, $C$13, 100%, $E$13) + CHOOSE(CONTROL!$C$32, 0.0021, 0)</f>
        <v>101.9743</v>
      </c>
      <c r="E1045" s="4">
        <f>546.646970659273 * CHOOSE(CONTROL!$C$13, $C$13, 100%, $E$13) + CHOOSE(CONTROL!$C$32, 0.0021, 0)</f>
        <v>546.64907065927309</v>
      </c>
    </row>
    <row r="1046" spans="1:5" ht="15">
      <c r="A1046" s="13">
        <v>72989</v>
      </c>
      <c r="B1046" s="4">
        <f>81.9035 * CHOOSE(CONTROL!$C$13, $C$13, 100%, $E$13) + CHOOSE(CONTROL!$C$32, 0.0272, 0)</f>
        <v>81.930699999999987</v>
      </c>
      <c r="C1046" s="4">
        <f>81.5402 * CHOOSE(CONTROL!$C$13, $C$13, 100%, $E$13) + CHOOSE(CONTROL!$C$32, 0.0272, 0)</f>
        <v>81.567399999999992</v>
      </c>
      <c r="D1046" s="4">
        <f>100.5927 * CHOOSE(CONTROL!$C$13, $C$13, 100%, $E$13) + CHOOSE(CONTROL!$C$32, 0.0021, 0)</f>
        <v>100.59479999999999</v>
      </c>
      <c r="E1046" s="4">
        <f>528.484374438879 * CHOOSE(CONTROL!$C$13, $C$13, 100%, $E$13) + CHOOSE(CONTROL!$C$32, 0.0021, 0)</f>
        <v>528.48647443887899</v>
      </c>
    </row>
    <row r="1047" spans="1:5" ht="15">
      <c r="A1047" s="13">
        <v>73019</v>
      </c>
      <c r="B1047" s="4">
        <f>80.1076 * CHOOSE(CONTROL!$C$13, $C$13, 100%, $E$13) + CHOOSE(CONTROL!$C$32, 0.0272, 0)</f>
        <v>80.134799999999998</v>
      </c>
      <c r="C1047" s="4">
        <f>79.7444 * CHOOSE(CONTROL!$C$13, $C$13, 100%, $E$13) + CHOOSE(CONTROL!$C$32, 0.0272, 0)</f>
        <v>79.771599999999992</v>
      </c>
      <c r="D1047" s="4">
        <f>100.1184 * CHOOSE(CONTROL!$C$13, $C$13, 100%, $E$13) + CHOOSE(CONTROL!$C$32, 0.0021, 0)</f>
        <v>100.12049999999999</v>
      </c>
      <c r="E1047" s="4">
        <f>516.786306175175 * CHOOSE(CONTROL!$C$13, $C$13, 100%, $E$13) + CHOOSE(CONTROL!$C$32, 0.0021, 0)</f>
        <v>516.78840617517506</v>
      </c>
    </row>
    <row r="1048" spans="1:5" ht="15">
      <c r="A1048" s="13">
        <v>73050</v>
      </c>
      <c r="B1048" s="4">
        <f>78.8652 * CHOOSE(CONTROL!$C$13, $C$13, 100%, $E$13) + CHOOSE(CONTROL!$C$32, 0.0272, 0)</f>
        <v>78.892399999999995</v>
      </c>
      <c r="C1048" s="4">
        <f>78.5019 * CHOOSE(CONTROL!$C$13, $C$13, 100%, $E$13) + CHOOSE(CONTROL!$C$32, 0.0272, 0)</f>
        <v>78.5291</v>
      </c>
      <c r="D1048" s="4">
        <f>96.6266 * CHOOSE(CONTROL!$C$13, $C$13, 100%, $E$13) + CHOOSE(CONTROL!$C$32, 0.0021, 0)</f>
        <v>96.628699999999995</v>
      </c>
      <c r="E1048" s="4">
        <f>508.692746658133 * CHOOSE(CONTROL!$C$13, $C$13, 100%, $E$13) + CHOOSE(CONTROL!$C$32, 0.0021, 0)</f>
        <v>508.69484665813297</v>
      </c>
    </row>
    <row r="1049" spans="1:5" ht="15">
      <c r="A1049" s="13">
        <v>73081</v>
      </c>
      <c r="B1049" s="4">
        <f>75.6087 * CHOOSE(CONTROL!$C$13, $C$13, 100%, $E$13) + CHOOSE(CONTROL!$C$32, 0.0272, 0)</f>
        <v>75.635899999999992</v>
      </c>
      <c r="C1049" s="4">
        <f>75.2454 * CHOOSE(CONTROL!$C$13, $C$13, 100%, $E$13) + CHOOSE(CONTROL!$C$32, 0.0272, 0)</f>
        <v>75.272599999999997</v>
      </c>
      <c r="D1049" s="4">
        <f>92.6066 * CHOOSE(CONTROL!$C$13, $C$13, 100%, $E$13) + CHOOSE(CONTROL!$C$32, 0.0021, 0)</f>
        <v>92.608699999999999</v>
      </c>
      <c r="E1049" s="4">
        <f>487.503626732566 * CHOOSE(CONTROL!$C$13, $C$13, 100%, $E$13) + CHOOSE(CONTROL!$C$32, 0.0021, 0)</f>
        <v>487.50572673256596</v>
      </c>
    </row>
    <row r="1050" spans="1:5" ht="15">
      <c r="A1050" s="13">
        <v>73109</v>
      </c>
      <c r="B1050" s="4">
        <f>77.3855 * CHOOSE(CONTROL!$C$13, $C$13, 100%, $E$13) + CHOOSE(CONTROL!$C$32, 0.0272, 0)</f>
        <v>77.412699999999987</v>
      </c>
      <c r="C1050" s="4">
        <f>77.0223 * CHOOSE(CONTROL!$C$13, $C$13, 100%, $E$13) + CHOOSE(CONTROL!$C$32, 0.0272, 0)</f>
        <v>77.049499999999995</v>
      </c>
      <c r="D1050" s="4">
        <f>95.8097 * CHOOSE(CONTROL!$C$13, $C$13, 100%, $E$13) + CHOOSE(CONTROL!$C$32, 0.0021, 0)</f>
        <v>95.811800000000005</v>
      </c>
      <c r="E1050" s="4">
        <f>499.078884038842 * CHOOSE(CONTROL!$C$13, $C$13, 100%, $E$13) + CHOOSE(CONTROL!$C$32, 0.0021, 0)</f>
        <v>499.08098403884196</v>
      </c>
    </row>
    <row r="1051" spans="1:5" ht="15">
      <c r="A1051" s="13">
        <v>73140</v>
      </c>
      <c r="B1051" s="4">
        <f>82.0517 * CHOOSE(CONTROL!$C$13, $C$13, 100%, $E$13) + CHOOSE(CONTROL!$C$32, 0.0272, 0)</f>
        <v>82.07889999999999</v>
      </c>
      <c r="C1051" s="4">
        <f>81.6885 * CHOOSE(CONTROL!$C$13, $C$13, 100%, $E$13) + CHOOSE(CONTROL!$C$32, 0.0272, 0)</f>
        <v>81.715699999999998</v>
      </c>
      <c r="D1051" s="4">
        <f>100.8239 * CHOOSE(CONTROL!$C$13, $C$13, 100%, $E$13) + CHOOSE(CONTROL!$C$32, 0.0021, 0)</f>
        <v>100.82599999999999</v>
      </c>
      <c r="E1051" s="4">
        <f>529.476124871655 * CHOOSE(CONTROL!$C$13, $C$13, 100%, $E$13) + CHOOSE(CONTROL!$C$32, 0.0021, 0)</f>
        <v>529.47822487165502</v>
      </c>
    </row>
    <row r="1052" spans="1:5" ht="15">
      <c r="A1052" s="13">
        <v>73170</v>
      </c>
      <c r="B1052" s="4">
        <f>85.3671 * CHOOSE(CONTROL!$C$13, $C$13, 100%, $E$13) + CHOOSE(CONTROL!$C$32, 0.0272, 0)</f>
        <v>85.394299999999987</v>
      </c>
      <c r="C1052" s="4">
        <f>85.0038 * CHOOSE(CONTROL!$C$13, $C$13, 100%, $E$13) + CHOOSE(CONTROL!$C$32, 0.0272, 0)</f>
        <v>85.030999999999992</v>
      </c>
      <c r="D1052" s="4">
        <f>103.7122 * CHOOSE(CONTROL!$C$13, $C$13, 100%, $E$13) + CHOOSE(CONTROL!$C$32, 0.0021, 0)</f>
        <v>103.71429999999999</v>
      </c>
      <c r="E1052" s="4">
        <f>551.073769579866 * CHOOSE(CONTROL!$C$13, $C$13, 100%, $E$13) + CHOOSE(CONTROL!$C$32, 0.0021, 0)</f>
        <v>551.07586957986609</v>
      </c>
    </row>
    <row r="1053" spans="1:5" ht="15">
      <c r="A1053" s="13">
        <v>73201</v>
      </c>
      <c r="B1053" s="4">
        <f>87.3927 * CHOOSE(CONTROL!$C$13, $C$13, 100%, $E$13) + CHOOSE(CONTROL!$C$32, 0.0272, 0)</f>
        <v>87.419899999999998</v>
      </c>
      <c r="C1053" s="4">
        <f>87.0295 * CHOOSE(CONTROL!$C$13, $C$13, 100%, $E$13) + CHOOSE(CONTROL!$C$32, 0.0272, 0)</f>
        <v>87.056699999999992</v>
      </c>
      <c r="D1053" s="4">
        <f>102.5709 * CHOOSE(CONTROL!$C$13, $C$13, 100%, $E$13) + CHOOSE(CONTROL!$C$32, 0.0021, 0)</f>
        <v>102.57299999999999</v>
      </c>
      <c r="E1053" s="4">
        <f>564.269412873281 * CHOOSE(CONTROL!$C$13, $C$13, 100%, $E$13) + CHOOSE(CONTROL!$C$32, 0.0021, 0)</f>
        <v>564.27151287328104</v>
      </c>
    </row>
    <row r="1054" spans="1:5" ht="15">
      <c r="A1054" s="13">
        <v>73231</v>
      </c>
      <c r="B1054" s="4">
        <f>87.6668 * CHOOSE(CONTROL!$C$13, $C$13, 100%, $E$13) + CHOOSE(CONTROL!$C$32, 0.0272, 0)</f>
        <v>87.693999999999988</v>
      </c>
      <c r="C1054" s="4">
        <f>87.3035 * CHOOSE(CONTROL!$C$13, $C$13, 100%, $E$13) + CHOOSE(CONTROL!$C$32, 0.0272, 0)</f>
        <v>87.330699999999993</v>
      </c>
      <c r="D1054" s="4">
        <f>103.5004 * CHOOSE(CONTROL!$C$13, $C$13, 100%, $E$13) + CHOOSE(CONTROL!$C$32, 0.0021, 0)</f>
        <v>103.5025</v>
      </c>
      <c r="E1054" s="4">
        <f>566.054838173925 * CHOOSE(CONTROL!$C$13, $C$13, 100%, $E$13) + CHOOSE(CONTROL!$C$32, 0.0021, 0)</f>
        <v>566.056938173925</v>
      </c>
    </row>
    <row r="1055" spans="1:5" ht="15">
      <c r="A1055" s="13">
        <v>73262</v>
      </c>
      <c r="B1055" s="4">
        <f>87.6392 * CHOOSE(CONTROL!$C$13, $C$13, 100%, $E$13) + CHOOSE(CONTROL!$C$32, 0.0272, 0)</f>
        <v>87.666399999999996</v>
      </c>
      <c r="C1055" s="4">
        <f>87.2759 * CHOOSE(CONTROL!$C$13, $C$13, 100%, $E$13) + CHOOSE(CONTROL!$C$32, 0.0272, 0)</f>
        <v>87.303099999999986</v>
      </c>
      <c r="D1055" s="4">
        <f>105.1776 * CHOOSE(CONTROL!$C$13, $C$13, 100%, $E$13) + CHOOSE(CONTROL!$C$32, 0.0021, 0)</f>
        <v>105.1797</v>
      </c>
      <c r="E1055" s="4">
        <f>565.874795286465 * CHOOSE(CONTROL!$C$13, $C$13, 100%, $E$13) + CHOOSE(CONTROL!$C$32, 0.0021, 0)</f>
        <v>565.87689528646501</v>
      </c>
    </row>
    <row r="1056" spans="1:5" ht="15">
      <c r="A1056" s="13">
        <v>73293</v>
      </c>
      <c r="B1056" s="4">
        <f>89.7189 * CHOOSE(CONTROL!$C$13, $C$13, 100%, $E$13) + CHOOSE(CONTROL!$C$32, 0.0272, 0)</f>
        <v>89.746099999999998</v>
      </c>
      <c r="C1056" s="4">
        <f>89.3557 * CHOOSE(CONTROL!$C$13, $C$13, 100%, $E$13) + CHOOSE(CONTROL!$C$32, 0.0272, 0)</f>
        <v>89.382899999999992</v>
      </c>
      <c r="D1056" s="4">
        <f>104.07 * CHOOSE(CONTROL!$C$13, $C$13, 100%, $E$13) + CHOOSE(CONTROL!$C$32, 0.0021, 0)</f>
        <v>104.07209999999999</v>
      </c>
      <c r="E1056" s="4">
        <f>579.423022567823 * CHOOSE(CONTROL!$C$13, $C$13, 100%, $E$13) + CHOOSE(CONTROL!$C$32, 0.0021, 0)</f>
        <v>579.425122567823</v>
      </c>
    </row>
    <row r="1057" spans="1:5" ht="15">
      <c r="A1057" s="13">
        <v>73323</v>
      </c>
      <c r="B1057" s="4">
        <f>86.1744 * CHOOSE(CONTROL!$C$13, $C$13, 100%, $E$13) + CHOOSE(CONTROL!$C$32, 0.0272, 0)</f>
        <v>86.201599999999999</v>
      </c>
      <c r="C1057" s="4">
        <f>85.8111 * CHOOSE(CONTROL!$C$13, $C$13, 100%, $E$13) + CHOOSE(CONTROL!$C$32, 0.0272, 0)</f>
        <v>85.83829999999999</v>
      </c>
      <c r="D1057" s="4">
        <f>103.5466 * CHOOSE(CONTROL!$C$13, $C$13, 100%, $E$13) + CHOOSE(CONTROL!$C$32, 0.0021, 0)</f>
        <v>103.5487</v>
      </c>
      <c r="E1057" s="4">
        <f>556.332522251091 * CHOOSE(CONTROL!$C$13, $C$13, 100%, $E$13) + CHOOSE(CONTROL!$C$32, 0.0021, 0)</f>
        <v>556.33462225109099</v>
      </c>
    </row>
    <row r="1058" spans="1:5" ht="15">
      <c r="A1058" s="13">
        <v>73354</v>
      </c>
      <c r="B1058" s="4">
        <f>83.3369 * CHOOSE(CONTROL!$C$13, $C$13, 100%, $E$13) + CHOOSE(CONTROL!$C$32, 0.0272, 0)</f>
        <v>83.364099999999993</v>
      </c>
      <c r="C1058" s="4">
        <f>82.9736 * CHOOSE(CONTROL!$C$13, $C$13, 100%, $E$13) + CHOOSE(CONTROL!$C$32, 0.0272, 0)</f>
        <v>83.000799999999998</v>
      </c>
      <c r="D1058" s="4">
        <f>102.1454 * CHOOSE(CONTROL!$C$13, $C$13, 100%, $E$13) + CHOOSE(CONTROL!$C$32, 0.0021, 0)</f>
        <v>102.14749999999999</v>
      </c>
      <c r="E1058" s="4">
        <f>537.848119138541 * CHOOSE(CONTROL!$C$13, $C$13, 100%, $E$13) + CHOOSE(CONTROL!$C$32, 0.0021, 0)</f>
        <v>537.85021913854109</v>
      </c>
    </row>
    <row r="1059" spans="1:5" ht="15">
      <c r="A1059" s="13">
        <v>73384</v>
      </c>
      <c r="B1059" s="4">
        <f>81.5093 * CHOOSE(CONTROL!$C$13, $C$13, 100%, $E$13) + CHOOSE(CONTROL!$C$32, 0.0272, 0)</f>
        <v>81.53649999999999</v>
      </c>
      <c r="C1059" s="4">
        <f>81.1461 * CHOOSE(CONTROL!$C$13, $C$13, 100%, $E$13) + CHOOSE(CONTROL!$C$32, 0.0272, 0)</f>
        <v>81.173299999999998</v>
      </c>
      <c r="D1059" s="4">
        <f>101.6636 * CHOOSE(CONTROL!$C$13, $C$13, 100%, $E$13) + CHOOSE(CONTROL!$C$32, 0.0021, 0)</f>
        <v>101.6657</v>
      </c>
      <c r="E1059" s="4">
        <f>525.942783205255 * CHOOSE(CONTROL!$C$13, $C$13, 100%, $E$13) + CHOOSE(CONTROL!$C$32, 0.0021, 0)</f>
        <v>525.944883205255</v>
      </c>
    </row>
    <row r="1060" spans="1:5" ht="15">
      <c r="A1060" s="13">
        <v>73415</v>
      </c>
      <c r="B1060" s="4">
        <f>80.2449 * CHOOSE(CONTROL!$C$13, $C$13, 100%, $E$13) + CHOOSE(CONTROL!$C$32, 0.0272, 0)</f>
        <v>80.272099999999995</v>
      </c>
      <c r="C1060" s="4">
        <f>79.8816 * CHOOSE(CONTROL!$C$13, $C$13, 100%, $E$13) + CHOOSE(CONTROL!$C$32, 0.0272, 0)</f>
        <v>79.908799999999999</v>
      </c>
      <c r="D1060" s="4">
        <f>98.117 * CHOOSE(CONTROL!$C$13, $C$13, 100%, $E$13) + CHOOSE(CONTROL!$C$32, 0.0021, 0)</f>
        <v>98.119100000000003</v>
      </c>
      <c r="E1060" s="4">
        <f>517.705821103964 * CHOOSE(CONTROL!$C$13, $C$13, 100%, $E$13) + CHOOSE(CONTROL!$C$32, 0.0021, 0)</f>
        <v>517.70792110396405</v>
      </c>
    </row>
    <row r="1061" spans="1:5" ht="15">
      <c r="A1061" s="10"/>
      <c r="B1061" s="4"/>
      <c r="C1061" s="4"/>
      <c r="D1061" s="4"/>
      <c r="E1061" s="4"/>
    </row>
    <row r="1062" spans="1:5" ht="15">
      <c r="A1062" s="3">
        <v>2014</v>
      </c>
      <c r="B1062" s="4">
        <f>AVERAGE(B17:B28)</f>
        <v>16.060820434415334</v>
      </c>
      <c r="C1062" s="4">
        <f>AVERAGE(C17:C28)</f>
        <v>15.805557766446602</v>
      </c>
      <c r="D1062" s="4">
        <f>AVERAGE(D17:D28)</f>
        <v>22.954427086906804</v>
      </c>
      <c r="E1062" s="4">
        <f>AVERAGE(E17:E28)</f>
        <v>98.763550000000009</v>
      </c>
    </row>
    <row r="1063" spans="1:5" ht="15">
      <c r="A1063" s="3">
        <v>2015</v>
      </c>
      <c r="B1063" s="4">
        <f>AVERAGE(B29:B40)</f>
        <v>15.210799999999997</v>
      </c>
      <c r="C1063" s="4">
        <f>AVERAGE(C29:C40)</f>
        <v>14.847500000000002</v>
      </c>
      <c r="D1063" s="4">
        <f>AVERAGE(D29:D40)</f>
        <v>22.016641666666661</v>
      </c>
      <c r="E1063" s="4">
        <f>AVERAGE(E29:E40)</f>
        <v>90.971266666666679</v>
      </c>
    </row>
    <row r="1064" spans="1:5" ht="15">
      <c r="A1064" s="3">
        <v>2016</v>
      </c>
      <c r="B1064" s="4">
        <f>AVERAGE(B41:B52)</f>
        <v>15.105325000000001</v>
      </c>
      <c r="C1064" s="4">
        <f>AVERAGE(C41:C52)</f>
        <v>14.742049999999999</v>
      </c>
      <c r="D1064" s="4">
        <f>AVERAGE(D41:D52)</f>
        <v>21.627983333333329</v>
      </c>
      <c r="E1064" s="4">
        <f>AVERAGE(E41:E52)</f>
        <v>88.731266666666656</v>
      </c>
    </row>
    <row r="1065" spans="1:5" ht="15">
      <c r="A1065" s="3">
        <v>2017</v>
      </c>
      <c r="B1065" s="4">
        <f>AVERAGE(B53:B64)</f>
        <v>15.427399999999999</v>
      </c>
      <c r="C1065" s="4">
        <f>AVERAGE(C53:C64)</f>
        <v>15.064116666666669</v>
      </c>
      <c r="D1065" s="4">
        <f>AVERAGE(D53:D64)</f>
        <v>22.232208333333332</v>
      </c>
      <c r="E1065" s="4">
        <f>AVERAGE(E53:E64)</f>
        <v>93.022931654866554</v>
      </c>
    </row>
    <row r="1066" spans="1:5" ht="15">
      <c r="A1066" s="3">
        <v>2018</v>
      </c>
      <c r="B1066" s="4">
        <f>AVERAGE(B65:B76)</f>
        <v>15.633325000000001</v>
      </c>
      <c r="C1066" s="4">
        <f>AVERAGE(C65:C76)</f>
        <v>15.270049999999999</v>
      </c>
      <c r="D1066" s="4">
        <f>AVERAGE(D65:D76)</f>
        <v>22.860641666666666</v>
      </c>
      <c r="E1066" s="4">
        <f>AVERAGE(E65:E76)</f>
        <v>95.690851831054729</v>
      </c>
    </row>
    <row r="1067" spans="1:5" ht="15">
      <c r="A1067" s="3">
        <v>2019</v>
      </c>
      <c r="B1067" s="4">
        <f>AVERAGE(B77:B88)</f>
        <v>16.977716666666666</v>
      </c>
      <c r="C1067" s="4">
        <f>AVERAGE(C77:C88)</f>
        <v>16.614450000000001</v>
      </c>
      <c r="D1067" s="4">
        <f>AVERAGE(D77:D88)</f>
        <v>24.701224999999997</v>
      </c>
      <c r="E1067" s="4">
        <f>AVERAGE(E77:E88)</f>
        <v>108.33210183105474</v>
      </c>
    </row>
    <row r="1068" spans="1:5" ht="15">
      <c r="A1068" s="3">
        <v>2020</v>
      </c>
      <c r="B1068" s="4">
        <f>AVERAGE(B89:B100)</f>
        <v>17.611075</v>
      </c>
      <c r="C1068" s="4">
        <f>AVERAGE(C89:C100)</f>
        <v>17.247791666666668</v>
      </c>
      <c r="D1068" s="4">
        <f>AVERAGE(D89:D100)</f>
        <v>25.433641666666663</v>
      </c>
      <c r="E1068" s="4">
        <f>AVERAGE(E89:E100)</f>
        <v>111.18210030517582</v>
      </c>
    </row>
    <row r="1069" spans="1:5" ht="15">
      <c r="A1069" s="3">
        <v>2021</v>
      </c>
      <c r="B1069" s="4">
        <f>AVERAGE(B101:B112)</f>
        <v>18.072500000000002</v>
      </c>
      <c r="C1069" s="4">
        <f>AVERAGE(C101:C112)</f>
        <v>17.709233333333334</v>
      </c>
      <c r="D1069" s="4">
        <f>AVERAGE(D101:D112)</f>
        <v>26.013408333333331</v>
      </c>
      <c r="E1069" s="4">
        <f>AVERAGE(E101:E112)</f>
        <v>113.05210305175801</v>
      </c>
    </row>
    <row r="1070" spans="1:5" ht="15">
      <c r="A1070" s="3">
        <v>2022</v>
      </c>
      <c r="B1070" s="4">
        <f>AVERAGE(B113:B124)</f>
        <v>18.129391666666667</v>
      </c>
      <c r="C1070" s="4">
        <f>AVERAGE(C113:C124)</f>
        <v>17.766116666666672</v>
      </c>
      <c r="D1070" s="4">
        <f>AVERAGE(D113:D124)</f>
        <v>26.620716666666667</v>
      </c>
      <c r="E1070" s="4">
        <f>AVERAGE(E113:E124)</f>
        <v>114.382730493164</v>
      </c>
    </row>
    <row r="1071" spans="1:5" ht="15">
      <c r="A1071" s="3">
        <v>2023</v>
      </c>
      <c r="B1071" s="4">
        <f>AVERAGE(B125:B136)</f>
        <v>18.889075000000002</v>
      </c>
      <c r="C1071" s="4">
        <f>AVERAGE(C125:C136)</f>
        <v>18.525816666666667</v>
      </c>
      <c r="D1071" s="4">
        <f>AVERAGE(D125:D136)</f>
        <v>27.707999999999998</v>
      </c>
      <c r="E1071" s="4">
        <f>AVERAGE(E125:E136)</f>
        <v>119.10154915771483</v>
      </c>
    </row>
    <row r="1072" spans="1:5" ht="15">
      <c r="A1072" s="3">
        <v>2024</v>
      </c>
      <c r="B1072" s="4">
        <f>AVERAGE(B137:B148)</f>
        <v>19.724499999999999</v>
      </c>
      <c r="C1072" s="4">
        <f>AVERAGE(C137:C148)</f>
        <v>19.3612</v>
      </c>
      <c r="D1072" s="4">
        <f>AVERAGE(D137:D148)</f>
        <v>28.741125000000007</v>
      </c>
      <c r="E1072" s="4">
        <f>AVERAGE(E137:E148)</f>
        <v>124.01472664794905</v>
      </c>
    </row>
    <row r="1073" spans="1:5" ht="15">
      <c r="A1073" s="3">
        <v>2025</v>
      </c>
      <c r="B1073" s="4">
        <f>AVERAGE(B149:B160)</f>
        <v>20.689374999999998</v>
      </c>
      <c r="C1073" s="4">
        <f>AVERAGE(C149:C160)</f>
        <v>20.3261</v>
      </c>
      <c r="D1073" s="4">
        <f>AVERAGE(D149:D160)</f>
        <v>29.724883333333334</v>
      </c>
      <c r="E1073" s="4">
        <f>AVERAGE(E149:E160)</f>
        <v>129.11004067382817</v>
      </c>
    </row>
    <row r="1074" spans="1:5" ht="15">
      <c r="A1074" s="3">
        <v>2026</v>
      </c>
      <c r="B1074" s="4">
        <f>AVERAGE(B161:B172)</f>
        <v>21.499624999999998</v>
      </c>
      <c r="C1074" s="4">
        <f>AVERAGE(C161:C172)</f>
        <v>21.136341666666667</v>
      </c>
      <c r="D1074" s="4">
        <f>AVERAGE(D161:D172)</f>
        <v>30.828741666666669</v>
      </c>
      <c r="E1074" s="4">
        <f>AVERAGE(E161:E172)</f>
        <v>134.43554116210944</v>
      </c>
    </row>
    <row r="1075" spans="1:5" ht="15">
      <c r="A1075" s="3">
        <v>2027</v>
      </c>
      <c r="B1075" s="4">
        <f>AVERAGE(B173:B184)</f>
        <v>22.351816666666668</v>
      </c>
      <c r="C1075" s="4">
        <f>AVERAGE(C173:C184)</f>
        <v>21.988533333333333</v>
      </c>
      <c r="D1075" s="4">
        <f>AVERAGE(D173:D184)</f>
        <v>31.884349999999998</v>
      </c>
      <c r="E1075" s="4">
        <f>AVERAGE(E173:E184)</f>
        <v>139.95969582519518</v>
      </c>
    </row>
    <row r="1076" spans="1:5" ht="15">
      <c r="A1076" s="3">
        <v>2028</v>
      </c>
      <c r="B1076" s="4">
        <f>AVERAGE(B185:B196)</f>
        <v>23.208316666666665</v>
      </c>
      <c r="C1076" s="4">
        <f>AVERAGE(C185:C196)</f>
        <v>22.845025000000003</v>
      </c>
      <c r="D1076" s="4">
        <f>AVERAGE(D185:D196)</f>
        <v>32.936049999999994</v>
      </c>
      <c r="E1076" s="4">
        <f>AVERAGE(E185:E196)</f>
        <v>145.71117592773442</v>
      </c>
    </row>
    <row r="1077" spans="1:5" ht="15">
      <c r="A1077" s="3">
        <v>2029</v>
      </c>
      <c r="B1077" s="4">
        <f>AVERAGE(B197:B208)</f>
        <v>24.148624999999999</v>
      </c>
      <c r="C1077" s="4">
        <f>AVERAGE(C197:C208)</f>
        <v>23.78533333333333</v>
      </c>
      <c r="D1077" s="4">
        <f>AVERAGE(D197:D208)</f>
        <v>34.028341666666662</v>
      </c>
      <c r="E1077" s="4">
        <f>AVERAGE(E197:E208)</f>
        <v>151.69915200195319</v>
      </c>
    </row>
    <row r="1078" spans="1:5" ht="15">
      <c r="A1078" s="3">
        <v>2030</v>
      </c>
      <c r="B1078" s="4">
        <f>AVERAGE(B209:B220)</f>
        <v>25.129641666666668</v>
      </c>
      <c r="C1078" s="4">
        <f>AVERAGE(C209:C220)</f>
        <v>24.766350000000003</v>
      </c>
      <c r="D1078" s="4">
        <f>AVERAGE(D209:D220)</f>
        <v>35.165325000000003</v>
      </c>
      <c r="E1078" s="4">
        <f>AVERAGE(E209:E220)</f>
        <v>157.94774819335933</v>
      </c>
    </row>
    <row r="1079" spans="1:5" ht="15">
      <c r="A1079" s="3">
        <v>2031</v>
      </c>
      <c r="B1079" s="4">
        <f>AVERAGE(B221:B232)</f>
        <v>25.559483333333333</v>
      </c>
      <c r="C1079" s="4">
        <f>AVERAGE(C221:C232)</f>
        <v>25.196216666666668</v>
      </c>
      <c r="D1079" s="4">
        <f>AVERAGE(D221:D232)</f>
        <v>35.689133333333331</v>
      </c>
      <c r="E1079" s="4">
        <f>AVERAGE(E221:E232)</f>
        <v>160.74624668761587</v>
      </c>
    </row>
    <row r="1080" spans="1:5" ht="15">
      <c r="A1080" s="3">
        <v>2032</v>
      </c>
      <c r="B1080" s="4">
        <f>AVERAGE(B233:B244)</f>
        <v>25.996949999999998</v>
      </c>
      <c r="C1080" s="4">
        <f>AVERAGE(C233:C244)</f>
        <v>25.633650000000003</v>
      </c>
      <c r="D1080" s="4">
        <f>AVERAGE(D233:D244)</f>
        <v>36.221174999999995</v>
      </c>
      <c r="E1080" s="4">
        <f>AVERAGE(E233:E244)</f>
        <v>163.59432928825268</v>
      </c>
    </row>
    <row r="1081" spans="1:5" ht="15">
      <c r="A1081" s="3">
        <v>2033</v>
      </c>
      <c r="B1081" s="4">
        <f>AVERAGE(B245:B256)</f>
        <v>26.442116666666667</v>
      </c>
      <c r="C1081" s="4">
        <f>AVERAGE(C245:C256)</f>
        <v>26.078841666666666</v>
      </c>
      <c r="D1081" s="4">
        <f>AVERAGE(D245:D256)</f>
        <v>36.761608333333335</v>
      </c>
      <c r="E1081" s="4">
        <f>AVERAGE(E245:E256)</f>
        <v>166.49287453196058</v>
      </c>
    </row>
    <row r="1082" spans="1:5" ht="15">
      <c r="A1082" s="3">
        <v>2034</v>
      </c>
      <c r="B1082" s="4">
        <f>AVERAGE(B257:B268)</f>
        <v>26.895150000000001</v>
      </c>
      <c r="C1082" s="4">
        <f>AVERAGE(C257:C268)</f>
        <v>26.531891666666667</v>
      </c>
      <c r="D1082" s="4">
        <f>AVERAGE(D257:D268)</f>
        <v>37.310524999999991</v>
      </c>
      <c r="E1082" s="4">
        <f>AVERAGE(E257:E268)</f>
        <v>169.44277652144035</v>
      </c>
    </row>
    <row r="1083" spans="1:5" ht="15">
      <c r="A1083" s="3">
        <v>2035</v>
      </c>
      <c r="B1083" s="4">
        <f>AVERAGE(B269:B280)</f>
        <v>27.356191666666671</v>
      </c>
      <c r="C1083" s="4">
        <f>AVERAGE(C269:C280)</f>
        <v>26.992925</v>
      </c>
      <c r="D1083" s="4">
        <f>AVERAGE(D269:D280)</f>
        <v>37.868083333333331</v>
      </c>
      <c r="E1083" s="4">
        <f>AVERAGE(E269:E280)</f>
        <v>172.44494520120375</v>
      </c>
    </row>
    <row r="1084" spans="1:5" ht="15">
      <c r="A1084" s="3">
        <v>2036</v>
      </c>
      <c r="B1084" s="4">
        <f>AVERAGE(B281:B292)</f>
        <v>27.825391666666665</v>
      </c>
      <c r="C1084" s="4">
        <f>AVERAGE(C281:C292)</f>
        <v>27.462116666666663</v>
      </c>
      <c r="D1084" s="4">
        <f>AVERAGE(D281:D292)</f>
        <v>38.43440833333333</v>
      </c>
      <c r="E1084" s="4">
        <f>AVERAGE(E281:E292)</f>
        <v>175.5003066382601</v>
      </c>
    </row>
    <row r="1085" spans="1:5" ht="15">
      <c r="A1085" s="3">
        <v>2037</v>
      </c>
      <c r="B1085" s="4">
        <f>AVERAGE(B293:B304)</f>
        <v>28.302875</v>
      </c>
      <c r="C1085" s="4">
        <f>AVERAGE(C293:C304)</f>
        <v>27.939600000000002</v>
      </c>
      <c r="D1085" s="4">
        <f>AVERAGE(D293:D304)</f>
        <v>39.009625</v>
      </c>
      <c r="E1085" s="4">
        <f>AVERAGE(E293:E304)</f>
        <v>178.60980330777656</v>
      </c>
    </row>
    <row r="1086" spans="1:5" ht="15">
      <c r="A1086" s="3">
        <f t="shared" ref="A1086:A1117" si="0">A1085+1</f>
        <v>2038</v>
      </c>
      <c r="B1086" s="4">
        <f>AVERAGE(B305:B316)</f>
        <v>28.788800000000005</v>
      </c>
      <c r="C1086" s="4">
        <f>AVERAGE(C305:C316)</f>
        <v>28.425525000000007</v>
      </c>
      <c r="D1086" s="4">
        <f>AVERAGE(D305:D316)</f>
        <v>39.593891666666664</v>
      </c>
      <c r="E1086" s="4">
        <f>AVERAGE(E305:E316)</f>
        <v>181.77439438379977</v>
      </c>
    </row>
    <row r="1087" spans="1:5" ht="15">
      <c r="A1087" s="3">
        <f t="shared" si="0"/>
        <v>2039</v>
      </c>
      <c r="B1087" s="4">
        <f>AVERAGE(B317:B328)</f>
        <v>29.283283333333333</v>
      </c>
      <c r="C1087" s="4">
        <f>AVERAGE(C317:C328)</f>
        <v>28.920008333333332</v>
      </c>
      <c r="D1087" s="4">
        <f>AVERAGE(D317:D328)</f>
        <v>40.187374999999996</v>
      </c>
      <c r="E1087" s="4">
        <f>AVERAGE(E317:E328)</f>
        <v>184.99505603512844</v>
      </c>
    </row>
    <row r="1088" spans="1:5" ht="15">
      <c r="A1088" s="3">
        <f t="shared" si="0"/>
        <v>2040</v>
      </c>
      <c r="B1088" s="4">
        <f>AVERAGE(B329:B340)</f>
        <v>29.786533333333335</v>
      </c>
      <c r="C1088" s="4">
        <f>AVERAGE(C329:C340)</f>
        <v>29.423266666666667</v>
      </c>
      <c r="D1088" s="4">
        <f>AVERAGE(D329:D340)</f>
        <v>40.790150000000004</v>
      </c>
      <c r="E1088" s="4">
        <f>AVERAGE(E329:E340)</f>
        <v>188.27278172642801</v>
      </c>
    </row>
    <row r="1089" spans="1:5" ht="15">
      <c r="A1089" s="3">
        <f t="shared" si="0"/>
        <v>2041</v>
      </c>
      <c r="B1089" s="4">
        <f>AVERAGE(B341:B352)</f>
        <v>30.298675000000003</v>
      </c>
      <c r="C1089" s="4">
        <f>AVERAGE(C341:C352)</f>
        <v>29.935383333333331</v>
      </c>
      <c r="D1089" s="4">
        <f>AVERAGE(D341:D352)</f>
        <v>41.402433333333327</v>
      </c>
      <c r="E1089" s="4">
        <f>AVERAGE(E341:E352)</f>
        <v>191.60858252468128</v>
      </c>
    </row>
    <row r="1090" spans="1:5" ht="15">
      <c r="A1090" s="3">
        <f t="shared" si="0"/>
        <v>2042</v>
      </c>
      <c r="B1090" s="4">
        <f>AVERAGE(B353:B364)</f>
        <v>30.819849999999999</v>
      </c>
      <c r="C1090" s="4">
        <f>AVERAGE(C353:C364)</f>
        <v>30.456550000000004</v>
      </c>
      <c r="D1090" s="4">
        <f>AVERAGE(D353:D364)</f>
        <v>42.024316666666657</v>
      </c>
      <c r="E1090" s="4">
        <f>AVERAGE(E353:E364)</f>
        <v>195.00348741106754</v>
      </c>
    </row>
    <row r="1091" spans="1:5" ht="15">
      <c r="A1091" s="3">
        <f t="shared" si="0"/>
        <v>2043</v>
      </c>
      <c r="B1091" s="4">
        <f>AVERAGE(B365:B376)</f>
        <v>31.350250000000003</v>
      </c>
      <c r="C1091" s="4">
        <f>AVERAGE(C365:C376)</f>
        <v>30.986966666666671</v>
      </c>
      <c r="D1091" s="4">
        <f>AVERAGE(D365:D376)</f>
        <v>42.656016666666666</v>
      </c>
      <c r="E1091" s="4">
        <f>AVERAGE(E365:E376)</f>
        <v>198.45854359836878</v>
      </c>
    </row>
    <row r="1092" spans="1:5" ht="15">
      <c r="A1092" s="3">
        <f t="shared" si="0"/>
        <v>2044</v>
      </c>
      <c r="B1092" s="4">
        <f>AVERAGE(B377:B388)</f>
        <v>31.89</v>
      </c>
      <c r="C1092" s="4">
        <f>AVERAGE(C377:C388)</f>
        <v>31.526708333333328</v>
      </c>
      <c r="D1092" s="4">
        <f>AVERAGE(D377:D388)</f>
        <v>43.297608333333329</v>
      </c>
      <c r="E1092" s="4">
        <f>AVERAGE(E377:E388)</f>
        <v>201.97481685399919</v>
      </c>
    </row>
    <row r="1093" spans="1:5" ht="15">
      <c r="A1093" s="3">
        <f t="shared" si="0"/>
        <v>2045</v>
      </c>
      <c r="B1093" s="4">
        <f>AVERAGE(B389:B400)</f>
        <v>32.439291666666669</v>
      </c>
      <c r="C1093" s="4">
        <f>AVERAGE(C389:C400)</f>
        <v>32.076008333333334</v>
      </c>
      <c r="D1093" s="4">
        <f>AVERAGE(D389:D400)</f>
        <v>43.949308333333335</v>
      </c>
      <c r="E1093" s="4">
        <f>AVERAGE(E389:E400)</f>
        <v>205.55339182875767</v>
      </c>
    </row>
    <row r="1094" spans="1:5" ht="15">
      <c r="A1094" s="3">
        <f t="shared" si="0"/>
        <v>2046</v>
      </c>
      <c r="B1094" s="4">
        <f>AVERAGE(B401:B412)</f>
        <v>32.998291666666667</v>
      </c>
      <c r="C1094" s="4">
        <f>AVERAGE(C401:C412)</f>
        <v>32.635008333333339</v>
      </c>
      <c r="D1094" s="4">
        <f>AVERAGE(D401:D412)</f>
        <v>44.611250000000005</v>
      </c>
      <c r="E1094" s="4">
        <f>AVERAGE(E401:E412)</f>
        <v>209.19537239140706</v>
      </c>
    </row>
    <row r="1095" spans="1:5" ht="15">
      <c r="A1095" s="3">
        <f t="shared" si="0"/>
        <v>2047</v>
      </c>
      <c r="B1095" s="4">
        <f>AVERAGE(B413:B424)</f>
        <v>33.567166666666665</v>
      </c>
      <c r="C1095" s="4">
        <f>AVERAGE(C413:C424)</f>
        <v>33.20388333333333</v>
      </c>
      <c r="D1095" s="4">
        <f>AVERAGE(D413:D424)</f>
        <v>45.283608333333341</v>
      </c>
      <c r="E1095" s="4">
        <f>AVERAGE(E413:E424)</f>
        <v>212.90188196917777</v>
      </c>
    </row>
    <row r="1096" spans="1:5" ht="15">
      <c r="A1096" s="3">
        <f t="shared" si="0"/>
        <v>2048</v>
      </c>
      <c r="B1096" s="4">
        <f>AVERAGE(B425:B436)</f>
        <v>34.146083333333337</v>
      </c>
      <c r="C1096" s="4">
        <f>AVERAGE(C425:C436)</f>
        <v>33.782808333333328</v>
      </c>
      <c r="D1096" s="4">
        <f>AVERAGE(D425:D436)</f>
        <v>45.966541666666664</v>
      </c>
      <c r="E1096" s="4">
        <f>AVERAGE(E425:E436)</f>
        <v>216.67406389430994</v>
      </c>
    </row>
    <row r="1097" spans="1:5" ht="15">
      <c r="A1097" s="3">
        <f t="shared" si="0"/>
        <v>2049</v>
      </c>
      <c r="B1097" s="4">
        <f>AVERAGE(B437:B448)</f>
        <v>34.735258333333327</v>
      </c>
      <c r="C1097" s="4">
        <f>AVERAGE(C437:C448)</f>
        <v>34.371958333333332</v>
      </c>
      <c r="D1097" s="4">
        <f>AVERAGE(D437:D448)</f>
        <v>46.660216666666678</v>
      </c>
      <c r="E1097" s="4">
        <f>AVERAGE(E437:E448)</f>
        <v>220.51308175673003</v>
      </c>
    </row>
    <row r="1098" spans="1:5" ht="15">
      <c r="A1098" s="3">
        <f t="shared" si="0"/>
        <v>2050</v>
      </c>
      <c r="B1098" s="4">
        <f>AVERAGE(B449:B460)</f>
        <v>35.334808333333328</v>
      </c>
      <c r="C1098" s="4">
        <f>AVERAGE(C449:C460)</f>
        <v>34.971541666666674</v>
      </c>
      <c r="D1098" s="4">
        <f>AVERAGE(D449:D460)</f>
        <v>47.364800000000002</v>
      </c>
      <c r="E1098" s="4">
        <f>AVERAGE(E449:E460)</f>
        <v>224.42011976297957</v>
      </c>
    </row>
    <row r="1099" spans="1:5" ht="15">
      <c r="A1099" s="3">
        <f t="shared" si="0"/>
        <v>2051</v>
      </c>
      <c r="B1099" s="4">
        <f>AVERAGE(B461:B472)</f>
        <v>35.944983333333333</v>
      </c>
      <c r="C1099" s="4">
        <f>AVERAGE(C461:C472)</f>
        <v>35.581699999999991</v>
      </c>
      <c r="D1099" s="4">
        <f>AVERAGE(D461:D472)</f>
        <v>48.080449999999992</v>
      </c>
      <c r="E1099" s="4">
        <f>AVERAGE(E461:E472)</f>
        <v>228.39638310150403</v>
      </c>
    </row>
    <row r="1100" spans="1:5" ht="15">
      <c r="A1100" s="3">
        <f t="shared" si="0"/>
        <v>2052</v>
      </c>
      <c r="B1100" s="4">
        <f>AVERAGE(B473:B484)</f>
        <v>36.565916666666674</v>
      </c>
      <c r="C1100" s="4">
        <f>AVERAGE(C473:C484)</f>
        <v>36.202649999999998</v>
      </c>
      <c r="D1100" s="4">
        <f>AVERAGE(D473:D484)</f>
        <v>48.807358333333333</v>
      </c>
      <c r="E1100" s="4">
        <f>AVERAGE(E473:E484)</f>
        <v>232.44309831440958</v>
      </c>
    </row>
    <row r="1101" spans="1:5" ht="15">
      <c r="A1101" s="3">
        <f t="shared" si="0"/>
        <v>2053</v>
      </c>
      <c r="B1101" s="4">
        <f>AVERAGE(B485:B496)</f>
        <v>37.197816666666661</v>
      </c>
      <c r="C1101" s="4">
        <f>AVERAGE(C485:C496)</f>
        <v>36.834533333333333</v>
      </c>
      <c r="D1101" s="4">
        <f>AVERAGE(D485:D496)</f>
        <v>49.545683333333329</v>
      </c>
      <c r="E1101" s="4">
        <f>AVERAGE(E485:E496)</f>
        <v>236.56151367581279</v>
      </c>
    </row>
    <row r="1102" spans="1:5" ht="15">
      <c r="A1102" s="3">
        <f t="shared" si="0"/>
        <v>2054</v>
      </c>
      <c r="B1102" s="4">
        <f>AVERAGE(B497:B508)</f>
        <v>37.840908333333331</v>
      </c>
      <c r="C1102" s="4">
        <f>AVERAGE(C497:C508)</f>
        <v>37.477625000000003</v>
      </c>
      <c r="D1102" s="4">
        <f>AVERAGE(D497:D508)</f>
        <v>50.295633333333335</v>
      </c>
      <c r="E1102" s="4">
        <f>AVERAGE(E497:E508)</f>
        <v>240.75289957688861</v>
      </c>
    </row>
    <row r="1103" spans="1:5" ht="15">
      <c r="A1103" s="3">
        <f t="shared" si="0"/>
        <v>2055</v>
      </c>
      <c r="B1103" s="4">
        <f>AVERAGE(B509:B520)</f>
        <v>38.495333333333342</v>
      </c>
      <c r="C1103" s="4">
        <f>AVERAGE(C509:C520)</f>
        <v>38.132066666666667</v>
      </c>
      <c r="D1103" s="4">
        <f>AVERAGE(D509:D520)</f>
        <v>51.057383333333327</v>
      </c>
      <c r="E1103" s="4">
        <f>AVERAGE(E509:E520)</f>
        <v>245.01854891774391</v>
      </c>
    </row>
    <row r="1104" spans="1:5" ht="15">
      <c r="A1104" s="3">
        <f t="shared" si="0"/>
        <v>2056</v>
      </c>
      <c r="B1104" s="4">
        <f>AVERAGE(B521:B532)</f>
        <v>39.161349999999992</v>
      </c>
      <c r="C1104" s="4">
        <f>AVERAGE(C521:C532)</f>
        <v>38.798058333333337</v>
      </c>
      <c r="D1104" s="4">
        <f>AVERAGE(D521:D532)</f>
        <v>51.831116666666674</v>
      </c>
      <c r="E1104" s="4">
        <f>AVERAGE(E521:E532)</f>
        <v>249.35977750623235</v>
      </c>
    </row>
    <row r="1105" spans="1:5" ht="15">
      <c r="A1105" s="3">
        <f t="shared" si="0"/>
        <v>2057</v>
      </c>
      <c r="B1105" s="4">
        <f>AVERAGE(B533:B544)</f>
        <v>39.839108333333336</v>
      </c>
      <c r="C1105" s="4">
        <f>AVERAGE(C533:C544)</f>
        <v>39.475833333333334</v>
      </c>
      <c r="D1105" s="4">
        <f>AVERAGE(D533:D544)</f>
        <v>52.617008333333324</v>
      </c>
      <c r="E1105" s="4">
        <f>AVERAGE(E533:E544)</f>
        <v>253.77792446383739</v>
      </c>
    </row>
    <row r="1106" spans="1:5" ht="15">
      <c r="A1106" s="3">
        <f t="shared" si="0"/>
        <v>2058</v>
      </c>
      <c r="B1106" s="4">
        <f>AVERAGE(B545:B556)</f>
        <v>40.528849999999998</v>
      </c>
      <c r="C1106" s="4">
        <f>AVERAGE(C545:C556)</f>
        <v>40.165574999999997</v>
      </c>
      <c r="D1106" s="4">
        <f>AVERAGE(D545:D556)</f>
        <v>53.415241666666667</v>
      </c>
      <c r="E1106" s="4">
        <f>AVERAGE(E545:E556)</f>
        <v>258.27435263874543</v>
      </c>
    </row>
    <row r="1107" spans="1:5" ht="15">
      <c r="A1107" s="3">
        <f t="shared" si="0"/>
        <v>2059</v>
      </c>
      <c r="B1107" s="4">
        <f>AVERAGE(B557:B568)</f>
        <v>41.230783333333342</v>
      </c>
      <c r="C1107" s="4">
        <f>AVERAGE(C557:C568)</f>
        <v>40.8675</v>
      </c>
      <c r="D1107" s="4">
        <f>AVERAGE(D557:D568)</f>
        <v>54.226033333333326</v>
      </c>
      <c r="E1107" s="4">
        <f>AVERAGE(E557:E568)</f>
        <v>262.85044902623775</v>
      </c>
    </row>
    <row r="1108" spans="1:5" ht="15">
      <c r="A1108" s="3">
        <f t="shared" si="0"/>
        <v>2060</v>
      </c>
      <c r="B1108" s="4">
        <f>AVERAGE(B569:B580)</f>
        <v>41.945108333333344</v>
      </c>
      <c r="C1108" s="4">
        <f>AVERAGE(C569:C580)</f>
        <v>41.581825000000002</v>
      </c>
      <c r="D1108" s="4">
        <f>AVERAGE(D569:D580)</f>
        <v>55.049600000000005</v>
      </c>
      <c r="E1108" s="4">
        <f>AVERAGE(E569:E580)</f>
        <v>267.50762519653125</v>
      </c>
    </row>
    <row r="1109" spans="1:5" ht="15">
      <c r="A1109" s="3">
        <f t="shared" si="0"/>
        <v>2061</v>
      </c>
      <c r="B1109" s="4">
        <f>AVERAGE(B581:B592)</f>
        <v>42.67208333333334</v>
      </c>
      <c r="C1109" s="4">
        <f>AVERAGE(C581:C592)</f>
        <v>42.308791666666671</v>
      </c>
      <c r="D1109" s="4">
        <f>AVERAGE(D581:D592)</f>
        <v>55.886083333333339</v>
      </c>
      <c r="E1109" s="4">
        <f>AVERAGE(E581:E592)</f>
        <v>272.24731773020153</v>
      </c>
    </row>
    <row r="1110" spans="1:5" ht="15">
      <c r="A1110" s="3">
        <f t="shared" si="0"/>
        <v>2062</v>
      </c>
      <c r="B1110" s="4">
        <f t="shared" ref="B1110:E1129" ca="1" si="1">AVERAGE(OFFSET(B$593,($A1110-$A$1110)*12,0,12,1))</f>
        <v>43.411858333333328</v>
      </c>
      <c r="C1110" s="4">
        <f t="shared" ca="1" si="1"/>
        <v>43.04858333333334</v>
      </c>
      <c r="D1110" s="4">
        <f t="shared" ca="1" si="1"/>
        <v>56.735741666666662</v>
      </c>
      <c r="E1110" s="4">
        <f t="shared" ca="1" si="1"/>
        <v>277.07098866131662</v>
      </c>
    </row>
    <row r="1111" spans="1:5" ht="15">
      <c r="A1111" s="3">
        <f t="shared" si="0"/>
        <v>2063</v>
      </c>
      <c r="B1111" s="4">
        <f t="shared" ca="1" si="1"/>
        <v>44.164733333333338</v>
      </c>
      <c r="C1111" s="4">
        <f t="shared" ca="1" si="1"/>
        <v>43.801458333333329</v>
      </c>
      <c r="D1111" s="4">
        <f t="shared" ca="1" si="1"/>
        <v>57.598741666666662</v>
      </c>
      <c r="E1111" s="4">
        <f t="shared" ca="1" si="1"/>
        <v>281.98012592842747</v>
      </c>
    </row>
    <row r="1112" spans="1:5" ht="15">
      <c r="A1112" s="3">
        <f t="shared" si="0"/>
        <v>2064</v>
      </c>
      <c r="B1112" s="4">
        <f t="shared" ca="1" si="1"/>
        <v>44.930891666666668</v>
      </c>
      <c r="C1112" s="4">
        <f t="shared" ca="1" si="1"/>
        <v>44.567625</v>
      </c>
      <c r="D1112" s="4">
        <f t="shared" ca="1" si="1"/>
        <v>58.475324999999998</v>
      </c>
      <c r="E1112" s="4">
        <f t="shared" ca="1" si="1"/>
        <v>286.97624383354406</v>
      </c>
    </row>
    <row r="1113" spans="1:5" ht="15">
      <c r="A1113" s="3">
        <f t="shared" si="0"/>
        <v>2065</v>
      </c>
      <c r="B1113" s="4">
        <f t="shared" ca="1" si="1"/>
        <v>45.710608333333333</v>
      </c>
      <c r="C1113" s="4">
        <f t="shared" ca="1" si="1"/>
        <v>45.347325000000005</v>
      </c>
      <c r="D1113" s="4">
        <f t="shared" ca="1" si="1"/>
        <v>59.365708333333345</v>
      </c>
      <c r="E1113" s="4">
        <f t="shared" ca="1" si="1"/>
        <v>292.06088350924767</v>
      </c>
    </row>
    <row r="1114" spans="1:5" ht="15">
      <c r="A1114" s="3">
        <f t="shared" si="0"/>
        <v>2066</v>
      </c>
      <c r="B1114" s="4">
        <f t="shared" ca="1" si="1"/>
        <v>46.504091666666675</v>
      </c>
      <c r="C1114" s="4">
        <f t="shared" ca="1" si="1"/>
        <v>46.140808333333332</v>
      </c>
      <c r="D1114" s="4">
        <f t="shared" ca="1" si="1"/>
        <v>60.270066666666658</v>
      </c>
      <c r="E1114" s="4">
        <f t="shared" ca="1" si="1"/>
        <v>297.23561339407746</v>
      </c>
    </row>
    <row r="1115" spans="1:5" ht="15">
      <c r="A1115" s="3">
        <f t="shared" si="0"/>
        <v>2067</v>
      </c>
      <c r="B1115" s="4">
        <f t="shared" ca="1" si="1"/>
        <v>47.311574999999998</v>
      </c>
      <c r="C1115" s="4">
        <f t="shared" ca="1" si="1"/>
        <v>46.948308333333337</v>
      </c>
      <c r="D1115" s="4">
        <f t="shared" ca="1" si="1"/>
        <v>61.188658333333329</v>
      </c>
      <c r="E1115" s="4">
        <f t="shared" ca="1" si="1"/>
        <v>302.50202971634008</v>
      </c>
    </row>
    <row r="1116" spans="1:5" ht="15">
      <c r="A1116" s="3">
        <f t="shared" si="0"/>
        <v>2068</v>
      </c>
      <c r="B1116" s="4">
        <f t="shared" ca="1" si="1"/>
        <v>48.133350000000007</v>
      </c>
      <c r="C1116" s="4">
        <f t="shared" ca="1" si="1"/>
        <v>47.770083333333325</v>
      </c>
      <c r="D1116" s="4">
        <f t="shared" ca="1" si="1"/>
        <v>62.121699999999997</v>
      </c>
      <c r="E1116" s="4">
        <f t="shared" ca="1" si="1"/>
        <v>307.86175698649259</v>
      </c>
    </row>
    <row r="1117" spans="1:5" ht="15">
      <c r="A1117" s="3">
        <f t="shared" si="0"/>
        <v>2069</v>
      </c>
      <c r="B1117" s="4">
        <f t="shared" ca="1" si="1"/>
        <v>48.969650000000001</v>
      </c>
      <c r="C1117" s="4">
        <f t="shared" ca="1" si="1"/>
        <v>48.606366666666666</v>
      </c>
      <c r="D1117" s="4">
        <f t="shared" ca="1" si="1"/>
        <v>63.069400000000002</v>
      </c>
      <c r="E1117" s="4">
        <f t="shared" ca="1" si="1"/>
        <v>313.31644849824767</v>
      </c>
    </row>
    <row r="1118" spans="1:5" ht="15">
      <c r="A1118" s="3">
        <f t="shared" ref="A1118:A1148" si="2">A1117+1</f>
        <v>2070</v>
      </c>
      <c r="B1118" s="4">
        <f t="shared" ca="1" si="1"/>
        <v>49.820708333333329</v>
      </c>
      <c r="C1118" s="4">
        <f t="shared" ca="1" si="1"/>
        <v>49.457425000000001</v>
      </c>
      <c r="D1118" s="4">
        <f t="shared" ca="1" si="1"/>
        <v>64.032016666666678</v>
      </c>
      <c r="E1118" s="4">
        <f t="shared" ca="1" si="1"/>
        <v>318.86778683855999</v>
      </c>
    </row>
    <row r="1119" spans="1:5" ht="15">
      <c r="A1119" s="3">
        <f t="shared" si="2"/>
        <v>2071</v>
      </c>
      <c r="B1119" s="4">
        <f t="shared" ca="1" si="1"/>
        <v>50.686808333333325</v>
      </c>
      <c r="C1119" s="4">
        <f t="shared" ca="1" si="1"/>
        <v>50.32353333333333</v>
      </c>
      <c r="D1119" s="4">
        <f t="shared" ca="1" si="1"/>
        <v>65.009758333333323</v>
      </c>
      <c r="E1119" s="4">
        <f t="shared" ca="1" si="1"/>
        <v>324.51748440664556</v>
      </c>
    </row>
    <row r="1120" spans="1:5" ht="15">
      <c r="A1120" s="3">
        <f t="shared" si="2"/>
        <v>2072</v>
      </c>
      <c r="B1120" s="4">
        <f t="shared" ca="1" si="1"/>
        <v>51.568199999999997</v>
      </c>
      <c r="C1120" s="4">
        <f t="shared" ca="1" si="1"/>
        <v>51.204933333333337</v>
      </c>
      <c r="D1120" s="4">
        <f t="shared" ca="1" si="1"/>
        <v>66.002891666666685</v>
      </c>
      <c r="E1120" s="4">
        <f t="shared" ca="1" si="1"/>
        <v>330.26728394220004</v>
      </c>
    </row>
    <row r="1121" spans="1:5" ht="15">
      <c r="A1121" s="3">
        <f t="shared" si="2"/>
        <v>2073</v>
      </c>
      <c r="B1121" s="4">
        <f t="shared" ca="1" si="1"/>
        <v>52.465191666666669</v>
      </c>
      <c r="C1121" s="4">
        <f t="shared" ca="1" si="1"/>
        <v>52.10189166666666</v>
      </c>
      <c r="D1121" s="4">
        <f t="shared" ca="1" si="1"/>
        <v>67.011633333333336</v>
      </c>
      <c r="E1121" s="4">
        <f t="shared" ca="1" si="1"/>
        <v>336.11895906297372</v>
      </c>
    </row>
    <row r="1122" spans="1:5" ht="15">
      <c r="A1122" s="3">
        <f t="shared" si="2"/>
        <v>2074</v>
      </c>
      <c r="B1122" s="4">
        <f t="shared" ca="1" si="1"/>
        <v>53.378025000000001</v>
      </c>
      <c r="C1122" s="4">
        <f t="shared" ca="1" si="1"/>
        <v>53.014724999999999</v>
      </c>
      <c r="D1122" s="4">
        <f t="shared" ca="1" si="1"/>
        <v>68.036225000000002</v>
      </c>
      <c r="E1122" s="4">
        <f t="shared" ca="1" si="1"/>
        <v>342.07431481187274</v>
      </c>
    </row>
    <row r="1123" spans="1:5" ht="15">
      <c r="A1123" s="3">
        <f t="shared" si="2"/>
        <v>2075</v>
      </c>
      <c r="B1123" s="4">
        <f t="shared" ca="1" si="1"/>
        <v>54.306966666666661</v>
      </c>
      <c r="C1123" s="4">
        <f t="shared" ca="1" si="1"/>
        <v>53.943683333333347</v>
      </c>
      <c r="D1123" s="4">
        <f t="shared" ca="1" si="1"/>
        <v>69.076933333333344</v>
      </c>
      <c r="E1123" s="4">
        <f t="shared" ca="1" si="1"/>
        <v>348.13518821375374</v>
      </c>
    </row>
    <row r="1124" spans="1:5" ht="15">
      <c r="A1124" s="3">
        <f t="shared" si="2"/>
        <v>2076</v>
      </c>
      <c r="B1124" s="4">
        <f t="shared" ca="1" si="1"/>
        <v>55.252341666666666</v>
      </c>
      <c r="C1124" s="4">
        <f t="shared" ca="1" si="1"/>
        <v>54.889058333333338</v>
      </c>
      <c r="D1124" s="4">
        <f t="shared" ca="1" si="1"/>
        <v>70.134008333333341</v>
      </c>
      <c r="E1124" s="4">
        <f t="shared" ca="1" si="1"/>
        <v>354.3034488420829</v>
      </c>
    </row>
    <row r="1125" spans="1:5" ht="15">
      <c r="A1125" s="3">
        <f t="shared" si="2"/>
        <v>2077</v>
      </c>
      <c r="B1125" s="4">
        <f t="shared" ca="1" si="1"/>
        <v>56.214408333333331</v>
      </c>
      <c r="C1125" s="4">
        <f t="shared" ca="1" si="1"/>
        <v>55.851116666666663</v>
      </c>
      <c r="D1125" s="4">
        <f t="shared" ca="1" si="1"/>
        <v>71.207700000000003</v>
      </c>
      <c r="E1125" s="4">
        <f t="shared" ca="1" si="1"/>
        <v>360.58099939563641</v>
      </c>
    </row>
    <row r="1126" spans="1:5" ht="15">
      <c r="A1126" s="3">
        <f t="shared" si="2"/>
        <v>2078</v>
      </c>
      <c r="B1126" s="4">
        <f t="shared" ca="1" si="1"/>
        <v>57.193466666666673</v>
      </c>
      <c r="C1126" s="4">
        <f t="shared" ca="1" si="1"/>
        <v>56.830175000000018</v>
      </c>
      <c r="D1126" s="4">
        <f t="shared" ca="1" si="1"/>
        <v>72.29828333333333</v>
      </c>
      <c r="E1126" s="4">
        <f t="shared" ca="1" si="1"/>
        <v>366.96977628541777</v>
      </c>
    </row>
    <row r="1127" spans="1:5" ht="15">
      <c r="A1127" s="3">
        <f t="shared" si="2"/>
        <v>2079</v>
      </c>
      <c r="B1127" s="4">
        <f t="shared" ca="1" si="1"/>
        <v>58.189816666666673</v>
      </c>
      <c r="C1127" s="4">
        <f t="shared" ca="1" si="1"/>
        <v>57.826533333333323</v>
      </c>
      <c r="D1127" s="4">
        <f t="shared" ca="1" si="1"/>
        <v>73.406025</v>
      </c>
      <c r="E1127" s="4">
        <f t="shared" ca="1" si="1"/>
        <v>373.47175023197627</v>
      </c>
    </row>
    <row r="1128" spans="1:5" ht="15">
      <c r="A1128" s="3">
        <f t="shared" si="2"/>
        <v>2080</v>
      </c>
      <c r="B1128" s="4">
        <f t="shared" ca="1" si="1"/>
        <v>59.203775</v>
      </c>
      <c r="C1128" s="4">
        <f t="shared" ca="1" si="1"/>
        <v>58.840508333333325</v>
      </c>
      <c r="D1128" s="4">
        <f t="shared" ca="1" si="1"/>
        <v>74.531191666666686</v>
      </c>
      <c r="E1128" s="4">
        <f t="shared" ca="1" si="1"/>
        <v>380.08892687330496</v>
      </c>
    </row>
    <row r="1129" spans="1:5" ht="15">
      <c r="A1129" s="3">
        <f t="shared" si="2"/>
        <v>2081</v>
      </c>
      <c r="B1129" s="4">
        <f t="shared" ca="1" si="1"/>
        <v>60.235674999999993</v>
      </c>
      <c r="C1129" s="4">
        <f t="shared" ca="1" si="1"/>
        <v>59.872400000000006</v>
      </c>
      <c r="D1129" s="4">
        <f t="shared" ca="1" si="1"/>
        <v>75.674024999999986</v>
      </c>
      <c r="E1129" s="4">
        <f t="shared" ca="1" si="1"/>
        <v>386.82334738351432</v>
      </c>
    </row>
    <row r="1130" spans="1:5" ht="15">
      <c r="A1130" s="3">
        <f t="shared" si="2"/>
        <v>2082</v>
      </c>
      <c r="B1130" s="4">
        <f t="shared" ref="B1130:E1148" ca="1" si="3">AVERAGE(OFFSET(B$593,($A1130-$A$1110)*12,0,12,1))</f>
        <v>61.285791666666661</v>
      </c>
      <c r="C1130" s="4">
        <f t="shared" ca="1" si="3"/>
        <v>60.922508333333333</v>
      </c>
      <c r="D1130" s="4">
        <f t="shared" ca="1" si="3"/>
        <v>76.834850000000003</v>
      </c>
      <c r="E1130" s="4">
        <f t="shared" ca="1" si="3"/>
        <v>393.67708910246239</v>
      </c>
    </row>
    <row r="1131" spans="1:5" ht="15">
      <c r="A1131" s="3">
        <f t="shared" si="2"/>
        <v>2083</v>
      </c>
      <c r="B1131" s="4">
        <f t="shared" ca="1" si="3"/>
        <v>62.354466666666674</v>
      </c>
      <c r="C1131" s="4">
        <f t="shared" ca="1" si="3"/>
        <v>61.991175000000005</v>
      </c>
      <c r="D1131" s="4">
        <f t="shared" ca="1" si="3"/>
        <v>78.013908333333333</v>
      </c>
      <c r="E1131" s="4">
        <f t="shared" ca="1" si="3"/>
        <v>400.65226617654633</v>
      </c>
    </row>
    <row r="1132" spans="1:5" ht="15">
      <c r="A1132" s="3">
        <f t="shared" si="2"/>
        <v>2084</v>
      </c>
      <c r="B1132" s="4">
        <f t="shared" ca="1" si="3"/>
        <v>63.441991666666659</v>
      </c>
      <c r="C1132" s="4">
        <f t="shared" ca="1" si="3"/>
        <v>63.078724999999984</v>
      </c>
      <c r="D1132" s="4">
        <f t="shared" ca="1" si="3"/>
        <v>79.211516666666668</v>
      </c>
      <c r="E1132" s="4">
        <f t="shared" ca="1" si="3"/>
        <v>407.75103021084266</v>
      </c>
    </row>
    <row r="1133" spans="1:5" ht="15">
      <c r="A1133" s="3">
        <f t="shared" si="2"/>
        <v>2085</v>
      </c>
      <c r="B1133" s="4">
        <f t="shared" ca="1" si="3"/>
        <v>64.548766666666666</v>
      </c>
      <c r="C1133" s="4">
        <f t="shared" ca="1" si="3"/>
        <v>64.185500000000005</v>
      </c>
      <c r="D1133" s="4">
        <f t="shared" ca="1" si="3"/>
        <v>80.427949999999996</v>
      </c>
      <c r="E1133" s="4">
        <f t="shared" ca="1" si="3"/>
        <v>414.97557093280528</v>
      </c>
    </row>
    <row r="1134" spans="1:5" ht="15">
      <c r="A1134" s="3">
        <f t="shared" si="2"/>
        <v>2086</v>
      </c>
      <c r="B1134" s="4">
        <f t="shared" ca="1" si="3"/>
        <v>65.67509166666666</v>
      </c>
      <c r="C1134" s="4">
        <f t="shared" ca="1" si="3"/>
        <v>65.311799999999991</v>
      </c>
      <c r="D1134" s="4">
        <f t="shared" ca="1" si="3"/>
        <v>81.663550000000001</v>
      </c>
      <c r="E1134" s="4">
        <f t="shared" ca="1" si="3"/>
        <v>422.32811686772169</v>
      </c>
    </row>
    <row r="1135" spans="1:5" ht="15">
      <c r="A1135" s="3">
        <f t="shared" si="2"/>
        <v>2087</v>
      </c>
      <c r="B1135" s="4">
        <f t="shared" ca="1" si="3"/>
        <v>66.821316666666675</v>
      </c>
      <c r="C1135" s="4">
        <f t="shared" ca="1" si="3"/>
        <v>66.458024999999992</v>
      </c>
      <c r="D1135" s="4">
        <f t="shared" ca="1" si="3"/>
        <v>82.918541666666655</v>
      </c>
      <c r="E1135" s="4">
        <f t="shared" ca="1" si="3"/>
        <v>429.81093602613697</v>
      </c>
    </row>
    <row r="1136" spans="1:5" ht="15">
      <c r="A1136" s="3">
        <f t="shared" si="2"/>
        <v>2088</v>
      </c>
      <c r="B1136" s="4">
        <f t="shared" ca="1" si="3"/>
        <v>67.987791666666652</v>
      </c>
      <c r="C1136" s="4">
        <f t="shared" ca="1" si="3"/>
        <v>67.624499999999983</v>
      </c>
      <c r="D1136" s="4">
        <f t="shared" ca="1" si="3"/>
        <v>84.193266666666673</v>
      </c>
      <c r="E1136" s="4">
        <f t="shared" ca="1" si="3"/>
        <v>437.42633660345928</v>
      </c>
    </row>
    <row r="1137" spans="1:5" ht="15">
      <c r="A1137" s="3">
        <f t="shared" si="2"/>
        <v>2089</v>
      </c>
      <c r="B1137" s="4">
        <f t="shared" ca="1" si="3"/>
        <v>69.174883333333327</v>
      </c>
      <c r="C1137" s="4">
        <f t="shared" ca="1" si="3"/>
        <v>68.811599999999999</v>
      </c>
      <c r="D1137" s="4">
        <f t="shared" ca="1" si="3"/>
        <v>85.488050000000001</v>
      </c>
      <c r="E1137" s="4">
        <f t="shared" ca="1" si="3"/>
        <v>445.17666769195779</v>
      </c>
    </row>
    <row r="1138" spans="1:5" ht="15">
      <c r="A1138" s="3">
        <f t="shared" si="2"/>
        <v>2090</v>
      </c>
      <c r="B1138" s="4">
        <f t="shared" ca="1" si="3"/>
        <v>70.382933333333327</v>
      </c>
      <c r="C1138" s="4">
        <f t="shared" ca="1" si="3"/>
        <v>70.019641666666658</v>
      </c>
      <c r="D1138" s="4">
        <f t="shared" ca="1" si="3"/>
        <v>86.803183333333337</v>
      </c>
      <c r="E1138" s="4">
        <f t="shared" ca="1" si="3"/>
        <v>453.06432000537893</v>
      </c>
    </row>
    <row r="1139" spans="1:5" ht="15">
      <c r="A1139" s="3">
        <f t="shared" si="2"/>
        <v>2091</v>
      </c>
      <c r="B1139" s="4">
        <f t="shared" ca="1" si="3"/>
        <v>71.612324999999984</v>
      </c>
      <c r="C1139" s="4">
        <f t="shared" ca="1" si="3"/>
        <v>71.249041666666656</v>
      </c>
      <c r="D1139" s="4">
        <f t="shared" ca="1" si="3"/>
        <v>88.139008333333337</v>
      </c>
      <c r="E1139" s="4">
        <f t="shared" ca="1" si="3"/>
        <v>461.09172661640082</v>
      </c>
    </row>
    <row r="1140" spans="1:5" ht="15">
      <c r="A1140" s="3">
        <f t="shared" si="2"/>
        <v>2092</v>
      </c>
      <c r="B1140" s="4">
        <f t="shared" ca="1" si="3"/>
        <v>72.86344166666666</v>
      </c>
      <c r="C1140" s="4">
        <f t="shared" ca="1" si="3"/>
        <v>72.500158333333331</v>
      </c>
      <c r="D1140" s="4">
        <f t="shared" ca="1" si="3"/>
        <v>89.495850000000004</v>
      </c>
      <c r="E1140" s="4">
        <f t="shared" ca="1" si="3"/>
        <v>469.26136370715238</v>
      </c>
    </row>
    <row r="1141" spans="1:5" ht="15">
      <c r="A1141" s="3">
        <f t="shared" si="2"/>
        <v>2093</v>
      </c>
      <c r="B1141" s="4">
        <f t="shared" ca="1" si="3"/>
        <v>74.136666666666656</v>
      </c>
      <c r="C1141" s="4">
        <f t="shared" ca="1" si="3"/>
        <v>73.773391666666654</v>
      </c>
      <c r="D1141" s="4">
        <f t="shared" ca="1" si="3"/>
        <v>90.873999999999981</v>
      </c>
      <c r="E1141" s="4">
        <f t="shared" ca="1" si="3"/>
        <v>477.57575133303135</v>
      </c>
    </row>
    <row r="1142" spans="1:5" ht="15">
      <c r="A1142" s="3">
        <f t="shared" si="2"/>
        <v>2094</v>
      </c>
      <c r="B1142" s="4">
        <f t="shared" ca="1" si="3"/>
        <v>75.432383333333306</v>
      </c>
      <c r="C1142" s="4">
        <f t="shared" ca="1" si="3"/>
        <v>75.069108333333318</v>
      </c>
      <c r="D1142" s="4">
        <f t="shared" ca="1" si="3"/>
        <v>92.273824999999988</v>
      </c>
      <c r="E1142" s="4">
        <f t="shared" ca="1" si="3"/>
        <v>486.03745420005743</v>
      </c>
    </row>
    <row r="1143" spans="1:5" ht="15">
      <c r="A1143" s="3">
        <f t="shared" si="2"/>
        <v>2095</v>
      </c>
      <c r="B1143" s="4">
        <f t="shared" ca="1" si="3"/>
        <v>76.751000000000005</v>
      </c>
      <c r="C1143" s="4">
        <f t="shared" ca="1" si="3"/>
        <v>76.387716666666662</v>
      </c>
      <c r="D1143" s="4">
        <f t="shared" ca="1" si="3"/>
        <v>93.695691666666661</v>
      </c>
      <c r="E1143" s="4">
        <f t="shared" ca="1" si="3"/>
        <v>494.64908245599423</v>
      </c>
    </row>
    <row r="1144" spans="1:5" ht="15">
      <c r="A1144" s="3">
        <f t="shared" si="2"/>
        <v>2096</v>
      </c>
      <c r="B1144" s="4">
        <f t="shared" ca="1" si="3"/>
        <v>78.09292499999998</v>
      </c>
      <c r="C1144" s="4">
        <f t="shared" ca="1" si="3"/>
        <v>77.729633333333325</v>
      </c>
      <c r="D1144" s="4">
        <f t="shared" ca="1" si="3"/>
        <v>95.139908333333324</v>
      </c>
      <c r="E1144" s="4">
        <f t="shared" ca="1" si="3"/>
        <v>503.4132924954942</v>
      </c>
    </row>
    <row r="1145" spans="1:5" ht="15">
      <c r="A1145" s="3">
        <f t="shared" si="2"/>
        <v>2097</v>
      </c>
      <c r="B1145" s="4">
        <f t="shared" ca="1" si="3"/>
        <v>79.458533333333335</v>
      </c>
      <c r="C1145" s="4">
        <f t="shared" ca="1" si="3"/>
        <v>79.095258333333334</v>
      </c>
      <c r="D1145" s="4">
        <f t="shared" ca="1" si="3"/>
        <v>96.606800000000007</v>
      </c>
      <c r="E1145" s="4">
        <f t="shared" ca="1" si="3"/>
        <v>512.33278777950375</v>
      </c>
    </row>
    <row r="1146" spans="1:5" ht="15">
      <c r="A1146" s="3">
        <f t="shared" si="2"/>
        <v>2098</v>
      </c>
      <c r="B1146" s="4">
        <f t="shared" ca="1" si="3"/>
        <v>80.848291666666654</v>
      </c>
      <c r="C1146" s="4">
        <f t="shared" ca="1" si="3"/>
        <v>80.484999999999999</v>
      </c>
      <c r="D1146" s="4">
        <f t="shared" ca="1" si="3"/>
        <v>98.096783333333306</v>
      </c>
      <c r="E1146" s="4">
        <f t="shared" ca="1" si="3"/>
        <v>521.41031966918922</v>
      </c>
    </row>
    <row r="1147" spans="1:5" ht="15">
      <c r="A1147" s="3">
        <f t="shared" si="2"/>
        <v>2099</v>
      </c>
      <c r="B1147" s="4">
        <f t="shared" ca="1" si="3"/>
        <v>82.262591666666651</v>
      </c>
      <c r="C1147" s="4">
        <f t="shared" ca="1" si="3"/>
        <v>81.899316666666664</v>
      </c>
      <c r="D1147" s="4">
        <f t="shared" ca="1" si="3"/>
        <v>99.610191666666665</v>
      </c>
      <c r="E1147" s="4">
        <f t="shared" ca="1" si="3"/>
        <v>530.64868827463999</v>
      </c>
    </row>
    <row r="1148" spans="1:5" ht="15">
      <c r="A1148" s="3">
        <f t="shared" si="2"/>
        <v>2100</v>
      </c>
      <c r="B1148" s="4">
        <f t="shared" ca="1" si="3"/>
        <v>83.701874999999987</v>
      </c>
      <c r="C1148" s="4">
        <f t="shared" ca="1" si="3"/>
        <v>83.338616666666667</v>
      </c>
      <c r="D1148" s="4">
        <f t="shared" ca="1" si="3"/>
        <v>101.147425</v>
      </c>
      <c r="E1148" s="4">
        <f t="shared" ca="1" si="3"/>
        <v>540.05074331860624</v>
      </c>
    </row>
    <row r="1149" spans="1:5">
      <c r="A1149" s="35"/>
    </row>
    <row r="1150" spans="1:5">
      <c r="A1150" s="35"/>
    </row>
    <row r="1151" spans="1:5">
      <c r="A1151" s="35"/>
    </row>
    <row r="1152" spans="1:5">
      <c r="A1152" s="35"/>
    </row>
    <row r="1153" spans="1:1">
      <c r="A1153" s="35"/>
    </row>
    <row r="1154" spans="1:1">
      <c r="A1154" s="35"/>
    </row>
    <row r="1155" spans="1:1">
      <c r="A1155" s="35"/>
    </row>
    <row r="1156" spans="1:1">
      <c r="A1156" s="35"/>
    </row>
    <row r="1157" spans="1:1">
      <c r="A1157" s="35"/>
    </row>
    <row r="1158" spans="1:1">
      <c r="A1158" s="35"/>
    </row>
    <row r="1159" spans="1:1">
      <c r="A1159" s="35"/>
    </row>
    <row r="1160" spans="1:1">
      <c r="A1160" s="35"/>
    </row>
    <row r="1161" spans="1:1">
      <c r="A1161" s="35"/>
    </row>
    <row r="1162" spans="1:1">
      <c r="A1162" s="35"/>
    </row>
    <row r="1163" spans="1:1">
      <c r="A1163" s="35"/>
    </row>
    <row r="1164" spans="1:1">
      <c r="A1164" s="35"/>
    </row>
    <row r="1165" spans="1:1">
      <c r="A1165" s="35"/>
    </row>
    <row r="1166" spans="1:1">
      <c r="A1166" s="35"/>
    </row>
    <row r="1167" spans="1:1">
      <c r="A1167" s="35"/>
    </row>
    <row r="1168" spans="1:1">
      <c r="A1168" s="35"/>
    </row>
  </sheetData>
  <mergeCells count="1">
    <mergeCell ref="B14:C14"/>
  </mergeCells>
  <pageMargins left="0.25" right="0.25" top="0.5" bottom="0.5" header="0.25" footer="0.25"/>
  <pageSetup orientation="portrait" r:id="rId1"/>
  <headerFooter alignWithMargins="0">
    <oddFooter>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locked="0" defaultSize="0" autoLine="0" autoPict="0">
                <anchor moveWithCells="1">
                  <from>
                    <xdr:col>1</xdr:col>
                    <xdr:colOff>133350</xdr:colOff>
                    <xdr:row>9</xdr:row>
                    <xdr:rowOff>180975</xdr:rowOff>
                  </from>
                  <to>
                    <xdr:col>2</xdr:col>
                    <xdr:colOff>666750</xdr:colOff>
                    <xdr:row>11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locked="0" defaultSize="0" autoLine="0" autoPict="0">
                <anchor moveWithCells="1">
                  <from>
                    <xdr:col>3</xdr:col>
                    <xdr:colOff>19050</xdr:colOff>
                    <xdr:row>9</xdr:row>
                    <xdr:rowOff>180975</xdr:rowOff>
                  </from>
                  <to>
                    <xdr:col>4</xdr:col>
                    <xdr:colOff>371475</xdr:colOff>
                    <xdr:row>11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5"/>
  <dimension ref="A1:O1148"/>
  <sheetViews>
    <sheetView zoomScale="70" zoomScaleNormal="70" workbookViewId="0">
      <pane xSplit="1" ySplit="16" topLeftCell="B1147" activePane="bottomRight" state="frozen"/>
      <selection activeCell="A6" sqref="A6"/>
      <selection pane="topRight" activeCell="A6" sqref="A6"/>
      <selection pane="bottomLeft" activeCell="A6" sqref="A6"/>
      <selection pane="bottomRight" activeCell="A6" sqref="A6"/>
    </sheetView>
  </sheetViews>
  <sheetFormatPr defaultColWidth="7.109375" defaultRowHeight="12.75"/>
  <cols>
    <col min="1" max="1" width="14.5546875" style="35" customWidth="1"/>
    <col min="2" max="2" width="19" style="35" customWidth="1"/>
    <col min="3" max="3" width="16.109375" style="35" customWidth="1"/>
    <col min="4" max="4" width="20.21875" style="35" customWidth="1"/>
    <col min="5" max="5" width="20.6640625" style="35" customWidth="1"/>
    <col min="6" max="6" width="16.109375" style="35" customWidth="1"/>
    <col min="7" max="9" width="20" style="35" customWidth="1"/>
    <col min="10" max="11" width="19.109375" style="35" customWidth="1"/>
    <col min="12" max="12" width="16.109375" style="35" customWidth="1"/>
    <col min="13" max="15" width="17.6640625" style="35" customWidth="1"/>
    <col min="16" max="16384" width="7.109375" style="35"/>
  </cols>
  <sheetData>
    <row r="1" spans="1:15" ht="15.75">
      <c r="A1" s="87" t="s">
        <v>64</v>
      </c>
    </row>
    <row r="2" spans="1:15" ht="15.75">
      <c r="A2" s="87" t="s">
        <v>65</v>
      </c>
    </row>
    <row r="3" spans="1:15" ht="15.75">
      <c r="A3" s="87" t="s">
        <v>66</v>
      </c>
    </row>
    <row r="4" spans="1:15" ht="15.75">
      <c r="A4" s="87" t="s">
        <v>67</v>
      </c>
    </row>
    <row r="5" spans="1:15" ht="15.75">
      <c r="A5" s="87" t="s">
        <v>69</v>
      </c>
    </row>
    <row r="6" spans="1:15" ht="15.75">
      <c r="A6" s="87" t="s">
        <v>72</v>
      </c>
    </row>
    <row r="9" spans="1:15" ht="15" customHeight="1">
      <c r="A9" s="77" t="s">
        <v>25</v>
      </c>
    </row>
    <row r="10" spans="1:15" ht="15" customHeight="1">
      <c r="A10" s="78"/>
    </row>
    <row r="11" spans="1:15" ht="15" customHeight="1">
      <c r="A11" s="78"/>
    </row>
    <row r="12" spans="1:15" ht="15" customHeight="1">
      <c r="B12" s="77"/>
      <c r="H12" s="74" t="s">
        <v>51</v>
      </c>
    </row>
    <row r="13" spans="1:15" ht="15" customHeight="1">
      <c r="A13" s="77"/>
      <c r="B13" s="76" t="s">
        <v>24</v>
      </c>
      <c r="C13" s="75">
        <f>1-0.149</f>
        <v>0.85099999999999998</v>
      </c>
      <c r="D13" s="76" t="s">
        <v>23</v>
      </c>
      <c r="E13" s="75">
        <f>1+0.149</f>
        <v>1.149</v>
      </c>
      <c r="H13" s="74"/>
      <c r="L13" s="92"/>
      <c r="M13" s="92"/>
      <c r="N13" s="92"/>
      <c r="O13" s="92"/>
    </row>
    <row r="14" spans="1:15" ht="15" customHeight="1">
      <c r="B14" s="91" t="s">
        <v>50</v>
      </c>
      <c r="C14" s="91"/>
      <c r="D14" s="91"/>
      <c r="E14" s="93" t="s">
        <v>49</v>
      </c>
      <c r="F14" s="93"/>
      <c r="G14" s="94"/>
      <c r="H14" s="95" t="s">
        <v>48</v>
      </c>
      <c r="I14" s="95"/>
      <c r="J14" s="94" t="s">
        <v>47</v>
      </c>
      <c r="K14" s="94"/>
      <c r="L14" s="92"/>
      <c r="M14" s="92"/>
      <c r="N14" s="92"/>
      <c r="O14" s="92"/>
    </row>
    <row r="15" spans="1:15" ht="63">
      <c r="B15" s="73" t="s">
        <v>46</v>
      </c>
      <c r="C15" s="72" t="s">
        <v>45</v>
      </c>
      <c r="D15" s="71" t="s">
        <v>44</v>
      </c>
      <c r="E15" s="73" t="s">
        <v>46</v>
      </c>
      <c r="F15" s="72" t="s">
        <v>45</v>
      </c>
      <c r="G15" s="71" t="s">
        <v>44</v>
      </c>
      <c r="H15" s="72" t="s">
        <v>45</v>
      </c>
      <c r="I15" s="71" t="s">
        <v>44</v>
      </c>
      <c r="J15" s="72" t="s">
        <v>45</v>
      </c>
      <c r="K15" s="71" t="s">
        <v>44</v>
      </c>
      <c r="L15" s="63"/>
      <c r="M15" s="70"/>
      <c r="N15" s="70"/>
      <c r="O15" s="70"/>
    </row>
    <row r="16" spans="1:15" ht="20.25">
      <c r="A16" s="27" t="s">
        <v>2</v>
      </c>
      <c r="B16" s="69" t="s">
        <v>1</v>
      </c>
      <c r="C16" s="69" t="s">
        <v>1</v>
      </c>
      <c r="D16" s="69" t="s">
        <v>1</v>
      </c>
      <c r="E16" s="69" t="s">
        <v>1</v>
      </c>
      <c r="F16" s="69" t="s">
        <v>1</v>
      </c>
      <c r="G16" s="69" t="s">
        <v>1</v>
      </c>
      <c r="H16" s="69" t="s">
        <v>1</v>
      </c>
      <c r="I16" s="69" t="s">
        <v>1</v>
      </c>
      <c r="J16" s="69" t="s">
        <v>1</v>
      </c>
      <c r="K16" s="69" t="s">
        <v>1</v>
      </c>
      <c r="L16" s="68"/>
      <c r="M16" s="68"/>
      <c r="N16" s="68"/>
      <c r="O16" s="68"/>
    </row>
    <row r="17" spans="1:14" ht="15">
      <c r="A17" s="13">
        <v>41640</v>
      </c>
      <c r="B17" s="66">
        <f>2.3642 * CHOOSE(CONTROL!$C$26, $C$13, 100%, $E$13)</f>
        <v>2.3641999999999999</v>
      </c>
      <c r="C17" s="66">
        <f>2.3216 * CHOOSE(CONTROL!$C$26, $C$13, 100%, $E$13)</f>
        <v>2.3216000000000001</v>
      </c>
      <c r="D17" s="66">
        <f>2.3255 * CHOOSE(CONTROL!$C$26, $C$13, 100%, $E$13)</f>
        <v>2.3254999999999999</v>
      </c>
      <c r="E17" s="67">
        <f>3.382 * CHOOSE(CONTROL!$C$26, $C$13, 100%, $E$13)</f>
        <v>3.3820000000000001</v>
      </c>
      <c r="F17" s="67">
        <f>3.561 * CHOOSE(CONTROL!$C$26, $C$13, 100%, $E$13)</f>
        <v>3.5609999999999999</v>
      </c>
      <c r="G17" s="67">
        <f>3.5716 * CHOOSE(CONTROL!$C$26, $C$13, 100%, $E$13)</f>
        <v>3.5716000000000001</v>
      </c>
      <c r="H17" s="67">
        <f>5.9* CHOOSE(CONTROL!$C$26, $C$13, 100%, $E$13)</f>
        <v>5.9</v>
      </c>
      <c r="I17" s="67">
        <f>5.9106 * CHOOSE(CONTROL!$C$26, $C$13, 100%, $E$13)</f>
        <v>5.9105999999999996</v>
      </c>
      <c r="J17" s="67">
        <f>3.382 * CHOOSE(CONTROL!$C$26, $C$13, 100%, $E$13)</f>
        <v>3.3820000000000001</v>
      </c>
      <c r="K17" s="67">
        <f>3.3926 * CHOOSE(CONTROL!$C$26, $C$13, 100%, $E$13)</f>
        <v>3.3925999999999998</v>
      </c>
      <c r="L17" s="4"/>
      <c r="M17" s="67"/>
      <c r="N17" s="67"/>
    </row>
    <row r="18" spans="1:14" ht="15">
      <c r="A18" s="13">
        <v>41671</v>
      </c>
      <c r="B18" s="66">
        <f>2.3685 * CHOOSE(CONTROL!$C$26, $C$13, 100%, $E$13)</f>
        <v>2.3685</v>
      </c>
      <c r="C18" s="66">
        <f>2.329 * CHOOSE(CONTROL!$C$26, $C$13, 100%, $E$13)</f>
        <v>2.3290000000000002</v>
      </c>
      <c r="D18" s="66">
        <f>2.3329 * CHOOSE(CONTROL!$C$26, $C$13, 100%, $E$13)</f>
        <v>2.3329</v>
      </c>
      <c r="E18" s="67">
        <f>3.3397 * CHOOSE(CONTROL!$C$26, $C$13, 100%, $E$13)</f>
        <v>3.3397000000000001</v>
      </c>
      <c r="F18" s="67">
        <f>3.561 * CHOOSE(CONTROL!$C$26, $C$13, 100%, $E$13)</f>
        <v>3.5609999999999999</v>
      </c>
      <c r="G18" s="67">
        <f>3.5716 * CHOOSE(CONTROL!$C$26, $C$13, 100%, $E$13)</f>
        <v>3.5716000000000001</v>
      </c>
      <c r="H18" s="67">
        <f>5.9123* CHOOSE(CONTROL!$C$26, $C$13, 100%, $E$13)</f>
        <v>5.9123000000000001</v>
      </c>
      <c r="I18" s="67">
        <f>5.9229 * CHOOSE(CONTROL!$C$26, $C$13, 100%, $E$13)</f>
        <v>5.9229000000000003</v>
      </c>
      <c r="J18" s="67">
        <f>3.3397 * CHOOSE(CONTROL!$C$26, $C$13, 100%, $E$13)</f>
        <v>3.3397000000000001</v>
      </c>
      <c r="K18" s="67">
        <f>3.3503 * CHOOSE(CONTROL!$C$26, $C$13, 100%, $E$13)</f>
        <v>3.3502999999999998</v>
      </c>
      <c r="L18" s="4"/>
      <c r="M18" s="67"/>
      <c r="N18" s="67"/>
    </row>
    <row r="19" spans="1:14" ht="15">
      <c r="A19" s="13">
        <v>41699</v>
      </c>
      <c r="B19" s="66">
        <f>2.3683 * CHOOSE(CONTROL!$C$26, $C$13, 100%, $E$13)</f>
        <v>2.3683000000000001</v>
      </c>
      <c r="C19" s="66">
        <f>2.3227 * CHOOSE(CONTROL!$C$26, $C$13, 100%, $E$13)</f>
        <v>2.3227000000000002</v>
      </c>
      <c r="D19" s="66">
        <f>2.3266 * CHOOSE(CONTROL!$C$26, $C$13, 100%, $E$13)</f>
        <v>2.3266</v>
      </c>
      <c r="E19" s="67">
        <f>3.3703 * CHOOSE(CONTROL!$C$26, $C$13, 100%, $E$13)</f>
        <v>3.3702999999999999</v>
      </c>
      <c r="F19" s="67">
        <f>3.561 * CHOOSE(CONTROL!$C$26, $C$13, 100%, $E$13)</f>
        <v>3.5609999999999999</v>
      </c>
      <c r="G19" s="67">
        <f>3.5716 * CHOOSE(CONTROL!$C$26, $C$13, 100%, $E$13)</f>
        <v>3.5716000000000001</v>
      </c>
      <c r="H19" s="67">
        <f>5.9246* CHOOSE(CONTROL!$C$26, $C$13, 100%, $E$13)</f>
        <v>5.9245999999999999</v>
      </c>
      <c r="I19" s="67">
        <f>5.9352 * CHOOSE(CONTROL!$C$26, $C$13, 100%, $E$13)</f>
        <v>5.9352</v>
      </c>
      <c r="J19" s="67">
        <f>3.3703 * CHOOSE(CONTROL!$C$26, $C$13, 100%, $E$13)</f>
        <v>3.3702999999999999</v>
      </c>
      <c r="K19" s="67">
        <f>3.3809 * CHOOSE(CONTROL!$C$26, $C$13, 100%, $E$13)</f>
        <v>3.3809</v>
      </c>
      <c r="L19" s="4"/>
      <c r="M19" s="67"/>
      <c r="N19" s="67"/>
    </row>
    <row r="20" spans="1:14" ht="15">
      <c r="A20" s="13">
        <v>41730</v>
      </c>
      <c r="B20" s="66">
        <f>2.4658 * CHOOSE(CONTROL!$C$26, $C$13, 100%, $E$13)</f>
        <v>2.4658000000000002</v>
      </c>
      <c r="C20" s="66">
        <f>2.4194 * CHOOSE(CONTROL!$C$26, $C$13, 100%, $E$13)</f>
        <v>2.4194</v>
      </c>
      <c r="D20" s="66">
        <f>2.4233 * CHOOSE(CONTROL!$C$26, $C$13, 100%, $E$13)</f>
        <v>2.4232999999999998</v>
      </c>
      <c r="E20" s="67">
        <f>3.3266 * CHOOSE(CONTROL!$C$26, $C$13, 100%, $E$13)</f>
        <v>3.3266</v>
      </c>
      <c r="F20" s="67">
        <f>3.561 * CHOOSE(CONTROL!$C$26, $C$13, 100%, $E$13)</f>
        <v>3.5609999999999999</v>
      </c>
      <c r="G20" s="67">
        <f>3.5716 * CHOOSE(CONTROL!$C$26, $C$13, 100%, $E$13)</f>
        <v>3.5716000000000001</v>
      </c>
      <c r="H20" s="67">
        <f>5.937* CHOOSE(CONTROL!$C$26, $C$13, 100%, $E$13)</f>
        <v>5.9370000000000003</v>
      </c>
      <c r="I20" s="67">
        <f>5.9475 * CHOOSE(CONTROL!$C$26, $C$13, 100%, $E$13)</f>
        <v>5.9474999999999998</v>
      </c>
      <c r="J20" s="67">
        <f>3.3266 * CHOOSE(CONTROL!$C$26, $C$13, 100%, $E$13)</f>
        <v>3.3266</v>
      </c>
      <c r="K20" s="67">
        <f>3.3372 * CHOOSE(CONTROL!$C$26, $C$13, 100%, $E$13)</f>
        <v>3.3372000000000002</v>
      </c>
      <c r="L20" s="4"/>
      <c r="M20" s="67"/>
      <c r="N20" s="67"/>
    </row>
    <row r="21" spans="1:14" ht="15">
      <c r="A21" s="13">
        <v>41760</v>
      </c>
      <c r="B21" s="66">
        <f>2.4818 * CHOOSE(CONTROL!$C$26, $C$13, 100%, $E$13)</f>
        <v>2.4817999999999998</v>
      </c>
      <c r="C21" s="66">
        <f>2.4328 * CHOOSE(CONTROL!$C$26, $C$13, 100%, $E$13)</f>
        <v>2.4327999999999999</v>
      </c>
      <c r="D21" s="66">
        <f>2.4383 * CHOOSE(CONTROL!$C$26, $C$13, 100%, $E$13)</f>
        <v>2.4382999999999999</v>
      </c>
      <c r="E21" s="67">
        <f>3.2669 * CHOOSE(CONTROL!$C$26, $C$13, 100%, $E$13)</f>
        <v>3.2669000000000001</v>
      </c>
      <c r="F21" s="67">
        <f>3.282 * CHOOSE(CONTROL!$C$26, $C$13, 100%, $E$13)</f>
        <v>3.282</v>
      </c>
      <c r="G21" s="67">
        <f>3.297 * CHOOSE(CONTROL!$C$26, $C$13, 100%, $E$13)</f>
        <v>3.2970000000000002</v>
      </c>
      <c r="H21" s="67">
        <f>5.9493* CHOOSE(CONTROL!$C$26, $C$13, 100%, $E$13)</f>
        <v>5.9493</v>
      </c>
      <c r="I21" s="67">
        <f>5.9643 * CHOOSE(CONTROL!$C$26, $C$13, 100%, $E$13)</f>
        <v>5.9642999999999997</v>
      </c>
      <c r="J21" s="67">
        <f>3.2669 * CHOOSE(CONTROL!$C$26, $C$13, 100%, $E$13)</f>
        <v>3.2669000000000001</v>
      </c>
      <c r="K21" s="67">
        <f>3.2819 * CHOOSE(CONTROL!$C$26, $C$13, 100%, $E$13)</f>
        <v>3.2818999999999998</v>
      </c>
      <c r="L21" s="4"/>
      <c r="M21" s="67"/>
      <c r="N21" s="67"/>
    </row>
    <row r="22" spans="1:14" ht="15">
      <c r="A22" s="13">
        <v>41791</v>
      </c>
      <c r="B22" s="66">
        <f>2.4881 * CHOOSE(CONTROL!$C$26, $C$13, 100%, $E$13)</f>
        <v>2.4881000000000002</v>
      </c>
      <c r="C22" s="66">
        <f>2.4485 * CHOOSE(CONTROL!$C$26, $C$13, 100%, $E$13)</f>
        <v>2.4485000000000001</v>
      </c>
      <c r="D22" s="66">
        <f>2.454 * CHOOSE(CONTROL!$C$26, $C$13, 100%, $E$13)</f>
        <v>2.4540000000000002</v>
      </c>
      <c r="E22" s="67">
        <f>3.2472 * CHOOSE(CONTROL!$C$26, $C$13, 100%, $E$13)</f>
        <v>3.2471999999999999</v>
      </c>
      <c r="F22" s="67">
        <f>3.561 * CHOOSE(CONTROL!$C$26, $C$13, 100%, $E$13)</f>
        <v>3.5609999999999999</v>
      </c>
      <c r="G22" s="67">
        <f>3.576 * CHOOSE(CONTROL!$C$26, $C$13, 100%, $E$13)</f>
        <v>3.5760000000000001</v>
      </c>
      <c r="H22" s="67">
        <f>5.9617* CHOOSE(CONTROL!$C$26, $C$13, 100%, $E$13)</f>
        <v>5.9617000000000004</v>
      </c>
      <c r="I22" s="67">
        <f>5.9767 * CHOOSE(CONTROL!$C$26, $C$13, 100%, $E$13)</f>
        <v>5.9767000000000001</v>
      </c>
      <c r="J22" s="67">
        <f>3.2472 * CHOOSE(CONTROL!$C$26, $C$13, 100%, $E$13)</f>
        <v>3.2471999999999999</v>
      </c>
      <c r="K22" s="67">
        <f>3.2621 * CHOOSE(CONTROL!$C$26, $C$13, 100%, $E$13)</f>
        <v>3.2621000000000002</v>
      </c>
      <c r="L22" s="4"/>
      <c r="M22" s="67"/>
      <c r="N22" s="67"/>
    </row>
    <row r="23" spans="1:14" ht="15">
      <c r="A23" s="13">
        <v>41821</v>
      </c>
      <c r="B23" s="66">
        <f>2.4092 * CHOOSE(CONTROL!$C$26, $C$13, 100%, $E$13)</f>
        <v>2.4091999999999998</v>
      </c>
      <c r="C23" s="66">
        <f>2.4023 * CHOOSE(CONTROL!$C$26, $C$13, 100%, $E$13)</f>
        <v>2.4022999999999999</v>
      </c>
      <c r="D23" s="66">
        <f>2.4078 * CHOOSE(CONTROL!$C$26, $C$13, 100%, $E$13)</f>
        <v>2.4077999999999999</v>
      </c>
      <c r="E23" s="67">
        <f>3.2484 * CHOOSE(CONTROL!$C$26, $C$13, 100%, $E$13)</f>
        <v>3.2484000000000002</v>
      </c>
      <c r="F23" s="67">
        <f>3.321 * CHOOSE(CONTROL!$C$26, $C$13, 100%, $E$13)</f>
        <v>3.3210000000000002</v>
      </c>
      <c r="G23" s="67">
        <f>3.336 * CHOOSE(CONTROL!$C$26, $C$13, 100%, $E$13)</f>
        <v>3.3359999999999999</v>
      </c>
      <c r="H23" s="67">
        <f>5.9741* CHOOSE(CONTROL!$C$26, $C$13, 100%, $E$13)</f>
        <v>5.9741</v>
      </c>
      <c r="I23" s="67">
        <f>5.9891 * CHOOSE(CONTROL!$C$26, $C$13, 100%, $E$13)</f>
        <v>5.9890999999999996</v>
      </c>
      <c r="J23" s="67">
        <f>3.2484 * CHOOSE(CONTROL!$C$26, $C$13, 100%, $E$13)</f>
        <v>3.2484000000000002</v>
      </c>
      <c r="K23" s="67">
        <f>3.2633 * CHOOSE(CONTROL!$C$26, $C$13, 100%, $E$13)</f>
        <v>3.2633000000000001</v>
      </c>
      <c r="L23" s="4"/>
      <c r="M23" s="67"/>
      <c r="N23" s="67"/>
    </row>
    <row r="24" spans="1:14" ht="15">
      <c r="A24" s="13">
        <v>41852</v>
      </c>
      <c r="B24" s="66">
        <f>2.4115 * CHOOSE(CONTROL!$C$26, $C$13, 100%, $E$13)</f>
        <v>2.4115000000000002</v>
      </c>
      <c r="C24" s="66">
        <f>2.438 * CHOOSE(CONTROL!$C$26, $C$13, 100%, $E$13)</f>
        <v>2.4380000000000002</v>
      </c>
      <c r="D24" s="66">
        <f>2.4435 * CHOOSE(CONTROL!$C$26, $C$13, 100%, $E$13)</f>
        <v>2.4434999999999998</v>
      </c>
      <c r="E24" s="67">
        <f>3.2025 * CHOOSE(CONTROL!$C$26, $C$13, 100%, $E$13)</f>
        <v>3.2025000000000001</v>
      </c>
      <c r="F24" s="67">
        <f>3.282 * CHOOSE(CONTROL!$C$26, $C$13, 100%, $E$13)</f>
        <v>3.282</v>
      </c>
      <c r="G24" s="67">
        <f>3.297 * CHOOSE(CONTROL!$C$26, $C$13, 100%, $E$13)</f>
        <v>3.2970000000000002</v>
      </c>
      <c r="H24" s="67">
        <f>5.9866* CHOOSE(CONTROL!$C$26, $C$13, 100%, $E$13)</f>
        <v>5.9866000000000001</v>
      </c>
      <c r="I24" s="67">
        <f>6.0015 * CHOOSE(CONTROL!$C$26, $C$13, 100%, $E$13)</f>
        <v>6.0015000000000001</v>
      </c>
      <c r="J24" s="67">
        <f>3.2025 * CHOOSE(CONTROL!$C$26, $C$13, 100%, $E$13)</f>
        <v>3.2025000000000001</v>
      </c>
      <c r="K24" s="67">
        <f>3.2175 * CHOOSE(CONTROL!$C$26, $C$13, 100%, $E$13)</f>
        <v>3.2174999999999998</v>
      </c>
      <c r="L24" s="4"/>
      <c r="M24" s="67"/>
      <c r="N24" s="67"/>
    </row>
    <row r="25" spans="1:14" ht="15">
      <c r="A25" s="13">
        <v>41883</v>
      </c>
      <c r="B25" s="66">
        <f>2.4098 * CHOOSE(CONTROL!$C$26, $C$13, 100%, $E$13)</f>
        <v>2.4098000000000002</v>
      </c>
      <c r="C25" s="66">
        <f>2.435 * CHOOSE(CONTROL!$C$26, $C$13, 100%, $E$13)</f>
        <v>2.4350000000000001</v>
      </c>
      <c r="D25" s="66">
        <f>2.4405 * CHOOSE(CONTROL!$C$26, $C$13, 100%, $E$13)</f>
        <v>2.4405000000000001</v>
      </c>
      <c r="E25" s="67">
        <f>3.2621 * CHOOSE(CONTROL!$C$26, $C$13, 100%, $E$13)</f>
        <v>3.2621000000000002</v>
      </c>
      <c r="F25" s="67">
        <f>3.4 * CHOOSE(CONTROL!$C$26, $C$13, 100%, $E$13)</f>
        <v>3.4</v>
      </c>
      <c r="G25" s="67">
        <f>3.415 * CHOOSE(CONTROL!$C$26, $C$13, 100%, $E$13)</f>
        <v>3.415</v>
      </c>
      <c r="H25" s="67">
        <f>5.9991* CHOOSE(CONTROL!$C$26, $C$13, 100%, $E$13)</f>
        <v>5.9991000000000003</v>
      </c>
      <c r="I25" s="67">
        <f>6.014 * CHOOSE(CONTROL!$C$26, $C$13, 100%, $E$13)</f>
        <v>6.0140000000000002</v>
      </c>
      <c r="J25" s="67">
        <f>3.2621 * CHOOSE(CONTROL!$C$26, $C$13, 100%, $E$13)</f>
        <v>3.2621000000000002</v>
      </c>
      <c r="K25" s="67">
        <f>3.277 * CHOOSE(CONTROL!$C$26, $C$13, 100%, $E$13)</f>
        <v>3.2770000000000001</v>
      </c>
      <c r="L25" s="4"/>
      <c r="M25" s="67"/>
      <c r="N25" s="67"/>
    </row>
    <row r="26" spans="1:14" ht="15">
      <c r="A26" s="13">
        <v>41913</v>
      </c>
      <c r="B26" s="66">
        <f>2.4178 * CHOOSE(CONTROL!$C$26, $C$13, 100%, $E$13)</f>
        <v>2.4178000000000002</v>
      </c>
      <c r="C26" s="66">
        <f>2.4347 * CHOOSE(CONTROL!$C$26, $C$13, 100%, $E$13)</f>
        <v>2.4346999999999999</v>
      </c>
      <c r="D26" s="66">
        <f>2.4385 * CHOOSE(CONTROL!$C$26, $C$13, 100%, $E$13)</f>
        <v>2.4384999999999999</v>
      </c>
      <c r="E26" s="67">
        <f>3.2947 * CHOOSE(CONTROL!$C$26, $C$13, 100%, $E$13)</f>
        <v>3.2947000000000002</v>
      </c>
      <c r="F26" s="67">
        <f>3.561 * CHOOSE(CONTROL!$C$26, $C$13, 100%, $E$13)</f>
        <v>3.5609999999999999</v>
      </c>
      <c r="G26" s="67">
        <f>3.5716 * CHOOSE(CONTROL!$C$26, $C$13, 100%, $E$13)</f>
        <v>3.5716000000000001</v>
      </c>
      <c r="H26" s="67">
        <f>6.0116* CHOOSE(CONTROL!$C$26, $C$13, 100%, $E$13)</f>
        <v>6.0115999999999996</v>
      </c>
      <c r="I26" s="67">
        <f>6.0221 * CHOOSE(CONTROL!$C$26, $C$13, 100%, $E$13)</f>
        <v>6.0221</v>
      </c>
      <c r="J26" s="67">
        <f>3.2947 * CHOOSE(CONTROL!$C$26, $C$13, 100%, $E$13)</f>
        <v>3.2947000000000002</v>
      </c>
      <c r="K26" s="67">
        <f>3.3053 * CHOOSE(CONTROL!$C$26, $C$13, 100%, $E$13)</f>
        <v>3.3052999999999999</v>
      </c>
      <c r="L26" s="4"/>
      <c r="M26" s="67"/>
      <c r="N26" s="67"/>
    </row>
    <row r="27" spans="1:14" ht="15">
      <c r="A27" s="13">
        <v>41944</v>
      </c>
      <c r="B27" s="66">
        <f>2.4171 * CHOOSE(CONTROL!$C$26, $C$13, 100%, $E$13)</f>
        <v>2.4171</v>
      </c>
      <c r="C27" s="66">
        <f>2.4431 * CHOOSE(CONTROL!$C$26, $C$13, 100%, $E$13)</f>
        <v>2.4430999999999998</v>
      </c>
      <c r="D27" s="66">
        <f>2.4469 * CHOOSE(CONTROL!$C$26, $C$13, 100%, $E$13)</f>
        <v>2.4468999999999999</v>
      </c>
      <c r="E27" s="67">
        <f>3.3121 * CHOOSE(CONTROL!$C$26, $C$13, 100%, $E$13)</f>
        <v>3.3121</v>
      </c>
      <c r="F27" s="67">
        <f>3.348 * CHOOSE(CONTROL!$C$26, $C$13, 100%, $E$13)</f>
        <v>3.3479999999999999</v>
      </c>
      <c r="G27" s="67">
        <f>3.3586 * CHOOSE(CONTROL!$C$26, $C$13, 100%, $E$13)</f>
        <v>3.3586</v>
      </c>
      <c r="H27" s="67">
        <f>6.0241* CHOOSE(CONTROL!$C$26, $C$13, 100%, $E$13)</f>
        <v>6.0240999999999998</v>
      </c>
      <c r="I27" s="67">
        <f>6.0347 * CHOOSE(CONTROL!$C$26, $C$13, 100%, $E$13)</f>
        <v>6.0347</v>
      </c>
      <c r="J27" s="67">
        <f>3.3121 * CHOOSE(CONTROL!$C$26, $C$13, 100%, $E$13)</f>
        <v>3.3121</v>
      </c>
      <c r="K27" s="67">
        <f>3.3227 * CHOOSE(CONTROL!$C$26, $C$13, 100%, $E$13)</f>
        <v>3.3227000000000002</v>
      </c>
      <c r="L27" s="4"/>
      <c r="M27" s="67"/>
      <c r="N27" s="67"/>
    </row>
    <row r="28" spans="1:14" ht="15">
      <c r="A28" s="13">
        <v>41974</v>
      </c>
      <c r="B28" s="66">
        <f>2.4197 * CHOOSE(CONTROL!$C$26, $C$13, 100%, $E$13)</f>
        <v>2.4197000000000002</v>
      </c>
      <c r="C28" s="66">
        <f>2.4491 * CHOOSE(CONTROL!$C$26, $C$13, 100%, $E$13)</f>
        <v>2.4491000000000001</v>
      </c>
      <c r="D28" s="66">
        <f>2.453 * CHOOSE(CONTROL!$C$26, $C$13, 100%, $E$13)</f>
        <v>2.4529999999999998</v>
      </c>
      <c r="E28" s="67">
        <f>3.3287 * CHOOSE(CONTROL!$C$26, $C$13, 100%, $E$13)</f>
        <v>3.3287</v>
      </c>
      <c r="F28" s="67">
        <f>3.385 * CHOOSE(CONTROL!$C$26, $C$13, 100%, $E$13)</f>
        <v>3.3849999999999998</v>
      </c>
      <c r="G28" s="67">
        <f>3.3956 * CHOOSE(CONTROL!$C$26, $C$13, 100%, $E$13)</f>
        <v>3.3956</v>
      </c>
      <c r="H28" s="67">
        <f>6.0366* CHOOSE(CONTROL!$C$26, $C$13, 100%, $E$13)</f>
        <v>6.0366</v>
      </c>
      <c r="I28" s="67">
        <f>6.0472 * CHOOSE(CONTROL!$C$26, $C$13, 100%, $E$13)</f>
        <v>6.0472000000000001</v>
      </c>
      <c r="J28" s="67">
        <f>3.3287 * CHOOSE(CONTROL!$C$26, $C$13, 100%, $E$13)</f>
        <v>3.3287</v>
      </c>
      <c r="K28" s="67">
        <f>3.3393 * CHOOSE(CONTROL!$C$26, $C$13, 100%, $E$13)</f>
        <v>3.3393000000000002</v>
      </c>
      <c r="L28" s="4"/>
      <c r="M28" s="67"/>
      <c r="N28" s="67"/>
    </row>
    <row r="29" spans="1:14" ht="15">
      <c r="A29" s="13">
        <v>42005</v>
      </c>
      <c r="B29" s="66">
        <f>2.4907 * CHOOSE(CONTROL!$C$26, $C$13, 100%, $E$13)</f>
        <v>2.4906999999999999</v>
      </c>
      <c r="C29" s="66">
        <f>2.5129 * CHOOSE(CONTROL!$C$26, $C$13, 100%, $E$13)</f>
        <v>2.5129000000000001</v>
      </c>
      <c r="D29" s="66">
        <f>2.5168 * CHOOSE(CONTROL!$C$26, $C$13, 100%, $E$13)</f>
        <v>2.5167999999999999</v>
      </c>
      <c r="E29" s="67">
        <f>3.1876 * CHOOSE(CONTROL!$C$26, $C$13, 100%, $E$13)</f>
        <v>3.1876000000000002</v>
      </c>
      <c r="F29" s="67">
        <f>3.254 * CHOOSE(CONTROL!$C$26, $C$13, 100%, $E$13)</f>
        <v>3.254</v>
      </c>
      <c r="G29" s="67">
        <f>3.2588 * CHOOSE(CONTROL!$C$26, $C$13, 100%, $E$13)</f>
        <v>3.2587999999999999</v>
      </c>
      <c r="H29" s="67">
        <f>6.0492* CHOOSE(CONTROL!$C$26, $C$13, 100%, $E$13)</f>
        <v>6.0491999999999999</v>
      </c>
      <c r="I29" s="67">
        <f>6.054 * CHOOSE(CONTROL!$C$26, $C$13, 100%, $E$13)</f>
        <v>6.0540000000000003</v>
      </c>
      <c r="J29" s="67">
        <f>3.1876 * CHOOSE(CONTROL!$C$26, $C$13, 100%, $E$13)</f>
        <v>3.1876000000000002</v>
      </c>
      <c r="K29" s="67">
        <f>3.1924 * CHOOSE(CONTROL!$C$26, $C$13, 100%, $E$13)</f>
        <v>3.1924000000000001</v>
      </c>
      <c r="L29" s="4"/>
      <c r="M29" s="67"/>
      <c r="N29" s="67"/>
    </row>
    <row r="30" spans="1:14" ht="15">
      <c r="A30" s="13">
        <v>42036</v>
      </c>
      <c r="B30" s="66">
        <f>2.4906 * CHOOSE(CONTROL!$C$26, $C$13, 100%, $E$13)</f>
        <v>2.4906000000000001</v>
      </c>
      <c r="C30" s="66">
        <f>2.5152 * CHOOSE(CONTROL!$C$26, $C$13, 100%, $E$13)</f>
        <v>2.5152000000000001</v>
      </c>
      <c r="D30" s="66">
        <f>2.5191 * CHOOSE(CONTROL!$C$26, $C$13, 100%, $E$13)</f>
        <v>2.5190999999999999</v>
      </c>
      <c r="E30" s="67">
        <f>3.1987 * CHOOSE(CONTROL!$C$26, $C$13, 100%, $E$13)</f>
        <v>3.1987000000000001</v>
      </c>
      <c r="F30" s="67">
        <f>3.254 * CHOOSE(CONTROL!$C$26, $C$13, 100%, $E$13)</f>
        <v>3.254</v>
      </c>
      <c r="G30" s="67">
        <f>3.2588 * CHOOSE(CONTROL!$C$26, $C$13, 100%, $E$13)</f>
        <v>3.2587999999999999</v>
      </c>
      <c r="H30" s="67">
        <f>6.0618* CHOOSE(CONTROL!$C$26, $C$13, 100%, $E$13)</f>
        <v>6.0617999999999999</v>
      </c>
      <c r="I30" s="67">
        <f>6.0666 * CHOOSE(CONTROL!$C$26, $C$13, 100%, $E$13)</f>
        <v>6.0666000000000002</v>
      </c>
      <c r="J30" s="67">
        <f>3.1987 * CHOOSE(CONTROL!$C$26, $C$13, 100%, $E$13)</f>
        <v>3.1987000000000001</v>
      </c>
      <c r="K30" s="67">
        <f>3.2034 * CHOOSE(CONTROL!$C$26, $C$13, 100%, $E$13)</f>
        <v>3.2033999999999998</v>
      </c>
      <c r="L30" s="4"/>
      <c r="M30" s="67"/>
      <c r="N30" s="67"/>
    </row>
    <row r="31" spans="1:14" ht="15">
      <c r="A31" s="13">
        <v>42064</v>
      </c>
      <c r="B31" s="66">
        <f>2.4913 * CHOOSE(CONTROL!$C$26, $C$13, 100%, $E$13)</f>
        <v>2.4912999999999998</v>
      </c>
      <c r="C31" s="66">
        <f>2.5122 * CHOOSE(CONTROL!$C$26, $C$13, 100%, $E$13)</f>
        <v>2.5122</v>
      </c>
      <c r="D31" s="66">
        <f>2.516 * CHOOSE(CONTROL!$C$26, $C$13, 100%, $E$13)</f>
        <v>2.516</v>
      </c>
      <c r="E31" s="67">
        <f>3.1433 * CHOOSE(CONTROL!$C$26, $C$13, 100%, $E$13)</f>
        <v>3.1433</v>
      </c>
      <c r="F31" s="67">
        <f>3.254 * CHOOSE(CONTROL!$C$26, $C$13, 100%, $E$13)</f>
        <v>3.254</v>
      </c>
      <c r="G31" s="67">
        <f>3.2588 * CHOOSE(CONTROL!$C$26, $C$13, 100%, $E$13)</f>
        <v>3.2587999999999999</v>
      </c>
      <c r="H31" s="67">
        <f>6.0744* CHOOSE(CONTROL!$C$26, $C$13, 100%, $E$13)</f>
        <v>6.0743999999999998</v>
      </c>
      <c r="I31" s="67">
        <f>6.0792 * CHOOSE(CONTROL!$C$26, $C$13, 100%, $E$13)</f>
        <v>6.0792000000000002</v>
      </c>
      <c r="J31" s="67">
        <f>3.1433 * CHOOSE(CONTROL!$C$26, $C$13, 100%, $E$13)</f>
        <v>3.1433</v>
      </c>
      <c r="K31" s="67">
        <f>3.1481 * CHOOSE(CONTROL!$C$26, $C$13, 100%, $E$13)</f>
        <v>3.1480999999999999</v>
      </c>
      <c r="L31" s="4"/>
      <c r="M31" s="67"/>
      <c r="N31" s="67"/>
    </row>
    <row r="32" spans="1:14" ht="15">
      <c r="A32" s="13">
        <v>42095</v>
      </c>
      <c r="B32" s="66">
        <f>2.489 * CHOOSE(CONTROL!$C$26, $C$13, 100%, $E$13)</f>
        <v>2.4889999999999999</v>
      </c>
      <c r="C32" s="66">
        <f>2.5091 * CHOOSE(CONTROL!$C$26, $C$13, 100%, $E$13)</f>
        <v>2.5091000000000001</v>
      </c>
      <c r="D32" s="66">
        <f>2.513 * CHOOSE(CONTROL!$C$26, $C$13, 100%, $E$13)</f>
        <v>2.5129999999999999</v>
      </c>
      <c r="E32" s="67">
        <f>3.186 * CHOOSE(CONTROL!$C$26, $C$13, 100%, $E$13)</f>
        <v>3.1859999999999999</v>
      </c>
      <c r="F32" s="67">
        <f>3.254 * CHOOSE(CONTROL!$C$26, $C$13, 100%, $E$13)</f>
        <v>3.254</v>
      </c>
      <c r="G32" s="67">
        <f>3.2588 * CHOOSE(CONTROL!$C$26, $C$13, 100%, $E$13)</f>
        <v>3.2587999999999999</v>
      </c>
      <c r="H32" s="67">
        <f>6.0871* CHOOSE(CONTROL!$C$26, $C$13, 100%, $E$13)</f>
        <v>6.0871000000000004</v>
      </c>
      <c r="I32" s="67">
        <f>6.0919 * CHOOSE(CONTROL!$C$26, $C$13, 100%, $E$13)</f>
        <v>6.0918999999999999</v>
      </c>
      <c r="J32" s="67">
        <f>3.186 * CHOOSE(CONTROL!$C$26, $C$13, 100%, $E$13)</f>
        <v>3.1859999999999999</v>
      </c>
      <c r="K32" s="67">
        <f>3.1908 * CHOOSE(CONTROL!$C$26, $C$13, 100%, $E$13)</f>
        <v>3.1907999999999999</v>
      </c>
      <c r="L32" s="4"/>
      <c r="M32" s="67"/>
      <c r="N32" s="67"/>
    </row>
    <row r="33" spans="1:14" ht="15">
      <c r="A33" s="13">
        <v>42125</v>
      </c>
      <c r="B33" s="66">
        <f>2.4919 * CHOOSE(CONTROL!$C$26, $C$13, 100%, $E$13)</f>
        <v>2.4918999999999998</v>
      </c>
      <c r="C33" s="66">
        <f>2.5114 * CHOOSE(CONTROL!$C$26, $C$13, 100%, $E$13)</f>
        <v>2.5114000000000001</v>
      </c>
      <c r="D33" s="66">
        <f>2.5169 * CHOOSE(CONTROL!$C$26, $C$13, 100%, $E$13)</f>
        <v>2.5169000000000001</v>
      </c>
      <c r="E33" s="67">
        <f>3.186 * CHOOSE(CONTROL!$C$26, $C$13, 100%, $E$13)</f>
        <v>3.1859999999999999</v>
      </c>
      <c r="F33" s="67">
        <f>3.254 * CHOOSE(CONTROL!$C$26, $C$13, 100%, $E$13)</f>
        <v>3.254</v>
      </c>
      <c r="G33" s="67">
        <f>3.2607 * CHOOSE(CONTROL!$C$26, $C$13, 100%, $E$13)</f>
        <v>3.2606999999999999</v>
      </c>
      <c r="H33" s="67">
        <f>6.0998* CHOOSE(CONTROL!$C$26, $C$13, 100%, $E$13)</f>
        <v>6.0998000000000001</v>
      </c>
      <c r="I33" s="67">
        <f>6.1065 * CHOOSE(CONTROL!$C$26, $C$13, 100%, $E$13)</f>
        <v>6.1064999999999996</v>
      </c>
      <c r="J33" s="67">
        <f>3.186 * CHOOSE(CONTROL!$C$26, $C$13, 100%, $E$13)</f>
        <v>3.1859999999999999</v>
      </c>
      <c r="K33" s="67">
        <f>3.1927 * CHOOSE(CONTROL!$C$26, $C$13, 100%, $E$13)</f>
        <v>3.1926999999999999</v>
      </c>
      <c r="L33" s="4"/>
      <c r="M33" s="67"/>
      <c r="N33" s="67"/>
    </row>
    <row r="34" spans="1:14" ht="15">
      <c r="A34" s="13">
        <v>42156</v>
      </c>
      <c r="B34" s="66">
        <f>2.4945 * CHOOSE(CONTROL!$C$26, $C$13, 100%, $E$13)</f>
        <v>2.4944999999999999</v>
      </c>
      <c r="C34" s="66">
        <f>2.5175 * CHOOSE(CONTROL!$C$26, $C$13, 100%, $E$13)</f>
        <v>2.5175000000000001</v>
      </c>
      <c r="D34" s="66">
        <f>2.523 * CHOOSE(CONTROL!$C$26, $C$13, 100%, $E$13)</f>
        <v>2.5230000000000001</v>
      </c>
      <c r="E34" s="67">
        <f>3.2268 * CHOOSE(CONTROL!$C$26, $C$13, 100%, $E$13)</f>
        <v>3.2267999999999999</v>
      </c>
      <c r="F34" s="67">
        <f>3.254 * CHOOSE(CONTROL!$C$26, $C$13, 100%, $E$13)</f>
        <v>3.254</v>
      </c>
      <c r="G34" s="67">
        <f>3.2607 * CHOOSE(CONTROL!$C$26, $C$13, 100%, $E$13)</f>
        <v>3.2606999999999999</v>
      </c>
      <c r="H34" s="67">
        <f>6.1125* CHOOSE(CONTROL!$C$26, $C$13, 100%, $E$13)</f>
        <v>6.1124999999999998</v>
      </c>
      <c r="I34" s="67">
        <f>6.1192 * CHOOSE(CONTROL!$C$26, $C$13, 100%, $E$13)</f>
        <v>6.1192000000000002</v>
      </c>
      <c r="J34" s="67">
        <f>3.2268 * CHOOSE(CONTROL!$C$26, $C$13, 100%, $E$13)</f>
        <v>3.2267999999999999</v>
      </c>
      <c r="K34" s="67">
        <f>3.2335 * CHOOSE(CONTROL!$C$26, $C$13, 100%, $E$13)</f>
        <v>3.2334999999999998</v>
      </c>
      <c r="L34" s="4"/>
      <c r="M34" s="67"/>
      <c r="N34" s="67"/>
    </row>
    <row r="35" spans="1:14" ht="15">
      <c r="A35" s="13">
        <v>42186</v>
      </c>
      <c r="B35" s="66">
        <f>2.5054 * CHOOSE(CONTROL!$C$26, $C$13, 100%, $E$13)</f>
        <v>2.5053999999999998</v>
      </c>
      <c r="C35" s="66">
        <f>2.5357 * CHOOSE(CONTROL!$C$26, $C$13, 100%, $E$13)</f>
        <v>2.5356999999999998</v>
      </c>
      <c r="D35" s="66">
        <f>2.5412 * CHOOSE(CONTROL!$C$26, $C$13, 100%, $E$13)</f>
        <v>2.5411999999999999</v>
      </c>
      <c r="E35" s="67">
        <f>3.2136 * CHOOSE(CONTROL!$C$26, $C$13, 100%, $E$13)</f>
        <v>3.2136</v>
      </c>
      <c r="F35" s="67">
        <f>3.254 * CHOOSE(CONTROL!$C$26, $C$13, 100%, $E$13)</f>
        <v>3.254</v>
      </c>
      <c r="G35" s="67">
        <f>3.2607 * CHOOSE(CONTROL!$C$26, $C$13, 100%, $E$13)</f>
        <v>3.2606999999999999</v>
      </c>
      <c r="H35" s="67">
        <f>6.1252* CHOOSE(CONTROL!$C$26, $C$13, 100%, $E$13)</f>
        <v>6.1252000000000004</v>
      </c>
      <c r="I35" s="67">
        <f>6.132 * CHOOSE(CONTROL!$C$26, $C$13, 100%, $E$13)</f>
        <v>6.1319999999999997</v>
      </c>
      <c r="J35" s="67">
        <f>3.2136 * CHOOSE(CONTROL!$C$26, $C$13, 100%, $E$13)</f>
        <v>3.2136</v>
      </c>
      <c r="K35" s="67">
        <f>3.2203 * CHOOSE(CONTROL!$C$26, $C$13, 100%, $E$13)</f>
        <v>3.2202999999999999</v>
      </c>
      <c r="L35" s="4"/>
      <c r="M35" s="67"/>
      <c r="N35" s="67"/>
    </row>
    <row r="36" spans="1:14" ht="15">
      <c r="A36" s="13">
        <v>42217</v>
      </c>
      <c r="B36" s="66">
        <f>2.5144 * CHOOSE(CONTROL!$C$26, $C$13, 100%, $E$13)</f>
        <v>2.5144000000000002</v>
      </c>
      <c r="C36" s="66">
        <f>2.5502 * CHOOSE(CONTROL!$C$26, $C$13, 100%, $E$13)</f>
        <v>2.5501999999999998</v>
      </c>
      <c r="D36" s="66">
        <f>2.5557 * CHOOSE(CONTROL!$C$26, $C$13, 100%, $E$13)</f>
        <v>2.5556999999999999</v>
      </c>
      <c r="E36" s="67">
        <f>3.2338 * CHOOSE(CONTROL!$C$26, $C$13, 100%, $E$13)</f>
        <v>3.2338</v>
      </c>
      <c r="F36" s="67">
        <f>3.254 * CHOOSE(CONTROL!$C$26, $C$13, 100%, $E$13)</f>
        <v>3.254</v>
      </c>
      <c r="G36" s="67">
        <f>3.2607 * CHOOSE(CONTROL!$C$26, $C$13, 100%, $E$13)</f>
        <v>3.2606999999999999</v>
      </c>
      <c r="H36" s="67">
        <f>6.138* CHOOSE(CONTROL!$C$26, $C$13, 100%, $E$13)</f>
        <v>6.1379999999999999</v>
      </c>
      <c r="I36" s="67">
        <f>6.1447 * CHOOSE(CONTROL!$C$26, $C$13, 100%, $E$13)</f>
        <v>6.1447000000000003</v>
      </c>
      <c r="J36" s="67">
        <f>3.2338 * CHOOSE(CONTROL!$C$26, $C$13, 100%, $E$13)</f>
        <v>3.2338</v>
      </c>
      <c r="K36" s="67">
        <f>3.2405 * CHOOSE(CONTROL!$C$26, $C$13, 100%, $E$13)</f>
        <v>3.2404999999999999</v>
      </c>
      <c r="L36" s="4"/>
      <c r="M36" s="67"/>
      <c r="N36" s="67"/>
    </row>
    <row r="37" spans="1:14" ht="15">
      <c r="A37" s="13">
        <v>42248</v>
      </c>
      <c r="B37" s="66">
        <f>2.5116 * CHOOSE(CONTROL!$C$26, $C$13, 100%, $E$13)</f>
        <v>2.5116000000000001</v>
      </c>
      <c r="C37" s="66">
        <f>2.5471 * CHOOSE(CONTROL!$C$26, $C$13, 100%, $E$13)</f>
        <v>2.5470999999999999</v>
      </c>
      <c r="D37" s="66">
        <f>2.5526 * CHOOSE(CONTROL!$C$26, $C$13, 100%, $E$13)</f>
        <v>2.5526</v>
      </c>
      <c r="E37" s="67">
        <f>3.2287 * CHOOSE(CONTROL!$C$26, $C$13, 100%, $E$13)</f>
        <v>3.2286999999999999</v>
      </c>
      <c r="F37" s="67">
        <f>3.254 * CHOOSE(CONTROL!$C$26, $C$13, 100%, $E$13)</f>
        <v>3.254</v>
      </c>
      <c r="G37" s="67">
        <f>3.2607 * CHOOSE(CONTROL!$C$26, $C$13, 100%, $E$13)</f>
        <v>3.2606999999999999</v>
      </c>
      <c r="H37" s="67">
        <f>6.1508* CHOOSE(CONTROL!$C$26, $C$13, 100%, $E$13)</f>
        <v>6.1508000000000003</v>
      </c>
      <c r="I37" s="67">
        <f>6.1575 * CHOOSE(CONTROL!$C$26, $C$13, 100%, $E$13)</f>
        <v>6.1574999999999998</v>
      </c>
      <c r="J37" s="67">
        <f>3.2287 * CHOOSE(CONTROL!$C$26, $C$13, 100%, $E$13)</f>
        <v>3.2286999999999999</v>
      </c>
      <c r="K37" s="67">
        <f>3.2355 * CHOOSE(CONTROL!$C$26, $C$13, 100%, $E$13)</f>
        <v>3.2355</v>
      </c>
      <c r="L37" s="4"/>
      <c r="M37" s="67"/>
      <c r="N37" s="67"/>
    </row>
    <row r="38" spans="1:14" ht="15">
      <c r="A38" s="13">
        <v>42278</v>
      </c>
      <c r="B38" s="66">
        <f>2.5077 * CHOOSE(CONTROL!$C$26, $C$13, 100%, $E$13)</f>
        <v>2.5076999999999998</v>
      </c>
      <c r="C38" s="66">
        <f>2.538 * CHOOSE(CONTROL!$C$26, $C$13, 100%, $E$13)</f>
        <v>2.5379999999999998</v>
      </c>
      <c r="D38" s="66">
        <f>2.5419 * CHOOSE(CONTROL!$C$26, $C$13, 100%, $E$13)</f>
        <v>2.5419</v>
      </c>
      <c r="E38" s="67">
        <f>3.2365 * CHOOSE(CONTROL!$C$26, $C$13, 100%, $E$13)</f>
        <v>3.2364999999999999</v>
      </c>
      <c r="F38" s="67">
        <f>3.254 * CHOOSE(CONTROL!$C$26, $C$13, 100%, $E$13)</f>
        <v>3.254</v>
      </c>
      <c r="G38" s="67">
        <f>3.2588 * CHOOSE(CONTROL!$C$26, $C$13, 100%, $E$13)</f>
        <v>3.2587999999999999</v>
      </c>
      <c r="H38" s="67">
        <f>6.1636* CHOOSE(CONTROL!$C$26, $C$13, 100%, $E$13)</f>
        <v>6.1635999999999997</v>
      </c>
      <c r="I38" s="67">
        <f>6.1683 * CHOOSE(CONTROL!$C$26, $C$13, 100%, $E$13)</f>
        <v>6.1683000000000003</v>
      </c>
      <c r="J38" s="67">
        <f>3.2365 * CHOOSE(CONTROL!$C$26, $C$13, 100%, $E$13)</f>
        <v>3.2364999999999999</v>
      </c>
      <c r="K38" s="67">
        <f>3.2413 * CHOOSE(CONTROL!$C$26, $C$13, 100%, $E$13)</f>
        <v>3.2412999999999998</v>
      </c>
      <c r="L38" s="4"/>
      <c r="M38" s="67"/>
      <c r="N38" s="67"/>
    </row>
    <row r="39" spans="1:14" ht="15">
      <c r="A39" s="13">
        <v>42309</v>
      </c>
      <c r="B39" s="66">
        <f>2.5106 * CHOOSE(CONTROL!$C$26, $C$13, 100%, $E$13)</f>
        <v>2.5106000000000002</v>
      </c>
      <c r="C39" s="66">
        <f>2.5433 * CHOOSE(CONTROL!$C$26, $C$13, 100%, $E$13)</f>
        <v>2.5432999999999999</v>
      </c>
      <c r="D39" s="66">
        <f>2.5472 * CHOOSE(CONTROL!$C$26, $C$13, 100%, $E$13)</f>
        <v>2.5472000000000001</v>
      </c>
      <c r="E39" s="67">
        <f>3.2365 * CHOOSE(CONTROL!$C$26, $C$13, 100%, $E$13)</f>
        <v>3.2364999999999999</v>
      </c>
      <c r="F39" s="67">
        <f>3.254 * CHOOSE(CONTROL!$C$26, $C$13, 100%, $E$13)</f>
        <v>3.254</v>
      </c>
      <c r="G39" s="67">
        <f>3.2588 * CHOOSE(CONTROL!$C$26, $C$13, 100%, $E$13)</f>
        <v>3.2587999999999999</v>
      </c>
      <c r="H39" s="67">
        <f>6.1764* CHOOSE(CONTROL!$C$26, $C$13, 100%, $E$13)</f>
        <v>6.1764000000000001</v>
      </c>
      <c r="I39" s="67">
        <f>6.1812 * CHOOSE(CONTROL!$C$26, $C$13, 100%, $E$13)</f>
        <v>6.1811999999999996</v>
      </c>
      <c r="J39" s="67">
        <f>3.2365 * CHOOSE(CONTROL!$C$26, $C$13, 100%, $E$13)</f>
        <v>3.2364999999999999</v>
      </c>
      <c r="K39" s="67">
        <f>3.2413 * CHOOSE(CONTROL!$C$26, $C$13, 100%, $E$13)</f>
        <v>3.2412999999999998</v>
      </c>
      <c r="L39" s="4"/>
      <c r="M39" s="67"/>
      <c r="N39" s="67"/>
    </row>
    <row r="40" spans="1:14" ht="15">
      <c r="A40" s="13">
        <v>42339</v>
      </c>
      <c r="B40" s="66">
        <f>2.5133 * CHOOSE(CONTROL!$C$26, $C$13, 100%, $E$13)</f>
        <v>2.5133000000000001</v>
      </c>
      <c r="C40" s="66">
        <f>2.5463 * CHOOSE(CONTROL!$C$26, $C$13, 100%, $E$13)</f>
        <v>2.5463</v>
      </c>
      <c r="D40" s="66">
        <f>2.5502 * CHOOSE(CONTROL!$C$26, $C$13, 100%, $E$13)</f>
        <v>2.5501999999999998</v>
      </c>
      <c r="E40" s="67">
        <f>3.2307 * CHOOSE(CONTROL!$C$26, $C$13, 100%, $E$13)</f>
        <v>3.2307000000000001</v>
      </c>
      <c r="F40" s="67">
        <f>3.254 * CHOOSE(CONTROL!$C$26, $C$13, 100%, $E$13)</f>
        <v>3.254</v>
      </c>
      <c r="G40" s="67">
        <f>3.2588 * CHOOSE(CONTROL!$C$26, $C$13, 100%, $E$13)</f>
        <v>3.2587999999999999</v>
      </c>
      <c r="H40" s="67">
        <f>6.1893* CHOOSE(CONTROL!$C$26, $C$13, 100%, $E$13)</f>
        <v>6.1893000000000002</v>
      </c>
      <c r="I40" s="67">
        <f>6.1941 * CHOOSE(CONTROL!$C$26, $C$13, 100%, $E$13)</f>
        <v>6.1940999999999997</v>
      </c>
      <c r="J40" s="67">
        <f>3.2307 * CHOOSE(CONTROL!$C$26, $C$13, 100%, $E$13)</f>
        <v>3.2307000000000001</v>
      </c>
      <c r="K40" s="67">
        <f>3.2354 * CHOOSE(CONTROL!$C$26, $C$13, 100%, $E$13)</f>
        <v>3.2353999999999998</v>
      </c>
      <c r="L40" s="4"/>
      <c r="M40" s="67"/>
      <c r="N40" s="67"/>
    </row>
    <row r="41" spans="1:14" ht="15">
      <c r="A41" s="13">
        <v>42370</v>
      </c>
      <c r="B41" s="66">
        <f>2.8414 * CHOOSE(CONTROL!$C$26, $C$13, 100%, $E$13)</f>
        <v>2.8414000000000001</v>
      </c>
      <c r="C41" s="66">
        <f>2.8414 * CHOOSE(CONTROL!$C$26, $C$13, 100%, $E$13)</f>
        <v>2.8414000000000001</v>
      </c>
      <c r="D41" s="66">
        <f>2.8453 * CHOOSE(CONTROL!$C$26, $C$13, 100%, $E$13)</f>
        <v>2.8452999999999999</v>
      </c>
      <c r="E41" s="67">
        <f>3.358 * CHOOSE(CONTROL!$C$26, $C$13, 100%, $E$13)</f>
        <v>3.3580000000000001</v>
      </c>
      <c r="F41" s="67">
        <f>3.446 * CHOOSE(CONTROL!$C$26, $C$13, 100%, $E$13)</f>
        <v>3.4460000000000002</v>
      </c>
      <c r="G41" s="67">
        <f>3.4508 * CHOOSE(CONTROL!$C$26, $C$13, 100%, $E$13)</f>
        <v>3.4508000000000001</v>
      </c>
      <c r="H41" s="67">
        <f>6.2022* CHOOSE(CONTROL!$C$26, $C$13, 100%, $E$13)</f>
        <v>6.2022000000000004</v>
      </c>
      <c r="I41" s="67">
        <f>6.2069 * CHOOSE(CONTROL!$C$26, $C$13, 100%, $E$13)</f>
        <v>6.2069000000000001</v>
      </c>
      <c r="J41" s="67">
        <f>3.358 * CHOOSE(CONTROL!$C$26, $C$13, 100%, $E$13)</f>
        <v>3.3580000000000001</v>
      </c>
      <c r="K41" s="67">
        <f>3.3628 * CHOOSE(CONTROL!$C$26, $C$13, 100%, $E$13)</f>
        <v>3.3628</v>
      </c>
      <c r="L41" s="4"/>
      <c r="M41" s="67"/>
      <c r="N41" s="67"/>
    </row>
    <row r="42" spans="1:14" ht="15">
      <c r="A42" s="13">
        <v>42401</v>
      </c>
      <c r="B42" s="66">
        <f>2.8414 * CHOOSE(CONTROL!$C$26, $C$13, 100%, $E$13)</f>
        <v>2.8414000000000001</v>
      </c>
      <c r="C42" s="66">
        <f>2.8414 * CHOOSE(CONTROL!$C$26, $C$13, 100%, $E$13)</f>
        <v>2.8414000000000001</v>
      </c>
      <c r="D42" s="66">
        <f>2.8453 * CHOOSE(CONTROL!$C$26, $C$13, 100%, $E$13)</f>
        <v>2.8452999999999999</v>
      </c>
      <c r="E42" s="67">
        <f>3.402 * CHOOSE(CONTROL!$C$26, $C$13, 100%, $E$13)</f>
        <v>3.4020000000000001</v>
      </c>
      <c r="F42" s="67">
        <f>3.446 * CHOOSE(CONTROL!$C$26, $C$13, 100%, $E$13)</f>
        <v>3.4460000000000002</v>
      </c>
      <c r="G42" s="67">
        <f>3.4508 * CHOOSE(CONTROL!$C$26, $C$13, 100%, $E$13)</f>
        <v>3.4508000000000001</v>
      </c>
      <c r="H42" s="67">
        <f>6.2151* CHOOSE(CONTROL!$C$26, $C$13, 100%, $E$13)</f>
        <v>6.2150999999999996</v>
      </c>
      <c r="I42" s="67">
        <f>6.2199 * CHOOSE(CONTROL!$C$26, $C$13, 100%, $E$13)</f>
        <v>6.2199</v>
      </c>
      <c r="J42" s="67">
        <f>3.402 * CHOOSE(CONTROL!$C$26, $C$13, 100%, $E$13)</f>
        <v>3.4020000000000001</v>
      </c>
      <c r="K42" s="67">
        <f>3.4068 * CHOOSE(CONTROL!$C$26, $C$13, 100%, $E$13)</f>
        <v>3.4068000000000001</v>
      </c>
      <c r="L42" s="4"/>
      <c r="M42" s="67"/>
      <c r="N42" s="67"/>
    </row>
    <row r="43" spans="1:14" ht="15">
      <c r="A43" s="13">
        <v>42430</v>
      </c>
      <c r="B43" s="66">
        <f>2.8384 * CHOOSE(CONTROL!$C$26, $C$13, 100%, $E$13)</f>
        <v>2.8384</v>
      </c>
      <c r="C43" s="66">
        <f>2.8384 * CHOOSE(CONTROL!$C$26, $C$13, 100%, $E$13)</f>
        <v>2.8384</v>
      </c>
      <c r="D43" s="66">
        <f>2.8422 * CHOOSE(CONTROL!$C$26, $C$13, 100%, $E$13)</f>
        <v>2.8422000000000001</v>
      </c>
      <c r="E43" s="67">
        <f>3.358 * CHOOSE(CONTROL!$C$26, $C$13, 100%, $E$13)</f>
        <v>3.3580000000000001</v>
      </c>
      <c r="F43" s="67">
        <f>3.446 * CHOOSE(CONTROL!$C$26, $C$13, 100%, $E$13)</f>
        <v>3.4460000000000002</v>
      </c>
      <c r="G43" s="67">
        <f>3.4508 * CHOOSE(CONTROL!$C$26, $C$13, 100%, $E$13)</f>
        <v>3.4508000000000001</v>
      </c>
      <c r="H43" s="67">
        <f>6.228* CHOOSE(CONTROL!$C$26, $C$13, 100%, $E$13)</f>
        <v>6.2279999999999998</v>
      </c>
      <c r="I43" s="67">
        <f>6.2328 * CHOOSE(CONTROL!$C$26, $C$13, 100%, $E$13)</f>
        <v>6.2328000000000001</v>
      </c>
      <c r="J43" s="67">
        <f>3.358 * CHOOSE(CONTROL!$C$26, $C$13, 100%, $E$13)</f>
        <v>3.3580000000000001</v>
      </c>
      <c r="K43" s="67">
        <f>3.3628 * CHOOSE(CONTROL!$C$26, $C$13, 100%, $E$13)</f>
        <v>3.3628</v>
      </c>
      <c r="L43" s="4"/>
      <c r="M43" s="67"/>
      <c r="N43" s="67"/>
    </row>
    <row r="44" spans="1:14" ht="15">
      <c r="A44" s="13">
        <v>42461</v>
      </c>
      <c r="B44" s="66">
        <f>2.8276 * CHOOSE(CONTROL!$C$26, $C$13, 100%, $E$13)</f>
        <v>2.8275999999999999</v>
      </c>
      <c r="C44" s="66">
        <f>2.8276 * CHOOSE(CONTROL!$C$26, $C$13, 100%, $E$13)</f>
        <v>2.8275999999999999</v>
      </c>
      <c r="D44" s="66">
        <f>2.8315 * CHOOSE(CONTROL!$C$26, $C$13, 100%, $E$13)</f>
        <v>2.8315000000000001</v>
      </c>
      <c r="E44" s="67">
        <f>3.402 * CHOOSE(CONTROL!$C$26, $C$13, 100%, $E$13)</f>
        <v>3.4020000000000001</v>
      </c>
      <c r="F44" s="67">
        <f>3.446 * CHOOSE(CONTROL!$C$26, $C$13, 100%, $E$13)</f>
        <v>3.4460000000000002</v>
      </c>
      <c r="G44" s="67">
        <f>3.4508 * CHOOSE(CONTROL!$C$26, $C$13, 100%, $E$13)</f>
        <v>3.4508000000000001</v>
      </c>
      <c r="H44" s="67">
        <f>6.241* CHOOSE(CONTROL!$C$26, $C$13, 100%, $E$13)</f>
        <v>6.2409999999999997</v>
      </c>
      <c r="I44" s="67">
        <f>6.2458 * CHOOSE(CONTROL!$C$26, $C$13, 100%, $E$13)</f>
        <v>6.2458</v>
      </c>
      <c r="J44" s="67">
        <f>3.402 * CHOOSE(CONTROL!$C$26, $C$13, 100%, $E$13)</f>
        <v>3.4020000000000001</v>
      </c>
      <c r="K44" s="67">
        <f>3.4068 * CHOOSE(CONTROL!$C$26, $C$13, 100%, $E$13)</f>
        <v>3.4068000000000001</v>
      </c>
      <c r="L44" s="4"/>
      <c r="M44" s="67"/>
      <c r="N44" s="67"/>
    </row>
    <row r="45" spans="1:14" ht="15">
      <c r="A45" s="13">
        <v>42491</v>
      </c>
      <c r="B45" s="66">
        <f>2.8307 * CHOOSE(CONTROL!$C$26, $C$13, 100%, $E$13)</f>
        <v>2.8307000000000002</v>
      </c>
      <c r="C45" s="66">
        <f>2.8307 * CHOOSE(CONTROL!$C$26, $C$13, 100%, $E$13)</f>
        <v>2.8307000000000002</v>
      </c>
      <c r="D45" s="66">
        <f>2.8362 * CHOOSE(CONTROL!$C$26, $C$13, 100%, $E$13)</f>
        <v>2.8361999999999998</v>
      </c>
      <c r="E45" s="67">
        <f>3.358 * CHOOSE(CONTROL!$C$26, $C$13, 100%, $E$13)</f>
        <v>3.3580000000000001</v>
      </c>
      <c r="F45" s="67">
        <f>3.446 * CHOOSE(CONTROL!$C$26, $C$13, 100%, $E$13)</f>
        <v>3.4460000000000002</v>
      </c>
      <c r="G45" s="67">
        <f>3.4527 * CHOOSE(CONTROL!$C$26, $C$13, 100%, $E$13)</f>
        <v>3.4527000000000001</v>
      </c>
      <c r="H45" s="67">
        <f>6.254* CHOOSE(CONTROL!$C$26, $C$13, 100%, $E$13)</f>
        <v>6.2539999999999996</v>
      </c>
      <c r="I45" s="67">
        <f>6.2608 * CHOOSE(CONTROL!$C$26, $C$13, 100%, $E$13)</f>
        <v>6.2607999999999997</v>
      </c>
      <c r="J45" s="67">
        <f>3.358 * CHOOSE(CONTROL!$C$26, $C$13, 100%, $E$13)</f>
        <v>3.3580000000000001</v>
      </c>
      <c r="K45" s="67">
        <f>3.3647 * CHOOSE(CONTROL!$C$26, $C$13, 100%, $E$13)</f>
        <v>3.3647</v>
      </c>
      <c r="L45" s="4"/>
      <c r="M45" s="67"/>
      <c r="N45" s="67"/>
    </row>
    <row r="46" spans="1:14" ht="15">
      <c r="A46" s="13">
        <v>42522</v>
      </c>
      <c r="B46" s="66">
        <f>2.8398 * CHOOSE(CONTROL!$C$26, $C$13, 100%, $E$13)</f>
        <v>2.8397999999999999</v>
      </c>
      <c r="C46" s="66">
        <f>2.8398 * CHOOSE(CONTROL!$C$26, $C$13, 100%, $E$13)</f>
        <v>2.8397999999999999</v>
      </c>
      <c r="D46" s="66">
        <f>2.8453 * CHOOSE(CONTROL!$C$26, $C$13, 100%, $E$13)</f>
        <v>2.8452999999999999</v>
      </c>
      <c r="E46" s="67">
        <f>3.402 * CHOOSE(CONTROL!$C$26, $C$13, 100%, $E$13)</f>
        <v>3.4020000000000001</v>
      </c>
      <c r="F46" s="67">
        <f>3.446 * CHOOSE(CONTROL!$C$26, $C$13, 100%, $E$13)</f>
        <v>3.4460000000000002</v>
      </c>
      <c r="G46" s="67">
        <f>3.4527 * CHOOSE(CONTROL!$C$26, $C$13, 100%, $E$13)</f>
        <v>3.4527000000000001</v>
      </c>
      <c r="H46" s="67">
        <f>6.2671* CHOOSE(CONTROL!$C$26, $C$13, 100%, $E$13)</f>
        <v>6.2671000000000001</v>
      </c>
      <c r="I46" s="67">
        <f>6.2738 * CHOOSE(CONTROL!$C$26, $C$13, 100%, $E$13)</f>
        <v>6.2737999999999996</v>
      </c>
      <c r="J46" s="67">
        <f>3.402 * CHOOSE(CONTROL!$C$26, $C$13, 100%, $E$13)</f>
        <v>3.4020000000000001</v>
      </c>
      <c r="K46" s="67">
        <f>3.4087 * CHOOSE(CONTROL!$C$26, $C$13, 100%, $E$13)</f>
        <v>3.4087000000000001</v>
      </c>
      <c r="L46" s="4"/>
      <c r="M46" s="67"/>
      <c r="N46" s="67"/>
    </row>
    <row r="47" spans="1:14" ht="15">
      <c r="A47" s="13">
        <v>42552</v>
      </c>
      <c r="B47" s="66">
        <f>2.8772 * CHOOSE(CONTROL!$C$26, $C$13, 100%, $E$13)</f>
        <v>2.8772000000000002</v>
      </c>
      <c r="C47" s="66">
        <f>2.8772 * CHOOSE(CONTROL!$C$26, $C$13, 100%, $E$13)</f>
        <v>2.8772000000000002</v>
      </c>
      <c r="D47" s="66">
        <f>2.8827 * CHOOSE(CONTROL!$C$26, $C$13, 100%, $E$13)</f>
        <v>2.8826999999999998</v>
      </c>
      <c r="E47" s="67">
        <f>3.3756 * CHOOSE(CONTROL!$C$26, $C$13, 100%, $E$13)</f>
        <v>3.3755999999999999</v>
      </c>
      <c r="F47" s="67">
        <f>3.446 * CHOOSE(CONTROL!$C$26, $C$13, 100%, $E$13)</f>
        <v>3.4460000000000002</v>
      </c>
      <c r="G47" s="67">
        <f>3.4527 * CHOOSE(CONTROL!$C$26, $C$13, 100%, $E$13)</f>
        <v>3.4527000000000001</v>
      </c>
      <c r="H47" s="67">
        <f>6.2801* CHOOSE(CONTROL!$C$26, $C$13, 100%, $E$13)</f>
        <v>6.2801</v>
      </c>
      <c r="I47" s="67">
        <f>6.2868 * CHOOSE(CONTROL!$C$26, $C$13, 100%, $E$13)</f>
        <v>6.2868000000000004</v>
      </c>
      <c r="J47" s="67">
        <f>3.3756 * CHOOSE(CONTROL!$C$26, $C$13, 100%, $E$13)</f>
        <v>3.3755999999999999</v>
      </c>
      <c r="K47" s="67">
        <f>3.3823 * CHOOSE(CONTROL!$C$26, $C$13, 100%, $E$13)</f>
        <v>3.3822999999999999</v>
      </c>
      <c r="L47" s="4"/>
      <c r="M47" s="4"/>
      <c r="N47" s="4"/>
    </row>
    <row r="48" spans="1:14" ht="15">
      <c r="A48" s="13">
        <v>42583</v>
      </c>
      <c r="B48" s="66">
        <f>2.9046 * CHOOSE(CONTROL!$C$26, $C$13, 100%, $E$13)</f>
        <v>2.9045999999999998</v>
      </c>
      <c r="C48" s="66">
        <f>2.9046 * CHOOSE(CONTROL!$C$26, $C$13, 100%, $E$13)</f>
        <v>2.9045999999999998</v>
      </c>
      <c r="D48" s="66">
        <f>2.9101 * CHOOSE(CONTROL!$C$26, $C$13, 100%, $E$13)</f>
        <v>2.9100999999999999</v>
      </c>
      <c r="E48" s="67">
        <f>3.4108 * CHOOSE(CONTROL!$C$26, $C$13, 100%, $E$13)</f>
        <v>3.4108000000000001</v>
      </c>
      <c r="F48" s="67">
        <f>3.446 * CHOOSE(CONTROL!$C$26, $C$13, 100%, $E$13)</f>
        <v>3.4460000000000002</v>
      </c>
      <c r="G48" s="67">
        <f>3.4527 * CHOOSE(CONTROL!$C$26, $C$13, 100%, $E$13)</f>
        <v>3.4527000000000001</v>
      </c>
      <c r="H48" s="67">
        <f>6.2932* CHOOSE(CONTROL!$C$26, $C$13, 100%, $E$13)</f>
        <v>6.2931999999999997</v>
      </c>
      <c r="I48" s="67">
        <f>6.2999 * CHOOSE(CONTROL!$C$26, $C$13, 100%, $E$13)</f>
        <v>6.2999000000000001</v>
      </c>
      <c r="J48" s="67">
        <f>3.4108 * CHOOSE(CONTROL!$C$26, $C$13, 100%, $E$13)</f>
        <v>3.4108000000000001</v>
      </c>
      <c r="K48" s="67">
        <f>3.4175 * CHOOSE(CONTROL!$C$26, $C$13, 100%, $E$13)</f>
        <v>3.4175</v>
      </c>
      <c r="L48" s="4"/>
      <c r="M48" s="4"/>
      <c r="N48" s="4"/>
    </row>
    <row r="49" spans="1:14" ht="15">
      <c r="A49" s="13">
        <v>42614</v>
      </c>
      <c r="B49" s="66">
        <f>2.8985 * CHOOSE(CONTROL!$C$26, $C$13, 100%, $E$13)</f>
        <v>2.8984999999999999</v>
      </c>
      <c r="C49" s="66">
        <f>2.8985 * CHOOSE(CONTROL!$C$26, $C$13, 100%, $E$13)</f>
        <v>2.8984999999999999</v>
      </c>
      <c r="D49" s="66">
        <f>2.904 * CHOOSE(CONTROL!$C$26, $C$13, 100%, $E$13)</f>
        <v>2.9039999999999999</v>
      </c>
      <c r="E49" s="67">
        <f>3.358 * CHOOSE(CONTROL!$C$26, $C$13, 100%, $E$13)</f>
        <v>3.3580000000000001</v>
      </c>
      <c r="F49" s="67">
        <f>3.446 * CHOOSE(CONTROL!$C$26, $C$13, 100%, $E$13)</f>
        <v>3.4460000000000002</v>
      </c>
      <c r="G49" s="67">
        <f>3.4527 * CHOOSE(CONTROL!$C$26, $C$13, 100%, $E$13)</f>
        <v>3.4527000000000001</v>
      </c>
      <c r="H49" s="67">
        <f>6.3063* CHOOSE(CONTROL!$C$26, $C$13, 100%, $E$13)</f>
        <v>6.3063000000000002</v>
      </c>
      <c r="I49" s="67">
        <f>6.313 * CHOOSE(CONTROL!$C$26, $C$13, 100%, $E$13)</f>
        <v>6.3129999999999997</v>
      </c>
      <c r="J49" s="67">
        <f>3.358 * CHOOSE(CONTROL!$C$26, $C$13, 100%, $E$13)</f>
        <v>3.3580000000000001</v>
      </c>
      <c r="K49" s="67">
        <f>3.3647 * CHOOSE(CONTROL!$C$26, $C$13, 100%, $E$13)</f>
        <v>3.3647</v>
      </c>
      <c r="L49" s="4"/>
      <c r="M49" s="4"/>
      <c r="N49" s="4"/>
    </row>
    <row r="50" spans="1:14" ht="15">
      <c r="A50" s="13">
        <v>42644</v>
      </c>
      <c r="B50" s="66">
        <f>2.9149 * CHOOSE(CONTROL!$C$26, $C$13, 100%, $E$13)</f>
        <v>2.9148999999999998</v>
      </c>
      <c r="C50" s="66">
        <f>2.9149 * CHOOSE(CONTROL!$C$26, $C$13, 100%, $E$13)</f>
        <v>2.9148999999999998</v>
      </c>
      <c r="D50" s="66">
        <f>2.9188 * CHOOSE(CONTROL!$C$26, $C$13, 100%, $E$13)</f>
        <v>2.9188000000000001</v>
      </c>
      <c r="E50" s="67">
        <f>3.3756 * CHOOSE(CONTROL!$C$26, $C$13, 100%, $E$13)</f>
        <v>3.3755999999999999</v>
      </c>
      <c r="F50" s="67">
        <f>3.446 * CHOOSE(CONTROL!$C$26, $C$13, 100%, $E$13)</f>
        <v>3.4460000000000002</v>
      </c>
      <c r="G50" s="67">
        <f>3.4508 * CHOOSE(CONTROL!$C$26, $C$13, 100%, $E$13)</f>
        <v>3.4508000000000001</v>
      </c>
      <c r="H50" s="67">
        <f>6.3194* CHOOSE(CONTROL!$C$26, $C$13, 100%, $E$13)</f>
        <v>6.3193999999999999</v>
      </c>
      <c r="I50" s="67">
        <f>6.3242 * CHOOSE(CONTROL!$C$26, $C$13, 100%, $E$13)</f>
        <v>6.3242000000000003</v>
      </c>
      <c r="J50" s="67">
        <f>3.3756 * CHOOSE(CONTROL!$C$26, $C$13, 100%, $E$13)</f>
        <v>3.3755999999999999</v>
      </c>
      <c r="K50" s="67">
        <f>3.3804 * CHOOSE(CONTROL!$C$26, $C$13, 100%, $E$13)</f>
        <v>3.3803999999999998</v>
      </c>
      <c r="L50" s="4"/>
      <c r="M50" s="4"/>
      <c r="N50" s="4"/>
    </row>
    <row r="51" spans="1:14" ht="15">
      <c r="A51" s="13">
        <v>42675</v>
      </c>
      <c r="B51" s="66">
        <f>2.918 * CHOOSE(CONTROL!$C$26, $C$13, 100%, $E$13)</f>
        <v>2.9180000000000001</v>
      </c>
      <c r="C51" s="66">
        <f>2.918 * CHOOSE(CONTROL!$C$26, $C$13, 100%, $E$13)</f>
        <v>2.9180000000000001</v>
      </c>
      <c r="D51" s="66">
        <f>2.9219 * CHOOSE(CONTROL!$C$26, $C$13, 100%, $E$13)</f>
        <v>2.9218999999999999</v>
      </c>
      <c r="E51" s="67">
        <f>3.402 * CHOOSE(CONTROL!$C$26, $C$13, 100%, $E$13)</f>
        <v>3.4020000000000001</v>
      </c>
      <c r="F51" s="67">
        <f>3.446 * CHOOSE(CONTROL!$C$26, $C$13, 100%, $E$13)</f>
        <v>3.4460000000000002</v>
      </c>
      <c r="G51" s="67">
        <f>3.4508 * CHOOSE(CONTROL!$C$26, $C$13, 100%, $E$13)</f>
        <v>3.4508000000000001</v>
      </c>
      <c r="H51" s="67">
        <f>6.3326* CHOOSE(CONTROL!$C$26, $C$13, 100%, $E$13)</f>
        <v>6.3326000000000002</v>
      </c>
      <c r="I51" s="67">
        <f>6.3374 * CHOOSE(CONTROL!$C$26, $C$13, 100%, $E$13)</f>
        <v>6.3373999999999997</v>
      </c>
      <c r="J51" s="67">
        <f>3.402 * CHOOSE(CONTROL!$C$26, $C$13, 100%, $E$13)</f>
        <v>3.4020000000000001</v>
      </c>
      <c r="K51" s="67">
        <f>3.4068 * CHOOSE(CONTROL!$C$26, $C$13, 100%, $E$13)</f>
        <v>3.4068000000000001</v>
      </c>
      <c r="L51" s="4"/>
      <c r="M51" s="4"/>
      <c r="N51" s="4"/>
    </row>
    <row r="52" spans="1:14" ht="15">
      <c r="A52" s="13">
        <v>42705</v>
      </c>
      <c r="B52" s="66">
        <f>2.921 * CHOOSE(CONTROL!$C$26, $C$13, 100%, $E$13)</f>
        <v>2.9209999999999998</v>
      </c>
      <c r="C52" s="66">
        <f>2.921 * CHOOSE(CONTROL!$C$26, $C$13, 100%, $E$13)</f>
        <v>2.9209999999999998</v>
      </c>
      <c r="D52" s="66">
        <f>2.9249 * CHOOSE(CONTROL!$C$26, $C$13, 100%, $E$13)</f>
        <v>2.9249000000000001</v>
      </c>
      <c r="E52" s="67">
        <f>3.446 * CHOOSE(CONTROL!$C$26, $C$13, 100%, $E$13)</f>
        <v>3.4460000000000002</v>
      </c>
      <c r="F52" s="67">
        <f>3.446 * CHOOSE(CONTROL!$C$26, $C$13, 100%, $E$13)</f>
        <v>3.4460000000000002</v>
      </c>
      <c r="G52" s="67">
        <f>3.4508 * CHOOSE(CONTROL!$C$26, $C$13, 100%, $E$13)</f>
        <v>3.4508000000000001</v>
      </c>
      <c r="H52" s="67">
        <f>6.3458* CHOOSE(CONTROL!$C$26, $C$13, 100%, $E$13)</f>
        <v>6.3457999999999997</v>
      </c>
      <c r="I52" s="67">
        <f>6.3506 * CHOOSE(CONTROL!$C$26, $C$13, 100%, $E$13)</f>
        <v>6.3506</v>
      </c>
      <c r="J52" s="67">
        <f>3.446 * CHOOSE(CONTROL!$C$26, $C$13, 100%, $E$13)</f>
        <v>3.4460000000000002</v>
      </c>
      <c r="K52" s="67">
        <f>3.4508 * CHOOSE(CONTROL!$C$26, $C$13, 100%, $E$13)</f>
        <v>3.4508000000000001</v>
      </c>
      <c r="L52" s="4"/>
      <c r="M52" s="4"/>
      <c r="N52" s="4"/>
    </row>
    <row r="53" spans="1:14" ht="15">
      <c r="A53" s="13">
        <v>42736</v>
      </c>
      <c r="B53" s="66">
        <f>2.9632 * CHOOSE(CONTROL!$C$26, $C$13, 100%, $E$13)</f>
        <v>2.9632000000000001</v>
      </c>
      <c r="C53" s="66">
        <f>2.9632 * CHOOSE(CONTROL!$C$26, $C$13, 100%, $E$13)</f>
        <v>2.9632000000000001</v>
      </c>
      <c r="D53" s="66">
        <f>2.9671 * CHOOSE(CONTROL!$C$26, $C$13, 100%, $E$13)</f>
        <v>2.9670999999999998</v>
      </c>
      <c r="E53" s="67">
        <f>3.5517 * CHOOSE(CONTROL!$C$26, $C$13, 100%, $E$13)</f>
        <v>3.5516999999999999</v>
      </c>
      <c r="F53" s="67">
        <f>3.5517 * CHOOSE(CONTROL!$C$26, $C$13, 100%, $E$13)</f>
        <v>3.5516999999999999</v>
      </c>
      <c r="G53" s="67">
        <f>3.5564 * CHOOSE(CONTROL!$C$26, $C$13, 100%, $E$13)</f>
        <v>3.5564</v>
      </c>
      <c r="H53" s="67">
        <f>6.359* CHOOSE(CONTROL!$C$26, $C$13, 100%, $E$13)</f>
        <v>6.359</v>
      </c>
      <c r="I53" s="67">
        <f>6.3638 * CHOOSE(CONTROL!$C$26, $C$13, 100%, $E$13)</f>
        <v>6.3638000000000003</v>
      </c>
      <c r="J53" s="67">
        <f>3.5517 * CHOOSE(CONTROL!$C$26, $C$13, 100%, $E$13)</f>
        <v>3.5516999999999999</v>
      </c>
      <c r="K53" s="67">
        <f>3.5564 * CHOOSE(CONTROL!$C$26, $C$13, 100%, $E$13)</f>
        <v>3.5564</v>
      </c>
      <c r="L53" s="4"/>
      <c r="M53" s="4"/>
      <c r="N53" s="4"/>
    </row>
    <row r="54" spans="1:14" ht="15">
      <c r="A54" s="13">
        <v>42767</v>
      </c>
      <c r="B54" s="66">
        <f>2.9601 * CHOOSE(CONTROL!$C$26, $C$13, 100%, $E$13)</f>
        <v>2.9601000000000002</v>
      </c>
      <c r="C54" s="66">
        <f>2.9601 * CHOOSE(CONTROL!$C$26, $C$13, 100%, $E$13)</f>
        <v>2.9601000000000002</v>
      </c>
      <c r="D54" s="66">
        <f>2.964 * CHOOSE(CONTROL!$C$26, $C$13, 100%, $E$13)</f>
        <v>2.964</v>
      </c>
      <c r="E54" s="67">
        <f>3.521 * CHOOSE(CONTROL!$C$26, $C$13, 100%, $E$13)</f>
        <v>3.5209999999999999</v>
      </c>
      <c r="F54" s="67">
        <f>3.521 * CHOOSE(CONTROL!$C$26, $C$13, 100%, $E$13)</f>
        <v>3.5209999999999999</v>
      </c>
      <c r="G54" s="67">
        <f>3.5258 * CHOOSE(CONTROL!$C$26, $C$13, 100%, $E$13)</f>
        <v>3.5257999999999998</v>
      </c>
      <c r="H54" s="67">
        <f>6.3723* CHOOSE(CONTROL!$C$26, $C$13, 100%, $E$13)</f>
        <v>6.3723000000000001</v>
      </c>
      <c r="I54" s="67">
        <f>6.377 * CHOOSE(CONTROL!$C$26, $C$13, 100%, $E$13)</f>
        <v>6.3769999999999998</v>
      </c>
      <c r="J54" s="67">
        <f>3.521 * CHOOSE(CONTROL!$C$26, $C$13, 100%, $E$13)</f>
        <v>3.5209999999999999</v>
      </c>
      <c r="K54" s="67">
        <f>3.5258 * CHOOSE(CONTROL!$C$26, $C$13, 100%, $E$13)</f>
        <v>3.5257999999999998</v>
      </c>
      <c r="L54" s="4"/>
      <c r="M54" s="4"/>
      <c r="N54" s="4"/>
    </row>
    <row r="55" spans="1:14" ht="15">
      <c r="A55" s="13">
        <v>42795</v>
      </c>
      <c r="B55" s="66">
        <f>2.9571 * CHOOSE(CONTROL!$C$26, $C$13, 100%, $E$13)</f>
        <v>2.9571000000000001</v>
      </c>
      <c r="C55" s="66">
        <f>2.9571 * CHOOSE(CONTROL!$C$26, $C$13, 100%, $E$13)</f>
        <v>2.9571000000000001</v>
      </c>
      <c r="D55" s="66">
        <f>2.961 * CHOOSE(CONTROL!$C$26, $C$13, 100%, $E$13)</f>
        <v>2.9609999999999999</v>
      </c>
      <c r="E55" s="67">
        <f>3.5414 * CHOOSE(CONTROL!$C$26, $C$13, 100%, $E$13)</f>
        <v>3.5413999999999999</v>
      </c>
      <c r="F55" s="67">
        <f>3.5414 * CHOOSE(CONTROL!$C$26, $C$13, 100%, $E$13)</f>
        <v>3.5413999999999999</v>
      </c>
      <c r="G55" s="67">
        <f>3.5462 * CHOOSE(CONTROL!$C$26, $C$13, 100%, $E$13)</f>
        <v>3.5461999999999998</v>
      </c>
      <c r="H55" s="67">
        <f>6.3855* CHOOSE(CONTROL!$C$26, $C$13, 100%, $E$13)</f>
        <v>6.3855000000000004</v>
      </c>
      <c r="I55" s="67">
        <f>6.3903 * CHOOSE(CONTROL!$C$26, $C$13, 100%, $E$13)</f>
        <v>6.3902999999999999</v>
      </c>
      <c r="J55" s="67">
        <f>3.5414 * CHOOSE(CONTROL!$C$26, $C$13, 100%, $E$13)</f>
        <v>3.5413999999999999</v>
      </c>
      <c r="K55" s="67">
        <f>3.5462 * CHOOSE(CONTROL!$C$26, $C$13, 100%, $E$13)</f>
        <v>3.5461999999999998</v>
      </c>
      <c r="L55" s="4"/>
      <c r="M55" s="4"/>
      <c r="N55" s="4"/>
    </row>
    <row r="56" spans="1:14" ht="15">
      <c r="A56" s="13">
        <v>42826</v>
      </c>
      <c r="B56" s="66">
        <f>2.9537 * CHOOSE(CONTROL!$C$26, $C$13, 100%, $E$13)</f>
        <v>2.9537</v>
      </c>
      <c r="C56" s="66">
        <f>2.9537 * CHOOSE(CONTROL!$C$26, $C$13, 100%, $E$13)</f>
        <v>2.9537</v>
      </c>
      <c r="D56" s="66">
        <f>2.9576 * CHOOSE(CONTROL!$C$26, $C$13, 100%, $E$13)</f>
        <v>2.9575999999999998</v>
      </c>
      <c r="E56" s="67">
        <f>3.5613 * CHOOSE(CONTROL!$C$26, $C$13, 100%, $E$13)</f>
        <v>3.5613000000000001</v>
      </c>
      <c r="F56" s="67">
        <f>3.5613 * CHOOSE(CONTROL!$C$26, $C$13, 100%, $E$13)</f>
        <v>3.5613000000000001</v>
      </c>
      <c r="G56" s="67">
        <f>3.5661 * CHOOSE(CONTROL!$C$26, $C$13, 100%, $E$13)</f>
        <v>3.5661</v>
      </c>
      <c r="H56" s="67">
        <f>6.3988* CHOOSE(CONTROL!$C$26, $C$13, 100%, $E$13)</f>
        <v>6.3987999999999996</v>
      </c>
      <c r="I56" s="67">
        <f>6.4036 * CHOOSE(CONTROL!$C$26, $C$13, 100%, $E$13)</f>
        <v>6.4036</v>
      </c>
      <c r="J56" s="67">
        <f>3.5613 * CHOOSE(CONTROL!$C$26, $C$13, 100%, $E$13)</f>
        <v>3.5613000000000001</v>
      </c>
      <c r="K56" s="67">
        <f>3.5661 * CHOOSE(CONTROL!$C$26, $C$13, 100%, $E$13)</f>
        <v>3.5661</v>
      </c>
      <c r="L56" s="4"/>
      <c r="M56" s="4"/>
      <c r="N56" s="4"/>
    </row>
    <row r="57" spans="1:14" ht="15">
      <c r="A57" s="13">
        <v>42856</v>
      </c>
      <c r="B57" s="66">
        <f>2.9537 * CHOOSE(CONTROL!$C$26, $C$13, 100%, $E$13)</f>
        <v>2.9537</v>
      </c>
      <c r="C57" s="66">
        <f>2.9537 * CHOOSE(CONTROL!$C$26, $C$13, 100%, $E$13)</f>
        <v>2.9537</v>
      </c>
      <c r="D57" s="66">
        <f>2.9592 * CHOOSE(CONTROL!$C$26, $C$13, 100%, $E$13)</f>
        <v>2.9592000000000001</v>
      </c>
      <c r="E57" s="67">
        <f>3.5704 * CHOOSE(CONTROL!$C$26, $C$13, 100%, $E$13)</f>
        <v>3.5703999999999998</v>
      </c>
      <c r="F57" s="67">
        <f>3.5704 * CHOOSE(CONTROL!$C$26, $C$13, 100%, $E$13)</f>
        <v>3.5703999999999998</v>
      </c>
      <c r="G57" s="67">
        <f>3.5771 * CHOOSE(CONTROL!$C$26, $C$13, 100%, $E$13)</f>
        <v>3.5771000000000002</v>
      </c>
      <c r="H57" s="67">
        <f>6.4122* CHOOSE(CONTROL!$C$26, $C$13, 100%, $E$13)</f>
        <v>6.4122000000000003</v>
      </c>
      <c r="I57" s="67">
        <f>6.4189 * CHOOSE(CONTROL!$C$26, $C$13, 100%, $E$13)</f>
        <v>6.4188999999999998</v>
      </c>
      <c r="J57" s="67">
        <f>3.5704 * CHOOSE(CONTROL!$C$26, $C$13, 100%, $E$13)</f>
        <v>3.5703999999999998</v>
      </c>
      <c r="K57" s="67">
        <f>3.5771 * CHOOSE(CONTROL!$C$26, $C$13, 100%, $E$13)</f>
        <v>3.5771000000000002</v>
      </c>
      <c r="L57" s="4"/>
      <c r="M57" s="4"/>
      <c r="N57" s="4"/>
    </row>
    <row r="58" spans="1:14" ht="15">
      <c r="A58" s="13">
        <v>42887</v>
      </c>
      <c r="B58" s="66">
        <f>2.9598 * CHOOSE(CONTROL!$C$26, $C$13, 100%, $E$13)</f>
        <v>2.9598</v>
      </c>
      <c r="C58" s="66">
        <f>2.9598 * CHOOSE(CONTROL!$C$26, $C$13, 100%, $E$13)</f>
        <v>2.9598</v>
      </c>
      <c r="D58" s="66">
        <f>2.9653 * CHOOSE(CONTROL!$C$26, $C$13, 100%, $E$13)</f>
        <v>2.9653</v>
      </c>
      <c r="E58" s="67">
        <f>3.5655 * CHOOSE(CONTROL!$C$26, $C$13, 100%, $E$13)</f>
        <v>3.5655000000000001</v>
      </c>
      <c r="F58" s="67">
        <f>3.5655 * CHOOSE(CONTROL!$C$26, $C$13, 100%, $E$13)</f>
        <v>3.5655000000000001</v>
      </c>
      <c r="G58" s="67">
        <f>3.5723 * CHOOSE(CONTROL!$C$26, $C$13, 100%, $E$13)</f>
        <v>3.5722999999999998</v>
      </c>
      <c r="H58" s="67">
        <f>6.4255* CHOOSE(CONTROL!$C$26, $C$13, 100%, $E$13)</f>
        <v>6.4255000000000004</v>
      </c>
      <c r="I58" s="67">
        <f>6.4323 * CHOOSE(CONTROL!$C$26, $C$13, 100%, $E$13)</f>
        <v>6.4322999999999997</v>
      </c>
      <c r="J58" s="67">
        <f>3.5655 * CHOOSE(CONTROL!$C$26, $C$13, 100%, $E$13)</f>
        <v>3.5655000000000001</v>
      </c>
      <c r="K58" s="67">
        <f>3.5723 * CHOOSE(CONTROL!$C$26, $C$13, 100%, $E$13)</f>
        <v>3.5722999999999998</v>
      </c>
      <c r="L58" s="4"/>
      <c r="M58" s="4"/>
      <c r="N58" s="4"/>
    </row>
    <row r="59" spans="1:14" ht="15">
      <c r="A59" s="13">
        <v>42917</v>
      </c>
      <c r="B59" s="66">
        <f>3.0475 * CHOOSE(CONTROL!$C$26, $C$13, 100%, $E$13)</f>
        <v>3.0474999999999999</v>
      </c>
      <c r="C59" s="66">
        <f>3.0475 * CHOOSE(CONTROL!$C$26, $C$13, 100%, $E$13)</f>
        <v>3.0474999999999999</v>
      </c>
      <c r="D59" s="66">
        <f>3.053 * CHOOSE(CONTROL!$C$26, $C$13, 100%, $E$13)</f>
        <v>3.0529999999999999</v>
      </c>
      <c r="E59" s="67">
        <f>3.6468 * CHOOSE(CONTROL!$C$26, $C$13, 100%, $E$13)</f>
        <v>3.6467999999999998</v>
      </c>
      <c r="F59" s="67">
        <f>3.6468 * CHOOSE(CONTROL!$C$26, $C$13, 100%, $E$13)</f>
        <v>3.6467999999999998</v>
      </c>
      <c r="G59" s="67">
        <f>3.6535 * CHOOSE(CONTROL!$C$26, $C$13, 100%, $E$13)</f>
        <v>3.6535000000000002</v>
      </c>
      <c r="H59" s="67">
        <f>6.4389* CHOOSE(CONTROL!$C$26, $C$13, 100%, $E$13)</f>
        <v>6.4389000000000003</v>
      </c>
      <c r="I59" s="67">
        <f>6.4457 * CHOOSE(CONTROL!$C$26, $C$13, 100%, $E$13)</f>
        <v>6.4457000000000004</v>
      </c>
      <c r="J59" s="67">
        <f>3.6468 * CHOOSE(CONTROL!$C$26, $C$13, 100%, $E$13)</f>
        <v>3.6467999999999998</v>
      </c>
      <c r="K59" s="67">
        <f>3.6535 * CHOOSE(CONTROL!$C$26, $C$13, 100%, $E$13)</f>
        <v>3.6535000000000002</v>
      </c>
      <c r="L59" s="4"/>
      <c r="M59" s="4"/>
      <c r="N59" s="4"/>
    </row>
    <row r="60" spans="1:14" ht="15">
      <c r="A60" s="13">
        <v>42948</v>
      </c>
      <c r="B60" s="66">
        <f>3.0542 * CHOOSE(CONTROL!$C$26, $C$13, 100%, $E$13)</f>
        <v>3.0541999999999998</v>
      </c>
      <c r="C60" s="66">
        <f>3.0542 * CHOOSE(CONTROL!$C$26, $C$13, 100%, $E$13)</f>
        <v>3.0541999999999998</v>
      </c>
      <c r="D60" s="66">
        <f>3.0597 * CHOOSE(CONTROL!$C$26, $C$13, 100%, $E$13)</f>
        <v>3.0596999999999999</v>
      </c>
      <c r="E60" s="67">
        <f>3.6242 * CHOOSE(CONTROL!$C$26, $C$13, 100%, $E$13)</f>
        <v>3.6242000000000001</v>
      </c>
      <c r="F60" s="67">
        <f>3.6242 * CHOOSE(CONTROL!$C$26, $C$13, 100%, $E$13)</f>
        <v>3.6242000000000001</v>
      </c>
      <c r="G60" s="67">
        <f>3.631 * CHOOSE(CONTROL!$C$26, $C$13, 100%, $E$13)</f>
        <v>3.6309999999999998</v>
      </c>
      <c r="H60" s="67">
        <f>6.4523* CHOOSE(CONTROL!$C$26, $C$13, 100%, $E$13)</f>
        <v>6.4523000000000001</v>
      </c>
      <c r="I60" s="67">
        <f>6.4591 * CHOOSE(CONTROL!$C$26, $C$13, 100%, $E$13)</f>
        <v>6.4591000000000003</v>
      </c>
      <c r="J60" s="67">
        <f>3.6242 * CHOOSE(CONTROL!$C$26, $C$13, 100%, $E$13)</f>
        <v>3.6242000000000001</v>
      </c>
      <c r="K60" s="67">
        <f>3.631 * CHOOSE(CONTROL!$C$26, $C$13, 100%, $E$13)</f>
        <v>3.6309999999999998</v>
      </c>
      <c r="L60" s="4"/>
      <c r="M60" s="4"/>
      <c r="N60" s="4"/>
    </row>
    <row r="61" spans="1:14" ht="15">
      <c r="A61" s="13">
        <v>42979</v>
      </c>
      <c r="B61" s="66">
        <f>3.0512 * CHOOSE(CONTROL!$C$26, $C$13, 100%, $E$13)</f>
        <v>3.0512000000000001</v>
      </c>
      <c r="C61" s="66">
        <f>3.0512 * CHOOSE(CONTROL!$C$26, $C$13, 100%, $E$13)</f>
        <v>3.0512000000000001</v>
      </c>
      <c r="D61" s="66">
        <f>3.0567 * CHOOSE(CONTROL!$C$26, $C$13, 100%, $E$13)</f>
        <v>3.0567000000000002</v>
      </c>
      <c r="E61" s="67">
        <f>3.6191 * CHOOSE(CONTROL!$C$26, $C$13, 100%, $E$13)</f>
        <v>3.6191</v>
      </c>
      <c r="F61" s="67">
        <f>3.6191 * CHOOSE(CONTROL!$C$26, $C$13, 100%, $E$13)</f>
        <v>3.6191</v>
      </c>
      <c r="G61" s="67">
        <f>3.6258 * CHOOSE(CONTROL!$C$26, $C$13, 100%, $E$13)</f>
        <v>3.6257999999999999</v>
      </c>
      <c r="H61" s="67">
        <f>6.4658* CHOOSE(CONTROL!$C$26, $C$13, 100%, $E$13)</f>
        <v>6.4657999999999998</v>
      </c>
      <c r="I61" s="67">
        <f>6.4725 * CHOOSE(CONTROL!$C$26, $C$13, 100%, $E$13)</f>
        <v>6.4725000000000001</v>
      </c>
      <c r="J61" s="67">
        <f>3.6191 * CHOOSE(CONTROL!$C$26, $C$13, 100%, $E$13)</f>
        <v>3.6191</v>
      </c>
      <c r="K61" s="67">
        <f>3.6258 * CHOOSE(CONTROL!$C$26, $C$13, 100%, $E$13)</f>
        <v>3.6257999999999999</v>
      </c>
      <c r="L61" s="4"/>
      <c r="M61" s="4"/>
      <c r="N61" s="4"/>
    </row>
    <row r="62" spans="1:14" ht="15">
      <c r="A62" s="13">
        <v>43009</v>
      </c>
      <c r="B62" s="66">
        <f>3.0423 * CHOOSE(CONTROL!$C$26, $C$13, 100%, $E$13)</f>
        <v>3.0423</v>
      </c>
      <c r="C62" s="66">
        <f>3.0423 * CHOOSE(CONTROL!$C$26, $C$13, 100%, $E$13)</f>
        <v>3.0423</v>
      </c>
      <c r="D62" s="66">
        <f>3.0462 * CHOOSE(CONTROL!$C$26, $C$13, 100%, $E$13)</f>
        <v>3.0461999999999998</v>
      </c>
      <c r="E62" s="67">
        <f>3.6178 * CHOOSE(CONTROL!$C$26, $C$13, 100%, $E$13)</f>
        <v>3.6177999999999999</v>
      </c>
      <c r="F62" s="67">
        <f>3.6178 * CHOOSE(CONTROL!$C$26, $C$13, 100%, $E$13)</f>
        <v>3.6177999999999999</v>
      </c>
      <c r="G62" s="67">
        <f>3.6225 * CHOOSE(CONTROL!$C$26, $C$13, 100%, $E$13)</f>
        <v>3.6225000000000001</v>
      </c>
      <c r="H62" s="67">
        <f>6.4793* CHOOSE(CONTROL!$C$26, $C$13, 100%, $E$13)</f>
        <v>6.4793000000000003</v>
      </c>
      <c r="I62" s="67">
        <f>6.484 * CHOOSE(CONTROL!$C$26, $C$13, 100%, $E$13)</f>
        <v>6.484</v>
      </c>
      <c r="J62" s="67">
        <f>3.6178 * CHOOSE(CONTROL!$C$26, $C$13, 100%, $E$13)</f>
        <v>3.6177999999999999</v>
      </c>
      <c r="K62" s="67">
        <f>3.6225 * CHOOSE(CONTROL!$C$26, $C$13, 100%, $E$13)</f>
        <v>3.6225000000000001</v>
      </c>
      <c r="L62" s="4"/>
      <c r="M62" s="4"/>
      <c r="N62" s="4"/>
    </row>
    <row r="63" spans="1:14" ht="15">
      <c r="A63" s="13">
        <v>43040</v>
      </c>
      <c r="B63" s="66">
        <f>3.0454 * CHOOSE(CONTROL!$C$26, $C$13, 100%, $E$13)</f>
        <v>3.0453999999999999</v>
      </c>
      <c r="C63" s="66">
        <f>3.0454 * CHOOSE(CONTROL!$C$26, $C$13, 100%, $E$13)</f>
        <v>3.0453999999999999</v>
      </c>
      <c r="D63" s="66">
        <f>3.0493 * CHOOSE(CONTROL!$C$26, $C$13, 100%, $E$13)</f>
        <v>3.0493000000000001</v>
      </c>
      <c r="E63" s="67">
        <f>3.6259 * CHOOSE(CONTROL!$C$26, $C$13, 100%, $E$13)</f>
        <v>3.6259000000000001</v>
      </c>
      <c r="F63" s="67">
        <f>3.6259 * CHOOSE(CONTROL!$C$26, $C$13, 100%, $E$13)</f>
        <v>3.6259000000000001</v>
      </c>
      <c r="G63" s="67">
        <f>3.6307 * CHOOSE(CONTROL!$C$26, $C$13, 100%, $E$13)</f>
        <v>3.6307</v>
      </c>
      <c r="H63" s="67">
        <f>6.4927* CHOOSE(CONTROL!$C$26, $C$13, 100%, $E$13)</f>
        <v>6.4927000000000001</v>
      </c>
      <c r="I63" s="67">
        <f>6.4975 * CHOOSE(CONTROL!$C$26, $C$13, 100%, $E$13)</f>
        <v>6.4974999999999996</v>
      </c>
      <c r="J63" s="67">
        <f>3.6259 * CHOOSE(CONTROL!$C$26, $C$13, 100%, $E$13)</f>
        <v>3.6259000000000001</v>
      </c>
      <c r="K63" s="67">
        <f>3.6307 * CHOOSE(CONTROL!$C$26, $C$13, 100%, $E$13)</f>
        <v>3.6307</v>
      </c>
      <c r="L63" s="4"/>
      <c r="M63" s="4"/>
      <c r="N63" s="4"/>
    </row>
    <row r="64" spans="1:14" ht="15">
      <c r="A64" s="13">
        <v>43070</v>
      </c>
      <c r="B64" s="66">
        <f>3.0454 * CHOOSE(CONTROL!$C$26, $C$13, 100%, $E$13)</f>
        <v>3.0453999999999999</v>
      </c>
      <c r="C64" s="66">
        <f>3.0454 * CHOOSE(CONTROL!$C$26, $C$13, 100%, $E$13)</f>
        <v>3.0453999999999999</v>
      </c>
      <c r="D64" s="66">
        <f>3.0493 * CHOOSE(CONTROL!$C$26, $C$13, 100%, $E$13)</f>
        <v>3.0493000000000001</v>
      </c>
      <c r="E64" s="67">
        <f>3.6108 * CHOOSE(CONTROL!$C$26, $C$13, 100%, $E$13)</f>
        <v>3.6107999999999998</v>
      </c>
      <c r="F64" s="67">
        <f>3.6108 * CHOOSE(CONTROL!$C$26, $C$13, 100%, $E$13)</f>
        <v>3.6107999999999998</v>
      </c>
      <c r="G64" s="67">
        <f>3.6156 * CHOOSE(CONTROL!$C$26, $C$13, 100%, $E$13)</f>
        <v>3.6156000000000001</v>
      </c>
      <c r="H64" s="67">
        <f>6.5063* CHOOSE(CONTROL!$C$26, $C$13, 100%, $E$13)</f>
        <v>6.5063000000000004</v>
      </c>
      <c r="I64" s="67">
        <f>6.511 * CHOOSE(CONTROL!$C$26, $C$13, 100%, $E$13)</f>
        <v>6.5110000000000001</v>
      </c>
      <c r="J64" s="67">
        <f>3.6108 * CHOOSE(CONTROL!$C$26, $C$13, 100%, $E$13)</f>
        <v>3.6107999999999998</v>
      </c>
      <c r="K64" s="67">
        <f>3.6156 * CHOOSE(CONTROL!$C$26, $C$13, 100%, $E$13)</f>
        <v>3.6156000000000001</v>
      </c>
      <c r="L64" s="4"/>
      <c r="M64" s="4"/>
      <c r="N64" s="4"/>
    </row>
    <row r="65" spans="1:14" ht="15">
      <c r="A65" s="13">
        <v>43101</v>
      </c>
      <c r="B65" s="66">
        <f>3.0799 * CHOOSE(CONTROL!$C$26, $C$13, 100%, $E$13)</f>
        <v>3.0798999999999999</v>
      </c>
      <c r="C65" s="66">
        <f>3.0799 * CHOOSE(CONTROL!$C$26, $C$13, 100%, $E$13)</f>
        <v>3.0798999999999999</v>
      </c>
      <c r="D65" s="66">
        <f>3.0838 * CHOOSE(CONTROL!$C$26, $C$13, 100%, $E$13)</f>
        <v>3.0838000000000001</v>
      </c>
      <c r="E65" s="67">
        <f>3.7211 * CHOOSE(CONTROL!$C$26, $C$13, 100%, $E$13)</f>
        <v>3.7210999999999999</v>
      </c>
      <c r="F65" s="67">
        <f>3.7211 * CHOOSE(CONTROL!$C$26, $C$13, 100%, $E$13)</f>
        <v>3.7210999999999999</v>
      </c>
      <c r="G65" s="67">
        <f>3.7259 * CHOOSE(CONTROL!$C$26, $C$13, 100%, $E$13)</f>
        <v>3.7259000000000002</v>
      </c>
      <c r="H65" s="67">
        <f>6.5198* CHOOSE(CONTROL!$C$26, $C$13, 100%, $E$13)</f>
        <v>6.5198</v>
      </c>
      <c r="I65" s="67">
        <f>6.5246 * CHOOSE(CONTROL!$C$26, $C$13, 100%, $E$13)</f>
        <v>6.5246000000000004</v>
      </c>
      <c r="J65" s="67">
        <f>3.7211 * CHOOSE(CONTROL!$C$26, $C$13, 100%, $E$13)</f>
        <v>3.7210999999999999</v>
      </c>
      <c r="K65" s="67">
        <f>3.7259 * CHOOSE(CONTROL!$C$26, $C$13, 100%, $E$13)</f>
        <v>3.7259000000000002</v>
      </c>
      <c r="L65" s="4"/>
      <c r="M65" s="4"/>
      <c r="N65" s="4"/>
    </row>
    <row r="66" spans="1:14" ht="15">
      <c r="A66" s="13">
        <v>43132</v>
      </c>
      <c r="B66" s="66">
        <f>3.0769 * CHOOSE(CONTROL!$C$26, $C$13, 100%, $E$13)</f>
        <v>3.0769000000000002</v>
      </c>
      <c r="C66" s="66">
        <f>3.0769 * CHOOSE(CONTROL!$C$26, $C$13, 100%, $E$13)</f>
        <v>3.0769000000000002</v>
      </c>
      <c r="D66" s="66">
        <f>3.0808 * CHOOSE(CONTROL!$C$26, $C$13, 100%, $E$13)</f>
        <v>3.0808</v>
      </c>
      <c r="E66" s="67">
        <f>3.6823 * CHOOSE(CONTROL!$C$26, $C$13, 100%, $E$13)</f>
        <v>3.6823000000000001</v>
      </c>
      <c r="F66" s="67">
        <f>3.6823 * CHOOSE(CONTROL!$C$26, $C$13, 100%, $E$13)</f>
        <v>3.6823000000000001</v>
      </c>
      <c r="G66" s="67">
        <f>3.687 * CHOOSE(CONTROL!$C$26, $C$13, 100%, $E$13)</f>
        <v>3.6869999999999998</v>
      </c>
      <c r="H66" s="67">
        <f>6.5334* CHOOSE(CONTROL!$C$26, $C$13, 100%, $E$13)</f>
        <v>6.5334000000000003</v>
      </c>
      <c r="I66" s="67">
        <f>6.5382 * CHOOSE(CONTROL!$C$26, $C$13, 100%, $E$13)</f>
        <v>6.5381999999999998</v>
      </c>
      <c r="J66" s="67">
        <f>3.6823 * CHOOSE(CONTROL!$C$26, $C$13, 100%, $E$13)</f>
        <v>3.6823000000000001</v>
      </c>
      <c r="K66" s="67">
        <f>3.687 * CHOOSE(CONTROL!$C$26, $C$13, 100%, $E$13)</f>
        <v>3.6869999999999998</v>
      </c>
      <c r="L66" s="4"/>
      <c r="M66" s="4"/>
      <c r="N66" s="4"/>
    </row>
    <row r="67" spans="1:14" ht="15">
      <c r="A67" s="13">
        <v>43160</v>
      </c>
      <c r="B67" s="66">
        <f>3.0739 * CHOOSE(CONTROL!$C$26, $C$13, 100%, $E$13)</f>
        <v>3.0739000000000001</v>
      </c>
      <c r="C67" s="66">
        <f>3.0739 * CHOOSE(CONTROL!$C$26, $C$13, 100%, $E$13)</f>
        <v>3.0739000000000001</v>
      </c>
      <c r="D67" s="66">
        <f>3.0777 * CHOOSE(CONTROL!$C$26, $C$13, 100%, $E$13)</f>
        <v>3.0777000000000001</v>
      </c>
      <c r="E67" s="67">
        <f>3.7091 * CHOOSE(CONTROL!$C$26, $C$13, 100%, $E$13)</f>
        <v>3.7090999999999998</v>
      </c>
      <c r="F67" s="67">
        <f>3.7091 * CHOOSE(CONTROL!$C$26, $C$13, 100%, $E$13)</f>
        <v>3.7090999999999998</v>
      </c>
      <c r="G67" s="67">
        <f>3.7139 * CHOOSE(CONTROL!$C$26, $C$13, 100%, $E$13)</f>
        <v>3.7139000000000002</v>
      </c>
      <c r="H67" s="67">
        <f>6.547* CHOOSE(CONTROL!$C$26, $C$13, 100%, $E$13)</f>
        <v>6.5469999999999997</v>
      </c>
      <c r="I67" s="67">
        <f>6.5518 * CHOOSE(CONTROL!$C$26, $C$13, 100%, $E$13)</f>
        <v>6.5518000000000001</v>
      </c>
      <c r="J67" s="67">
        <f>3.7091 * CHOOSE(CONTROL!$C$26, $C$13, 100%, $E$13)</f>
        <v>3.7090999999999998</v>
      </c>
      <c r="K67" s="67">
        <f>3.7139 * CHOOSE(CONTROL!$C$26, $C$13, 100%, $E$13)</f>
        <v>3.7139000000000002</v>
      </c>
      <c r="L67" s="4"/>
      <c r="M67" s="4"/>
      <c r="N67" s="4"/>
    </row>
    <row r="68" spans="1:14" ht="15">
      <c r="A68" s="13">
        <v>43191</v>
      </c>
      <c r="B68" s="66">
        <f>3.0705 * CHOOSE(CONTROL!$C$26, $C$13, 100%, $E$13)</f>
        <v>3.0705</v>
      </c>
      <c r="C68" s="66">
        <f>3.0705 * CHOOSE(CONTROL!$C$26, $C$13, 100%, $E$13)</f>
        <v>3.0705</v>
      </c>
      <c r="D68" s="66">
        <f>3.0744 * CHOOSE(CONTROL!$C$26, $C$13, 100%, $E$13)</f>
        <v>3.0743999999999998</v>
      </c>
      <c r="E68" s="67">
        <f>3.7359 * CHOOSE(CONTROL!$C$26, $C$13, 100%, $E$13)</f>
        <v>3.7359</v>
      </c>
      <c r="F68" s="67">
        <f>3.7359 * CHOOSE(CONTROL!$C$26, $C$13, 100%, $E$13)</f>
        <v>3.7359</v>
      </c>
      <c r="G68" s="67">
        <f>3.7407 * CHOOSE(CONTROL!$C$26, $C$13, 100%, $E$13)</f>
        <v>3.7406999999999999</v>
      </c>
      <c r="H68" s="67">
        <f>6.5607* CHOOSE(CONTROL!$C$26, $C$13, 100%, $E$13)</f>
        <v>6.5606999999999998</v>
      </c>
      <c r="I68" s="67">
        <f>6.5654 * CHOOSE(CONTROL!$C$26, $C$13, 100%, $E$13)</f>
        <v>6.5654000000000003</v>
      </c>
      <c r="J68" s="67">
        <f>3.7359 * CHOOSE(CONTROL!$C$26, $C$13, 100%, $E$13)</f>
        <v>3.7359</v>
      </c>
      <c r="K68" s="67">
        <f>3.7407 * CHOOSE(CONTROL!$C$26, $C$13, 100%, $E$13)</f>
        <v>3.7406999999999999</v>
      </c>
      <c r="L68" s="4"/>
      <c r="M68" s="4"/>
      <c r="N68" s="4"/>
    </row>
    <row r="69" spans="1:14" ht="15">
      <c r="A69" s="13">
        <v>43221</v>
      </c>
      <c r="B69" s="66">
        <f>3.0705 * CHOOSE(CONTROL!$C$26, $C$13, 100%, $E$13)</f>
        <v>3.0705</v>
      </c>
      <c r="C69" s="66">
        <f>3.0705 * CHOOSE(CONTROL!$C$26, $C$13, 100%, $E$13)</f>
        <v>3.0705</v>
      </c>
      <c r="D69" s="66">
        <f>3.076 * CHOOSE(CONTROL!$C$26, $C$13, 100%, $E$13)</f>
        <v>3.0760000000000001</v>
      </c>
      <c r="E69" s="67">
        <f>3.7476 * CHOOSE(CONTROL!$C$26, $C$13, 100%, $E$13)</f>
        <v>3.7475999999999998</v>
      </c>
      <c r="F69" s="67">
        <f>3.7476 * CHOOSE(CONTROL!$C$26, $C$13, 100%, $E$13)</f>
        <v>3.7475999999999998</v>
      </c>
      <c r="G69" s="67">
        <f>3.7543 * CHOOSE(CONTROL!$C$26, $C$13, 100%, $E$13)</f>
        <v>3.7543000000000002</v>
      </c>
      <c r="H69" s="67">
        <f>6.5743* CHOOSE(CONTROL!$C$26, $C$13, 100%, $E$13)</f>
        <v>6.5743</v>
      </c>
      <c r="I69" s="67">
        <f>6.5811 * CHOOSE(CONTROL!$C$26, $C$13, 100%, $E$13)</f>
        <v>6.5811000000000002</v>
      </c>
      <c r="J69" s="67">
        <f>3.7476 * CHOOSE(CONTROL!$C$26, $C$13, 100%, $E$13)</f>
        <v>3.7475999999999998</v>
      </c>
      <c r="K69" s="67">
        <f>3.7543 * CHOOSE(CONTROL!$C$26, $C$13, 100%, $E$13)</f>
        <v>3.7543000000000002</v>
      </c>
      <c r="L69" s="4"/>
      <c r="M69" s="4"/>
      <c r="N69" s="4"/>
    </row>
    <row r="70" spans="1:14" ht="15">
      <c r="A70" s="13">
        <v>43252</v>
      </c>
      <c r="B70" s="66">
        <f>3.0766 * CHOOSE(CONTROL!$C$26, $C$13, 100%, $E$13)</f>
        <v>3.0766</v>
      </c>
      <c r="C70" s="66">
        <f>3.0766 * CHOOSE(CONTROL!$C$26, $C$13, 100%, $E$13)</f>
        <v>3.0766</v>
      </c>
      <c r="D70" s="66">
        <f>3.0821 * CHOOSE(CONTROL!$C$26, $C$13, 100%, $E$13)</f>
        <v>3.0821000000000001</v>
      </c>
      <c r="E70" s="67">
        <f>3.7402 * CHOOSE(CONTROL!$C$26, $C$13, 100%, $E$13)</f>
        <v>3.7402000000000002</v>
      </c>
      <c r="F70" s="67">
        <f>3.7402 * CHOOSE(CONTROL!$C$26, $C$13, 100%, $E$13)</f>
        <v>3.7402000000000002</v>
      </c>
      <c r="G70" s="67">
        <f>3.7469 * CHOOSE(CONTROL!$C$26, $C$13, 100%, $E$13)</f>
        <v>3.7469000000000001</v>
      </c>
      <c r="H70" s="67">
        <f>6.588* CHOOSE(CONTROL!$C$26, $C$13, 100%, $E$13)</f>
        <v>6.5880000000000001</v>
      </c>
      <c r="I70" s="67">
        <f>6.5948 * CHOOSE(CONTROL!$C$26, $C$13, 100%, $E$13)</f>
        <v>6.5948000000000002</v>
      </c>
      <c r="J70" s="67">
        <f>3.7402 * CHOOSE(CONTROL!$C$26, $C$13, 100%, $E$13)</f>
        <v>3.7402000000000002</v>
      </c>
      <c r="K70" s="67">
        <f>3.7469 * CHOOSE(CONTROL!$C$26, $C$13, 100%, $E$13)</f>
        <v>3.7469000000000001</v>
      </c>
      <c r="L70" s="4"/>
      <c r="M70" s="4"/>
      <c r="N70" s="4"/>
    </row>
    <row r="71" spans="1:14" ht="15">
      <c r="A71" s="13">
        <v>43282</v>
      </c>
      <c r="B71" s="66">
        <f>3.1468 * CHOOSE(CONTROL!$C$26, $C$13, 100%, $E$13)</f>
        <v>3.1467999999999998</v>
      </c>
      <c r="C71" s="66">
        <f>3.1468 * CHOOSE(CONTROL!$C$26, $C$13, 100%, $E$13)</f>
        <v>3.1467999999999998</v>
      </c>
      <c r="D71" s="66">
        <f>3.1523 * CHOOSE(CONTROL!$C$26, $C$13, 100%, $E$13)</f>
        <v>3.1522999999999999</v>
      </c>
      <c r="E71" s="67">
        <f>3.7912 * CHOOSE(CONTROL!$C$26, $C$13, 100%, $E$13)</f>
        <v>3.7911999999999999</v>
      </c>
      <c r="F71" s="67">
        <f>3.7912 * CHOOSE(CONTROL!$C$26, $C$13, 100%, $E$13)</f>
        <v>3.7911999999999999</v>
      </c>
      <c r="G71" s="67">
        <f>3.798 * CHOOSE(CONTROL!$C$26, $C$13, 100%, $E$13)</f>
        <v>3.798</v>
      </c>
      <c r="H71" s="67">
        <f>6.6018* CHOOSE(CONTROL!$C$26, $C$13, 100%, $E$13)</f>
        <v>6.6017999999999999</v>
      </c>
      <c r="I71" s="67">
        <f>6.6085 * CHOOSE(CONTROL!$C$26, $C$13, 100%, $E$13)</f>
        <v>6.6085000000000003</v>
      </c>
      <c r="J71" s="67">
        <f>3.7912 * CHOOSE(CONTROL!$C$26, $C$13, 100%, $E$13)</f>
        <v>3.7911999999999999</v>
      </c>
      <c r="K71" s="67">
        <f>3.798 * CHOOSE(CONTROL!$C$26, $C$13, 100%, $E$13)</f>
        <v>3.798</v>
      </c>
      <c r="L71" s="4"/>
      <c r="M71" s="4"/>
      <c r="N71" s="4"/>
    </row>
    <row r="72" spans="1:14" ht="15">
      <c r="A72" s="13">
        <v>43313</v>
      </c>
      <c r="B72" s="66">
        <f>3.1535 * CHOOSE(CONTROL!$C$26, $C$13, 100%, $E$13)</f>
        <v>3.1535000000000002</v>
      </c>
      <c r="C72" s="66">
        <f>3.1535 * CHOOSE(CONTROL!$C$26, $C$13, 100%, $E$13)</f>
        <v>3.1535000000000002</v>
      </c>
      <c r="D72" s="66">
        <f>3.159 * CHOOSE(CONTROL!$C$26, $C$13, 100%, $E$13)</f>
        <v>3.1589999999999998</v>
      </c>
      <c r="E72" s="67">
        <f>3.7609 * CHOOSE(CONTROL!$C$26, $C$13, 100%, $E$13)</f>
        <v>3.7608999999999999</v>
      </c>
      <c r="F72" s="67">
        <f>3.7609 * CHOOSE(CONTROL!$C$26, $C$13, 100%, $E$13)</f>
        <v>3.7608999999999999</v>
      </c>
      <c r="G72" s="67">
        <f>3.7677 * CHOOSE(CONTROL!$C$26, $C$13, 100%, $E$13)</f>
        <v>3.7677</v>
      </c>
      <c r="H72" s="67">
        <f>6.6155* CHOOSE(CONTROL!$C$26, $C$13, 100%, $E$13)</f>
        <v>6.6154999999999999</v>
      </c>
      <c r="I72" s="67">
        <f>6.6222 * CHOOSE(CONTROL!$C$26, $C$13, 100%, $E$13)</f>
        <v>6.6222000000000003</v>
      </c>
      <c r="J72" s="67">
        <f>3.7609 * CHOOSE(CONTROL!$C$26, $C$13, 100%, $E$13)</f>
        <v>3.7608999999999999</v>
      </c>
      <c r="K72" s="67">
        <f>3.7677 * CHOOSE(CONTROL!$C$26, $C$13, 100%, $E$13)</f>
        <v>3.7677</v>
      </c>
      <c r="L72" s="4"/>
      <c r="M72" s="4"/>
      <c r="N72" s="4"/>
    </row>
    <row r="73" spans="1:14" ht="15">
      <c r="A73" s="13">
        <v>43344</v>
      </c>
      <c r="B73" s="66">
        <f>3.1505 * CHOOSE(CONTROL!$C$26, $C$13, 100%, $E$13)</f>
        <v>3.1505000000000001</v>
      </c>
      <c r="C73" s="66">
        <f>3.1505 * CHOOSE(CONTROL!$C$26, $C$13, 100%, $E$13)</f>
        <v>3.1505000000000001</v>
      </c>
      <c r="D73" s="66">
        <f>3.156 * CHOOSE(CONTROL!$C$26, $C$13, 100%, $E$13)</f>
        <v>3.1560000000000001</v>
      </c>
      <c r="E73" s="67">
        <f>3.7549 * CHOOSE(CONTROL!$C$26, $C$13, 100%, $E$13)</f>
        <v>3.7549000000000001</v>
      </c>
      <c r="F73" s="67">
        <f>3.7549 * CHOOSE(CONTROL!$C$26, $C$13, 100%, $E$13)</f>
        <v>3.7549000000000001</v>
      </c>
      <c r="G73" s="67">
        <f>3.7617 * CHOOSE(CONTROL!$C$26, $C$13, 100%, $E$13)</f>
        <v>3.7616999999999998</v>
      </c>
      <c r="H73" s="67">
        <f>6.6293* CHOOSE(CONTROL!$C$26, $C$13, 100%, $E$13)</f>
        <v>6.6292999999999997</v>
      </c>
      <c r="I73" s="67">
        <f>6.636 * CHOOSE(CONTROL!$C$26, $C$13, 100%, $E$13)</f>
        <v>6.6360000000000001</v>
      </c>
      <c r="J73" s="67">
        <f>3.7549 * CHOOSE(CONTROL!$C$26, $C$13, 100%, $E$13)</f>
        <v>3.7549000000000001</v>
      </c>
      <c r="K73" s="67">
        <f>3.7617 * CHOOSE(CONTROL!$C$26, $C$13, 100%, $E$13)</f>
        <v>3.7616999999999998</v>
      </c>
      <c r="L73" s="4"/>
      <c r="M73" s="4"/>
      <c r="N73" s="4"/>
    </row>
    <row r="74" spans="1:14" ht="15">
      <c r="A74" s="13">
        <v>43374</v>
      </c>
      <c r="B74" s="66">
        <f>3.1419 * CHOOSE(CONTROL!$C$26, $C$13, 100%, $E$13)</f>
        <v>3.1419000000000001</v>
      </c>
      <c r="C74" s="66">
        <f>3.1419 * CHOOSE(CONTROL!$C$26, $C$13, 100%, $E$13)</f>
        <v>3.1419000000000001</v>
      </c>
      <c r="D74" s="66">
        <f>3.1457 * CHOOSE(CONTROL!$C$26, $C$13, 100%, $E$13)</f>
        <v>3.1457000000000002</v>
      </c>
      <c r="E74" s="67">
        <f>3.7571 * CHOOSE(CONTROL!$C$26, $C$13, 100%, $E$13)</f>
        <v>3.7570999999999999</v>
      </c>
      <c r="F74" s="67">
        <f>3.7571 * CHOOSE(CONTROL!$C$26, $C$13, 100%, $E$13)</f>
        <v>3.7570999999999999</v>
      </c>
      <c r="G74" s="67">
        <f>3.7618 * CHOOSE(CONTROL!$C$26, $C$13, 100%, $E$13)</f>
        <v>3.7618</v>
      </c>
      <c r="H74" s="67">
        <f>6.6431* CHOOSE(CONTROL!$C$26, $C$13, 100%, $E$13)</f>
        <v>6.6430999999999996</v>
      </c>
      <c r="I74" s="67">
        <f>6.6479 * CHOOSE(CONTROL!$C$26, $C$13, 100%, $E$13)</f>
        <v>6.6478999999999999</v>
      </c>
      <c r="J74" s="67">
        <f>3.7571 * CHOOSE(CONTROL!$C$26, $C$13, 100%, $E$13)</f>
        <v>3.7570999999999999</v>
      </c>
      <c r="K74" s="67">
        <f>3.7618 * CHOOSE(CONTROL!$C$26, $C$13, 100%, $E$13)</f>
        <v>3.7618</v>
      </c>
      <c r="L74" s="4"/>
      <c r="M74" s="4"/>
      <c r="N74" s="4"/>
    </row>
    <row r="75" spans="1:14" ht="15">
      <c r="A75" s="13">
        <v>43405</v>
      </c>
      <c r="B75" s="66">
        <f>3.1449 * CHOOSE(CONTROL!$C$26, $C$13, 100%, $E$13)</f>
        <v>3.1448999999999998</v>
      </c>
      <c r="C75" s="66">
        <f>3.1449 * CHOOSE(CONTROL!$C$26, $C$13, 100%, $E$13)</f>
        <v>3.1448999999999998</v>
      </c>
      <c r="D75" s="66">
        <f>3.1488 * CHOOSE(CONTROL!$C$26, $C$13, 100%, $E$13)</f>
        <v>3.1488</v>
      </c>
      <c r="E75" s="67">
        <f>3.767 * CHOOSE(CONTROL!$C$26, $C$13, 100%, $E$13)</f>
        <v>3.7669999999999999</v>
      </c>
      <c r="F75" s="67">
        <f>3.767 * CHOOSE(CONTROL!$C$26, $C$13, 100%, $E$13)</f>
        <v>3.7669999999999999</v>
      </c>
      <c r="G75" s="67">
        <f>3.7717 * CHOOSE(CONTROL!$C$26, $C$13, 100%, $E$13)</f>
        <v>3.7717000000000001</v>
      </c>
      <c r="H75" s="67">
        <f>6.6569* CHOOSE(CONTROL!$C$26, $C$13, 100%, $E$13)</f>
        <v>6.6569000000000003</v>
      </c>
      <c r="I75" s="67">
        <f>6.6617 * CHOOSE(CONTROL!$C$26, $C$13, 100%, $E$13)</f>
        <v>6.6616999999999997</v>
      </c>
      <c r="J75" s="67">
        <f>3.767 * CHOOSE(CONTROL!$C$26, $C$13, 100%, $E$13)</f>
        <v>3.7669999999999999</v>
      </c>
      <c r="K75" s="67">
        <f>3.7717 * CHOOSE(CONTROL!$C$26, $C$13, 100%, $E$13)</f>
        <v>3.7717000000000001</v>
      </c>
      <c r="L75" s="4"/>
      <c r="M75" s="4"/>
      <c r="N75" s="4"/>
    </row>
    <row r="76" spans="1:14" ht="15">
      <c r="A76" s="13">
        <v>43435</v>
      </c>
      <c r="B76" s="66">
        <f>3.1449 * CHOOSE(CONTROL!$C$26, $C$13, 100%, $E$13)</f>
        <v>3.1448999999999998</v>
      </c>
      <c r="C76" s="66">
        <f>3.1449 * CHOOSE(CONTROL!$C$26, $C$13, 100%, $E$13)</f>
        <v>3.1448999999999998</v>
      </c>
      <c r="D76" s="66">
        <f>3.1488 * CHOOSE(CONTROL!$C$26, $C$13, 100%, $E$13)</f>
        <v>3.1488</v>
      </c>
      <c r="E76" s="67">
        <f>3.7475 * CHOOSE(CONTROL!$C$26, $C$13, 100%, $E$13)</f>
        <v>3.7475000000000001</v>
      </c>
      <c r="F76" s="67">
        <f>3.7475 * CHOOSE(CONTROL!$C$26, $C$13, 100%, $E$13)</f>
        <v>3.7475000000000001</v>
      </c>
      <c r="G76" s="67">
        <f>3.7523 * CHOOSE(CONTROL!$C$26, $C$13, 100%, $E$13)</f>
        <v>3.7523</v>
      </c>
      <c r="H76" s="67">
        <f>6.6708* CHOOSE(CONTROL!$C$26, $C$13, 100%, $E$13)</f>
        <v>6.6707999999999998</v>
      </c>
      <c r="I76" s="67">
        <f>6.6756 * CHOOSE(CONTROL!$C$26, $C$13, 100%, $E$13)</f>
        <v>6.6756000000000002</v>
      </c>
      <c r="J76" s="67">
        <f>3.7475 * CHOOSE(CONTROL!$C$26, $C$13, 100%, $E$13)</f>
        <v>3.7475000000000001</v>
      </c>
      <c r="K76" s="67">
        <f>3.7523 * CHOOSE(CONTROL!$C$26, $C$13, 100%, $E$13)</f>
        <v>3.7523</v>
      </c>
      <c r="L76" s="4"/>
      <c r="M76" s="4"/>
      <c r="N76" s="4"/>
    </row>
    <row r="77" spans="1:14" ht="15">
      <c r="A77" s="13">
        <v>43466</v>
      </c>
      <c r="B77" s="66">
        <f>3.1467 * CHOOSE(CONTROL!$C$26, $C$13, 100%, $E$13)</f>
        <v>3.1467000000000001</v>
      </c>
      <c r="C77" s="66">
        <f>3.1467 * CHOOSE(CONTROL!$C$26, $C$13, 100%, $E$13)</f>
        <v>3.1467000000000001</v>
      </c>
      <c r="D77" s="66">
        <f>3.1506 * CHOOSE(CONTROL!$C$26, $C$13, 100%, $E$13)</f>
        <v>3.1505999999999998</v>
      </c>
      <c r="E77" s="67">
        <f>3.844 * CHOOSE(CONTROL!$C$26, $C$13, 100%, $E$13)</f>
        <v>3.8439999999999999</v>
      </c>
      <c r="F77" s="67">
        <f>3.844 * CHOOSE(CONTROL!$C$26, $C$13, 100%, $E$13)</f>
        <v>3.8439999999999999</v>
      </c>
      <c r="G77" s="67">
        <f>3.8488 * CHOOSE(CONTROL!$C$26, $C$13, 100%, $E$13)</f>
        <v>3.8488000000000002</v>
      </c>
      <c r="H77" s="67">
        <f>6.6847* CHOOSE(CONTROL!$C$26, $C$13, 100%, $E$13)</f>
        <v>6.6847000000000003</v>
      </c>
      <c r="I77" s="67">
        <f>6.6895 * CHOOSE(CONTROL!$C$26, $C$13, 100%, $E$13)</f>
        <v>6.6894999999999998</v>
      </c>
      <c r="J77" s="67">
        <f>3.844 * CHOOSE(CONTROL!$C$26, $C$13, 100%, $E$13)</f>
        <v>3.8439999999999999</v>
      </c>
      <c r="K77" s="67">
        <f>3.8488 * CHOOSE(CONTROL!$C$26, $C$13, 100%, $E$13)</f>
        <v>3.8488000000000002</v>
      </c>
      <c r="L77" s="4"/>
      <c r="M77" s="4"/>
      <c r="N77" s="4"/>
    </row>
    <row r="78" spans="1:14" ht="15">
      <c r="A78" s="13">
        <v>43497</v>
      </c>
      <c r="B78" s="66">
        <f>3.1437 * CHOOSE(CONTROL!$C$26, $C$13, 100%, $E$13)</f>
        <v>3.1436999999999999</v>
      </c>
      <c r="C78" s="66">
        <f>3.1437 * CHOOSE(CONTROL!$C$26, $C$13, 100%, $E$13)</f>
        <v>3.1436999999999999</v>
      </c>
      <c r="D78" s="66">
        <f>3.1476 * CHOOSE(CONTROL!$C$26, $C$13, 100%, $E$13)</f>
        <v>3.1476000000000002</v>
      </c>
      <c r="E78" s="67">
        <f>3.7978 * CHOOSE(CONTROL!$C$26, $C$13, 100%, $E$13)</f>
        <v>3.7978000000000001</v>
      </c>
      <c r="F78" s="67">
        <f>3.7978 * CHOOSE(CONTROL!$C$26, $C$13, 100%, $E$13)</f>
        <v>3.7978000000000001</v>
      </c>
      <c r="G78" s="67">
        <f>3.8025 * CHOOSE(CONTROL!$C$26, $C$13, 100%, $E$13)</f>
        <v>3.8025000000000002</v>
      </c>
      <c r="H78" s="67">
        <f>6.6986* CHOOSE(CONTROL!$C$26, $C$13, 100%, $E$13)</f>
        <v>6.6985999999999999</v>
      </c>
      <c r="I78" s="67">
        <f>6.7034 * CHOOSE(CONTROL!$C$26, $C$13, 100%, $E$13)</f>
        <v>6.7034000000000002</v>
      </c>
      <c r="J78" s="67">
        <f>3.7978 * CHOOSE(CONTROL!$C$26, $C$13, 100%, $E$13)</f>
        <v>3.7978000000000001</v>
      </c>
      <c r="K78" s="67">
        <f>3.8025 * CHOOSE(CONTROL!$C$26, $C$13, 100%, $E$13)</f>
        <v>3.8025000000000002</v>
      </c>
      <c r="L78" s="4"/>
      <c r="M78" s="4"/>
      <c r="N78" s="4"/>
    </row>
    <row r="79" spans="1:14" ht="15">
      <c r="A79" s="13">
        <v>43525</v>
      </c>
      <c r="B79" s="66">
        <f>3.1407 * CHOOSE(CONTROL!$C$26, $C$13, 100%, $E$13)</f>
        <v>3.1406999999999998</v>
      </c>
      <c r="C79" s="66">
        <f>3.1407 * CHOOSE(CONTROL!$C$26, $C$13, 100%, $E$13)</f>
        <v>3.1406999999999998</v>
      </c>
      <c r="D79" s="66">
        <f>3.1445 * CHOOSE(CONTROL!$C$26, $C$13, 100%, $E$13)</f>
        <v>3.1444999999999999</v>
      </c>
      <c r="E79" s="67">
        <f>3.8304 * CHOOSE(CONTROL!$C$26, $C$13, 100%, $E$13)</f>
        <v>3.8304</v>
      </c>
      <c r="F79" s="67">
        <f>3.8304 * CHOOSE(CONTROL!$C$26, $C$13, 100%, $E$13)</f>
        <v>3.8304</v>
      </c>
      <c r="G79" s="67">
        <f>3.8352 * CHOOSE(CONTROL!$C$26, $C$13, 100%, $E$13)</f>
        <v>3.8351999999999999</v>
      </c>
      <c r="H79" s="67">
        <f>6.7126* CHOOSE(CONTROL!$C$26, $C$13, 100%, $E$13)</f>
        <v>6.7126000000000001</v>
      </c>
      <c r="I79" s="67">
        <f>6.7174 * CHOOSE(CONTROL!$C$26, $C$13, 100%, $E$13)</f>
        <v>6.7173999999999996</v>
      </c>
      <c r="J79" s="67">
        <f>3.8304 * CHOOSE(CONTROL!$C$26, $C$13, 100%, $E$13)</f>
        <v>3.8304</v>
      </c>
      <c r="K79" s="67">
        <f>3.8352 * CHOOSE(CONTROL!$C$26, $C$13, 100%, $E$13)</f>
        <v>3.8351999999999999</v>
      </c>
      <c r="L79" s="4"/>
      <c r="M79" s="4"/>
      <c r="N79" s="4"/>
    </row>
    <row r="80" spans="1:14" ht="15">
      <c r="A80" s="13">
        <v>43556</v>
      </c>
      <c r="B80" s="66">
        <f>3.1374 * CHOOSE(CONTROL!$C$26, $C$13, 100%, $E$13)</f>
        <v>3.1374</v>
      </c>
      <c r="C80" s="66">
        <f>3.1374 * CHOOSE(CONTROL!$C$26, $C$13, 100%, $E$13)</f>
        <v>3.1374</v>
      </c>
      <c r="D80" s="66">
        <f>3.1412 * CHOOSE(CONTROL!$C$26, $C$13, 100%, $E$13)</f>
        <v>3.1412</v>
      </c>
      <c r="E80" s="67">
        <f>3.8635 * CHOOSE(CONTROL!$C$26, $C$13, 100%, $E$13)</f>
        <v>3.8635000000000002</v>
      </c>
      <c r="F80" s="67">
        <f>3.8635 * CHOOSE(CONTROL!$C$26, $C$13, 100%, $E$13)</f>
        <v>3.8635000000000002</v>
      </c>
      <c r="G80" s="67">
        <f>3.8683 * CHOOSE(CONTROL!$C$26, $C$13, 100%, $E$13)</f>
        <v>3.8683000000000001</v>
      </c>
      <c r="H80" s="67">
        <f>6.7266* CHOOSE(CONTROL!$C$26, $C$13, 100%, $E$13)</f>
        <v>6.7266000000000004</v>
      </c>
      <c r="I80" s="67">
        <f>6.7313 * CHOOSE(CONTROL!$C$26, $C$13, 100%, $E$13)</f>
        <v>6.7313000000000001</v>
      </c>
      <c r="J80" s="67">
        <f>3.8635 * CHOOSE(CONTROL!$C$26, $C$13, 100%, $E$13)</f>
        <v>3.8635000000000002</v>
      </c>
      <c r="K80" s="67">
        <f>3.8683 * CHOOSE(CONTROL!$C$26, $C$13, 100%, $E$13)</f>
        <v>3.8683000000000001</v>
      </c>
      <c r="L80" s="4"/>
      <c r="M80" s="4"/>
      <c r="N80" s="4"/>
    </row>
    <row r="81" spans="1:14" ht="15">
      <c r="A81" s="13">
        <v>43586</v>
      </c>
      <c r="B81" s="66">
        <f>3.1374 * CHOOSE(CONTROL!$C$26, $C$13, 100%, $E$13)</f>
        <v>3.1374</v>
      </c>
      <c r="C81" s="66">
        <f>3.1374 * CHOOSE(CONTROL!$C$26, $C$13, 100%, $E$13)</f>
        <v>3.1374</v>
      </c>
      <c r="D81" s="66">
        <f>3.1429 * CHOOSE(CONTROL!$C$26, $C$13, 100%, $E$13)</f>
        <v>3.1429</v>
      </c>
      <c r="E81" s="67">
        <f>3.8775 * CHOOSE(CONTROL!$C$26, $C$13, 100%, $E$13)</f>
        <v>3.8774999999999999</v>
      </c>
      <c r="F81" s="67">
        <f>3.8775 * CHOOSE(CONTROL!$C$26, $C$13, 100%, $E$13)</f>
        <v>3.8774999999999999</v>
      </c>
      <c r="G81" s="67">
        <f>3.8843 * CHOOSE(CONTROL!$C$26, $C$13, 100%, $E$13)</f>
        <v>3.8843000000000001</v>
      </c>
      <c r="H81" s="67">
        <f>6.7406* CHOOSE(CONTROL!$C$26, $C$13, 100%, $E$13)</f>
        <v>6.7405999999999997</v>
      </c>
      <c r="I81" s="67">
        <f>6.7473 * CHOOSE(CONTROL!$C$26, $C$13, 100%, $E$13)</f>
        <v>6.7473000000000001</v>
      </c>
      <c r="J81" s="67">
        <f>3.8775 * CHOOSE(CONTROL!$C$26, $C$13, 100%, $E$13)</f>
        <v>3.8774999999999999</v>
      </c>
      <c r="K81" s="67">
        <f>3.8843 * CHOOSE(CONTROL!$C$26, $C$13, 100%, $E$13)</f>
        <v>3.8843000000000001</v>
      </c>
      <c r="L81" s="4"/>
      <c r="M81" s="4"/>
      <c r="N81" s="4"/>
    </row>
    <row r="82" spans="1:14" ht="15">
      <c r="A82" s="13">
        <v>43617</v>
      </c>
      <c r="B82" s="66">
        <f>3.1435 * CHOOSE(CONTROL!$C$26, $C$13, 100%, $E$13)</f>
        <v>3.1435</v>
      </c>
      <c r="C82" s="66">
        <f>3.1435 * CHOOSE(CONTROL!$C$26, $C$13, 100%, $E$13)</f>
        <v>3.1435</v>
      </c>
      <c r="D82" s="66">
        <f>3.149 * CHOOSE(CONTROL!$C$26, $C$13, 100%, $E$13)</f>
        <v>3.149</v>
      </c>
      <c r="E82" s="67">
        <f>3.8678 * CHOOSE(CONTROL!$C$26, $C$13, 100%, $E$13)</f>
        <v>3.8677999999999999</v>
      </c>
      <c r="F82" s="67">
        <f>3.8678 * CHOOSE(CONTROL!$C$26, $C$13, 100%, $E$13)</f>
        <v>3.8677999999999999</v>
      </c>
      <c r="G82" s="67">
        <f>3.8745 * CHOOSE(CONTROL!$C$26, $C$13, 100%, $E$13)</f>
        <v>3.8744999999999998</v>
      </c>
      <c r="H82" s="67">
        <f>6.7546* CHOOSE(CONTROL!$C$26, $C$13, 100%, $E$13)</f>
        <v>6.7545999999999999</v>
      </c>
      <c r="I82" s="67">
        <f>6.7614 * CHOOSE(CONTROL!$C$26, $C$13, 100%, $E$13)</f>
        <v>6.7614000000000001</v>
      </c>
      <c r="J82" s="67">
        <f>3.8678 * CHOOSE(CONTROL!$C$26, $C$13, 100%, $E$13)</f>
        <v>3.8677999999999999</v>
      </c>
      <c r="K82" s="67">
        <f>3.8745 * CHOOSE(CONTROL!$C$26, $C$13, 100%, $E$13)</f>
        <v>3.8744999999999998</v>
      </c>
      <c r="L82" s="4"/>
      <c r="M82" s="4"/>
      <c r="N82" s="4"/>
    </row>
    <row r="83" spans="1:14" ht="15">
      <c r="A83" s="13">
        <v>43647</v>
      </c>
      <c r="B83" s="66">
        <f>3.1331 * CHOOSE(CONTROL!$C$26, $C$13, 100%, $E$13)</f>
        <v>3.1331000000000002</v>
      </c>
      <c r="C83" s="66">
        <f>3.1331 * CHOOSE(CONTROL!$C$26, $C$13, 100%, $E$13)</f>
        <v>3.1331000000000002</v>
      </c>
      <c r="D83" s="66">
        <f>3.1386 * CHOOSE(CONTROL!$C$26, $C$13, 100%, $E$13)</f>
        <v>3.1385999999999998</v>
      </c>
      <c r="E83" s="67">
        <f>3.901 * CHOOSE(CONTROL!$C$26, $C$13, 100%, $E$13)</f>
        <v>3.9009999999999998</v>
      </c>
      <c r="F83" s="67">
        <f>3.901 * CHOOSE(CONTROL!$C$26, $C$13, 100%, $E$13)</f>
        <v>3.9009999999999998</v>
      </c>
      <c r="G83" s="67">
        <f>3.9078 * CHOOSE(CONTROL!$C$26, $C$13, 100%, $E$13)</f>
        <v>3.9077999999999999</v>
      </c>
      <c r="H83" s="67">
        <f>6.7687* CHOOSE(CONTROL!$C$26, $C$13, 100%, $E$13)</f>
        <v>6.7686999999999999</v>
      </c>
      <c r="I83" s="67">
        <f>6.7754 * CHOOSE(CONTROL!$C$26, $C$13, 100%, $E$13)</f>
        <v>6.7754000000000003</v>
      </c>
      <c r="J83" s="67">
        <f>3.901 * CHOOSE(CONTROL!$C$26, $C$13, 100%, $E$13)</f>
        <v>3.9009999999999998</v>
      </c>
      <c r="K83" s="67">
        <f>3.9078 * CHOOSE(CONTROL!$C$26, $C$13, 100%, $E$13)</f>
        <v>3.9077999999999999</v>
      </c>
      <c r="L83" s="4"/>
      <c r="M83" s="4"/>
      <c r="N83" s="4"/>
    </row>
    <row r="84" spans="1:14" ht="15">
      <c r="A84" s="13">
        <v>43678</v>
      </c>
      <c r="B84" s="66">
        <f>3.1398 * CHOOSE(CONTROL!$C$26, $C$13, 100%, $E$13)</f>
        <v>3.1398000000000001</v>
      </c>
      <c r="C84" s="66">
        <f>3.1398 * CHOOSE(CONTROL!$C$26, $C$13, 100%, $E$13)</f>
        <v>3.1398000000000001</v>
      </c>
      <c r="D84" s="66">
        <f>3.1453 * CHOOSE(CONTROL!$C$26, $C$13, 100%, $E$13)</f>
        <v>3.1453000000000002</v>
      </c>
      <c r="E84" s="67">
        <f>3.8637 * CHOOSE(CONTROL!$C$26, $C$13, 100%, $E$13)</f>
        <v>3.8637000000000001</v>
      </c>
      <c r="F84" s="67">
        <f>3.8637 * CHOOSE(CONTROL!$C$26, $C$13, 100%, $E$13)</f>
        <v>3.8637000000000001</v>
      </c>
      <c r="G84" s="67">
        <f>3.8704 * CHOOSE(CONTROL!$C$26, $C$13, 100%, $E$13)</f>
        <v>3.8704000000000001</v>
      </c>
      <c r="H84" s="67">
        <f>6.7828* CHOOSE(CONTROL!$C$26, $C$13, 100%, $E$13)</f>
        <v>6.7827999999999999</v>
      </c>
      <c r="I84" s="67">
        <f>6.7895 * CHOOSE(CONTROL!$C$26, $C$13, 100%, $E$13)</f>
        <v>6.7895000000000003</v>
      </c>
      <c r="J84" s="67">
        <f>3.8637 * CHOOSE(CONTROL!$C$26, $C$13, 100%, $E$13)</f>
        <v>3.8637000000000001</v>
      </c>
      <c r="K84" s="67">
        <f>3.8704 * CHOOSE(CONTROL!$C$26, $C$13, 100%, $E$13)</f>
        <v>3.8704000000000001</v>
      </c>
      <c r="L84" s="4"/>
      <c r="M84" s="4"/>
      <c r="N84" s="4"/>
    </row>
    <row r="85" spans="1:14" ht="15">
      <c r="A85" s="13">
        <v>43709</v>
      </c>
      <c r="B85" s="66">
        <f>3.1367 * CHOOSE(CONTROL!$C$26, $C$13, 100%, $E$13)</f>
        <v>3.1366999999999998</v>
      </c>
      <c r="C85" s="66">
        <f>3.1367 * CHOOSE(CONTROL!$C$26, $C$13, 100%, $E$13)</f>
        <v>3.1366999999999998</v>
      </c>
      <c r="D85" s="66">
        <f>3.1422 * CHOOSE(CONTROL!$C$26, $C$13, 100%, $E$13)</f>
        <v>3.1421999999999999</v>
      </c>
      <c r="E85" s="67">
        <f>3.8569 * CHOOSE(CONTROL!$C$26, $C$13, 100%, $E$13)</f>
        <v>3.8569</v>
      </c>
      <c r="F85" s="67">
        <f>3.8569 * CHOOSE(CONTROL!$C$26, $C$13, 100%, $E$13)</f>
        <v>3.8569</v>
      </c>
      <c r="G85" s="67">
        <f>3.8636 * CHOOSE(CONTROL!$C$26, $C$13, 100%, $E$13)</f>
        <v>3.8635999999999999</v>
      </c>
      <c r="H85" s="67">
        <f>6.7969* CHOOSE(CONTROL!$C$26, $C$13, 100%, $E$13)</f>
        <v>6.7968999999999999</v>
      </c>
      <c r="I85" s="67">
        <f>6.8037 * CHOOSE(CONTROL!$C$26, $C$13, 100%, $E$13)</f>
        <v>6.8037000000000001</v>
      </c>
      <c r="J85" s="67">
        <f>3.8569 * CHOOSE(CONTROL!$C$26, $C$13, 100%, $E$13)</f>
        <v>3.8569</v>
      </c>
      <c r="K85" s="67">
        <f>3.8636 * CHOOSE(CONTROL!$C$26, $C$13, 100%, $E$13)</f>
        <v>3.8635999999999999</v>
      </c>
      <c r="L85" s="4"/>
      <c r="M85" s="4"/>
      <c r="N85" s="4"/>
    </row>
    <row r="86" spans="1:14" ht="15">
      <c r="A86" s="13">
        <v>43739</v>
      </c>
      <c r="B86" s="66">
        <f>3.1284 * CHOOSE(CONTROL!$C$26, $C$13, 100%, $E$13)</f>
        <v>3.1284000000000001</v>
      </c>
      <c r="C86" s="66">
        <f>3.1284 * CHOOSE(CONTROL!$C$26, $C$13, 100%, $E$13)</f>
        <v>3.1284000000000001</v>
      </c>
      <c r="D86" s="66">
        <f>3.1323 * CHOOSE(CONTROL!$C$26, $C$13, 100%, $E$13)</f>
        <v>3.1322999999999999</v>
      </c>
      <c r="E86" s="67">
        <f>3.8621 * CHOOSE(CONTROL!$C$26, $C$13, 100%, $E$13)</f>
        <v>3.8620999999999999</v>
      </c>
      <c r="F86" s="67">
        <f>3.8621 * CHOOSE(CONTROL!$C$26, $C$13, 100%, $E$13)</f>
        <v>3.8620999999999999</v>
      </c>
      <c r="G86" s="67">
        <f>3.8669 * CHOOSE(CONTROL!$C$26, $C$13, 100%, $E$13)</f>
        <v>3.8668999999999998</v>
      </c>
      <c r="H86" s="67">
        <f>6.8111* CHOOSE(CONTROL!$C$26, $C$13, 100%, $E$13)</f>
        <v>6.8110999999999997</v>
      </c>
      <c r="I86" s="67">
        <f>6.8159 * CHOOSE(CONTROL!$C$26, $C$13, 100%, $E$13)</f>
        <v>6.8159000000000001</v>
      </c>
      <c r="J86" s="67">
        <f>3.8621 * CHOOSE(CONTROL!$C$26, $C$13, 100%, $E$13)</f>
        <v>3.8620999999999999</v>
      </c>
      <c r="K86" s="67">
        <f>3.8669 * CHOOSE(CONTROL!$C$26, $C$13, 100%, $E$13)</f>
        <v>3.8668999999999998</v>
      </c>
      <c r="L86" s="4"/>
      <c r="M86" s="4"/>
      <c r="N86" s="4"/>
    </row>
    <row r="87" spans="1:14" ht="15">
      <c r="A87" s="13">
        <v>43770</v>
      </c>
      <c r="B87" s="66">
        <f>3.1314 * CHOOSE(CONTROL!$C$26, $C$13, 100%, $E$13)</f>
        <v>3.1314000000000002</v>
      </c>
      <c r="C87" s="66">
        <f>3.1314 * CHOOSE(CONTROL!$C$26, $C$13, 100%, $E$13)</f>
        <v>3.1314000000000002</v>
      </c>
      <c r="D87" s="66">
        <f>3.1353 * CHOOSE(CONTROL!$C$26, $C$13, 100%, $E$13)</f>
        <v>3.1353</v>
      </c>
      <c r="E87" s="67">
        <f>3.8736 * CHOOSE(CONTROL!$C$26, $C$13, 100%, $E$13)</f>
        <v>3.8736000000000002</v>
      </c>
      <c r="F87" s="67">
        <f>3.8736 * CHOOSE(CONTROL!$C$26, $C$13, 100%, $E$13)</f>
        <v>3.8736000000000002</v>
      </c>
      <c r="G87" s="67">
        <f>3.8784 * CHOOSE(CONTROL!$C$26, $C$13, 100%, $E$13)</f>
        <v>3.8784000000000001</v>
      </c>
      <c r="H87" s="67">
        <f>6.8253* CHOOSE(CONTROL!$C$26, $C$13, 100%, $E$13)</f>
        <v>6.8253000000000004</v>
      </c>
      <c r="I87" s="67">
        <f>6.8301 * CHOOSE(CONTROL!$C$26, $C$13, 100%, $E$13)</f>
        <v>6.8300999999999998</v>
      </c>
      <c r="J87" s="67">
        <f>3.8736 * CHOOSE(CONTROL!$C$26, $C$13, 100%, $E$13)</f>
        <v>3.8736000000000002</v>
      </c>
      <c r="K87" s="67">
        <f>3.8784 * CHOOSE(CONTROL!$C$26, $C$13, 100%, $E$13)</f>
        <v>3.8784000000000001</v>
      </c>
      <c r="L87" s="4"/>
      <c r="M87" s="4"/>
      <c r="N87" s="4"/>
    </row>
    <row r="88" spans="1:14" ht="15">
      <c r="A88" s="13">
        <v>43800</v>
      </c>
      <c r="B88" s="66">
        <f>3.1314 * CHOOSE(CONTROL!$C$26, $C$13, 100%, $E$13)</f>
        <v>3.1314000000000002</v>
      </c>
      <c r="C88" s="66">
        <f>3.1314 * CHOOSE(CONTROL!$C$26, $C$13, 100%, $E$13)</f>
        <v>3.1314000000000002</v>
      </c>
      <c r="D88" s="66">
        <f>3.1353 * CHOOSE(CONTROL!$C$26, $C$13, 100%, $E$13)</f>
        <v>3.1353</v>
      </c>
      <c r="E88" s="67">
        <f>3.8503 * CHOOSE(CONTROL!$C$26, $C$13, 100%, $E$13)</f>
        <v>3.8502999999999998</v>
      </c>
      <c r="F88" s="67">
        <f>3.8503 * CHOOSE(CONTROL!$C$26, $C$13, 100%, $E$13)</f>
        <v>3.8502999999999998</v>
      </c>
      <c r="G88" s="67">
        <f>3.855 * CHOOSE(CONTROL!$C$26, $C$13, 100%, $E$13)</f>
        <v>3.855</v>
      </c>
      <c r="H88" s="67">
        <f>6.8395* CHOOSE(CONTROL!$C$26, $C$13, 100%, $E$13)</f>
        <v>6.8395000000000001</v>
      </c>
      <c r="I88" s="67">
        <f>6.8443 * CHOOSE(CONTROL!$C$26, $C$13, 100%, $E$13)</f>
        <v>6.8442999999999996</v>
      </c>
      <c r="J88" s="67">
        <f>3.8503 * CHOOSE(CONTROL!$C$26, $C$13, 100%, $E$13)</f>
        <v>3.8502999999999998</v>
      </c>
      <c r="K88" s="67">
        <f>3.855 * CHOOSE(CONTROL!$C$26, $C$13, 100%, $E$13)</f>
        <v>3.855</v>
      </c>
      <c r="L88" s="4"/>
      <c r="M88" s="4"/>
      <c r="N88" s="4"/>
    </row>
    <row r="89" spans="1:14" ht="15">
      <c r="A89" s="13">
        <v>43831</v>
      </c>
      <c r="B89" s="66">
        <f>3.167 * CHOOSE(CONTROL!$C$26, $C$13, 100%, $E$13)</f>
        <v>3.1669999999999998</v>
      </c>
      <c r="C89" s="66">
        <f>3.167 * CHOOSE(CONTROL!$C$26, $C$13, 100%, $E$13)</f>
        <v>3.1669999999999998</v>
      </c>
      <c r="D89" s="66">
        <f>3.1709 * CHOOSE(CONTROL!$C$26, $C$13, 100%, $E$13)</f>
        <v>3.1709000000000001</v>
      </c>
      <c r="E89" s="67">
        <f>3.8608 * CHOOSE(CONTROL!$C$26, $C$13, 100%, $E$13)</f>
        <v>3.8607999999999998</v>
      </c>
      <c r="F89" s="67">
        <f>3.8608 * CHOOSE(CONTROL!$C$26, $C$13, 100%, $E$13)</f>
        <v>3.8607999999999998</v>
      </c>
      <c r="G89" s="67">
        <f>3.8656 * CHOOSE(CONTROL!$C$26, $C$13, 100%, $E$13)</f>
        <v>3.8656000000000001</v>
      </c>
      <c r="H89" s="67">
        <f>6.8538* CHOOSE(CONTROL!$C$26, $C$13, 100%, $E$13)</f>
        <v>6.8537999999999997</v>
      </c>
      <c r="I89" s="67">
        <f>6.8585 * CHOOSE(CONTROL!$C$26, $C$13, 100%, $E$13)</f>
        <v>6.8585000000000003</v>
      </c>
      <c r="J89" s="67">
        <f>3.8608 * CHOOSE(CONTROL!$C$26, $C$13, 100%, $E$13)</f>
        <v>3.8607999999999998</v>
      </c>
      <c r="K89" s="67">
        <f>3.8656 * CHOOSE(CONTROL!$C$26, $C$13, 100%, $E$13)</f>
        <v>3.8656000000000001</v>
      </c>
      <c r="L89" s="4"/>
      <c r="M89" s="4"/>
      <c r="N89" s="4"/>
    </row>
    <row r="90" spans="1:14" ht="15">
      <c r="A90" s="13">
        <v>43862</v>
      </c>
      <c r="B90" s="66">
        <f>3.164 * CHOOSE(CONTROL!$C$26, $C$13, 100%, $E$13)</f>
        <v>3.1640000000000001</v>
      </c>
      <c r="C90" s="66">
        <f>3.164 * CHOOSE(CONTROL!$C$26, $C$13, 100%, $E$13)</f>
        <v>3.1640000000000001</v>
      </c>
      <c r="D90" s="66">
        <f>3.1678 * CHOOSE(CONTROL!$C$26, $C$13, 100%, $E$13)</f>
        <v>3.1678000000000002</v>
      </c>
      <c r="E90" s="67">
        <f>3.8041 * CHOOSE(CONTROL!$C$26, $C$13, 100%, $E$13)</f>
        <v>3.8041</v>
      </c>
      <c r="F90" s="67">
        <f>3.8041 * CHOOSE(CONTROL!$C$26, $C$13, 100%, $E$13)</f>
        <v>3.8041</v>
      </c>
      <c r="G90" s="67">
        <f>3.8088 * CHOOSE(CONTROL!$C$26, $C$13, 100%, $E$13)</f>
        <v>3.8088000000000002</v>
      </c>
      <c r="H90" s="67">
        <f>6.868* CHOOSE(CONTROL!$C$26, $C$13, 100%, $E$13)</f>
        <v>6.8680000000000003</v>
      </c>
      <c r="I90" s="67">
        <f>6.8728 * CHOOSE(CONTROL!$C$26, $C$13, 100%, $E$13)</f>
        <v>6.8727999999999998</v>
      </c>
      <c r="J90" s="67">
        <f>3.8041 * CHOOSE(CONTROL!$C$26, $C$13, 100%, $E$13)</f>
        <v>3.8041</v>
      </c>
      <c r="K90" s="67">
        <f>3.8088 * CHOOSE(CONTROL!$C$26, $C$13, 100%, $E$13)</f>
        <v>3.8088000000000002</v>
      </c>
      <c r="L90" s="4"/>
      <c r="M90" s="4"/>
      <c r="N90" s="4"/>
    </row>
    <row r="91" spans="1:14" ht="15">
      <c r="A91" s="13">
        <v>43891</v>
      </c>
      <c r="B91" s="66">
        <f>3.1609 * CHOOSE(CONTROL!$C$26, $C$13, 100%, $E$13)</f>
        <v>3.1608999999999998</v>
      </c>
      <c r="C91" s="66">
        <f>3.1609 * CHOOSE(CONTROL!$C$26, $C$13, 100%, $E$13)</f>
        <v>3.1608999999999998</v>
      </c>
      <c r="D91" s="66">
        <f>3.1648 * CHOOSE(CONTROL!$C$26, $C$13, 100%, $E$13)</f>
        <v>3.1648000000000001</v>
      </c>
      <c r="E91" s="67">
        <f>3.845 * CHOOSE(CONTROL!$C$26, $C$13, 100%, $E$13)</f>
        <v>3.8450000000000002</v>
      </c>
      <c r="F91" s="67">
        <f>3.845 * CHOOSE(CONTROL!$C$26, $C$13, 100%, $E$13)</f>
        <v>3.8450000000000002</v>
      </c>
      <c r="G91" s="67">
        <f>3.8498 * CHOOSE(CONTROL!$C$26, $C$13, 100%, $E$13)</f>
        <v>3.8498000000000001</v>
      </c>
      <c r="H91" s="67">
        <f>6.8823* CHOOSE(CONTROL!$C$26, $C$13, 100%, $E$13)</f>
        <v>6.8822999999999999</v>
      </c>
      <c r="I91" s="67">
        <f>6.8871 * CHOOSE(CONTROL!$C$26, $C$13, 100%, $E$13)</f>
        <v>6.8871000000000002</v>
      </c>
      <c r="J91" s="67">
        <f>3.845 * CHOOSE(CONTROL!$C$26, $C$13, 100%, $E$13)</f>
        <v>3.8450000000000002</v>
      </c>
      <c r="K91" s="67">
        <f>3.8498 * CHOOSE(CONTROL!$C$26, $C$13, 100%, $E$13)</f>
        <v>3.8498000000000001</v>
      </c>
      <c r="L91" s="4"/>
      <c r="M91" s="4"/>
      <c r="N91" s="4"/>
    </row>
    <row r="92" spans="1:14" ht="15">
      <c r="A92" s="13">
        <v>43922</v>
      </c>
      <c r="B92" s="66">
        <f>3.1577 * CHOOSE(CONTROL!$C$26, $C$13, 100%, $E$13)</f>
        <v>3.1577000000000002</v>
      </c>
      <c r="C92" s="66">
        <f>3.1577 * CHOOSE(CONTROL!$C$26, $C$13, 100%, $E$13)</f>
        <v>3.1577000000000002</v>
      </c>
      <c r="D92" s="66">
        <f>3.1616 * CHOOSE(CONTROL!$C$26, $C$13, 100%, $E$13)</f>
        <v>3.1616</v>
      </c>
      <c r="E92" s="67">
        <f>3.8871 * CHOOSE(CONTROL!$C$26, $C$13, 100%, $E$13)</f>
        <v>3.8871000000000002</v>
      </c>
      <c r="F92" s="67">
        <f>3.8871 * CHOOSE(CONTROL!$C$26, $C$13, 100%, $E$13)</f>
        <v>3.8871000000000002</v>
      </c>
      <c r="G92" s="67">
        <f>3.8919 * CHOOSE(CONTROL!$C$26, $C$13, 100%, $E$13)</f>
        <v>3.8919000000000001</v>
      </c>
      <c r="H92" s="67">
        <f>6.8967* CHOOSE(CONTROL!$C$26, $C$13, 100%, $E$13)</f>
        <v>6.8967000000000001</v>
      </c>
      <c r="I92" s="67">
        <f>6.9014 * CHOOSE(CONTROL!$C$26, $C$13, 100%, $E$13)</f>
        <v>6.9013999999999998</v>
      </c>
      <c r="J92" s="67">
        <f>3.8871 * CHOOSE(CONTROL!$C$26, $C$13, 100%, $E$13)</f>
        <v>3.8871000000000002</v>
      </c>
      <c r="K92" s="67">
        <f>3.8919 * CHOOSE(CONTROL!$C$26, $C$13, 100%, $E$13)</f>
        <v>3.8919000000000001</v>
      </c>
      <c r="L92" s="4"/>
      <c r="M92" s="4"/>
      <c r="N92" s="4"/>
    </row>
    <row r="93" spans="1:14" ht="15">
      <c r="A93" s="13">
        <v>43952</v>
      </c>
      <c r="B93" s="66">
        <f>3.1577 * CHOOSE(CONTROL!$C$26, $C$13, 100%, $E$13)</f>
        <v>3.1577000000000002</v>
      </c>
      <c r="C93" s="66">
        <f>3.1577 * CHOOSE(CONTROL!$C$26, $C$13, 100%, $E$13)</f>
        <v>3.1577000000000002</v>
      </c>
      <c r="D93" s="66">
        <f>3.1632 * CHOOSE(CONTROL!$C$26, $C$13, 100%, $E$13)</f>
        <v>3.1631999999999998</v>
      </c>
      <c r="E93" s="67">
        <f>3.9044 * CHOOSE(CONTROL!$C$26, $C$13, 100%, $E$13)</f>
        <v>3.9043999999999999</v>
      </c>
      <c r="F93" s="67">
        <f>3.9044 * CHOOSE(CONTROL!$C$26, $C$13, 100%, $E$13)</f>
        <v>3.9043999999999999</v>
      </c>
      <c r="G93" s="67">
        <f>3.9112 * CHOOSE(CONTROL!$C$26, $C$13, 100%, $E$13)</f>
        <v>3.9112</v>
      </c>
      <c r="H93" s="67">
        <f>6.911* CHOOSE(CONTROL!$C$26, $C$13, 100%, $E$13)</f>
        <v>6.9109999999999996</v>
      </c>
      <c r="I93" s="67">
        <f>6.9178 * CHOOSE(CONTROL!$C$26, $C$13, 100%, $E$13)</f>
        <v>6.9177999999999997</v>
      </c>
      <c r="J93" s="67">
        <f>3.9044 * CHOOSE(CONTROL!$C$26, $C$13, 100%, $E$13)</f>
        <v>3.9043999999999999</v>
      </c>
      <c r="K93" s="67">
        <f>3.9112 * CHOOSE(CONTROL!$C$26, $C$13, 100%, $E$13)</f>
        <v>3.9112</v>
      </c>
      <c r="L93" s="4"/>
      <c r="M93" s="4"/>
      <c r="N93" s="4"/>
    </row>
    <row r="94" spans="1:14" ht="15">
      <c r="A94" s="13">
        <v>43983</v>
      </c>
      <c r="B94" s="66">
        <f>3.1638 * CHOOSE(CONTROL!$C$26, $C$13, 100%, $E$13)</f>
        <v>3.1638000000000002</v>
      </c>
      <c r="C94" s="66">
        <f>3.1638 * CHOOSE(CONTROL!$C$26, $C$13, 100%, $E$13)</f>
        <v>3.1638000000000002</v>
      </c>
      <c r="D94" s="66">
        <f>3.1693 * CHOOSE(CONTROL!$C$26, $C$13, 100%, $E$13)</f>
        <v>3.1692999999999998</v>
      </c>
      <c r="E94" s="67">
        <f>3.8913 * CHOOSE(CONTROL!$C$26, $C$13, 100%, $E$13)</f>
        <v>3.8913000000000002</v>
      </c>
      <c r="F94" s="67">
        <f>3.8913 * CHOOSE(CONTROL!$C$26, $C$13, 100%, $E$13)</f>
        <v>3.8913000000000002</v>
      </c>
      <c r="G94" s="67">
        <f>3.8981 * CHOOSE(CONTROL!$C$26, $C$13, 100%, $E$13)</f>
        <v>3.8980999999999999</v>
      </c>
      <c r="H94" s="67">
        <f>6.9254* CHOOSE(CONTROL!$C$26, $C$13, 100%, $E$13)</f>
        <v>6.9253999999999998</v>
      </c>
      <c r="I94" s="67">
        <f>6.9322 * CHOOSE(CONTROL!$C$26, $C$13, 100%, $E$13)</f>
        <v>6.9321999999999999</v>
      </c>
      <c r="J94" s="67">
        <f>3.8913 * CHOOSE(CONTROL!$C$26, $C$13, 100%, $E$13)</f>
        <v>3.8913000000000002</v>
      </c>
      <c r="K94" s="67">
        <f>3.8981 * CHOOSE(CONTROL!$C$26, $C$13, 100%, $E$13)</f>
        <v>3.8980999999999999</v>
      </c>
      <c r="L94" s="4"/>
      <c r="M94" s="4"/>
      <c r="N94" s="4"/>
    </row>
    <row r="95" spans="1:14" ht="15">
      <c r="A95" s="13">
        <v>44013</v>
      </c>
      <c r="B95" s="66">
        <f>3.2348 * CHOOSE(CONTROL!$C$26, $C$13, 100%, $E$13)</f>
        <v>3.2347999999999999</v>
      </c>
      <c r="C95" s="66">
        <f>3.2348 * CHOOSE(CONTROL!$C$26, $C$13, 100%, $E$13)</f>
        <v>3.2347999999999999</v>
      </c>
      <c r="D95" s="66">
        <f>3.2403 * CHOOSE(CONTROL!$C$26, $C$13, 100%, $E$13)</f>
        <v>3.2403</v>
      </c>
      <c r="E95" s="67">
        <f>3.6313 * CHOOSE(CONTROL!$C$26, $C$13, 100%, $E$13)</f>
        <v>3.6313</v>
      </c>
      <c r="F95" s="67">
        <f>3.6313 * CHOOSE(CONTROL!$C$26, $C$13, 100%, $E$13)</f>
        <v>3.6313</v>
      </c>
      <c r="G95" s="67">
        <f>3.638 * CHOOSE(CONTROL!$C$26, $C$13, 100%, $E$13)</f>
        <v>3.6379999999999999</v>
      </c>
      <c r="H95" s="67">
        <f>6.9399* CHOOSE(CONTROL!$C$26, $C$13, 100%, $E$13)</f>
        <v>6.9398999999999997</v>
      </c>
      <c r="I95" s="67">
        <f>6.9466 * CHOOSE(CONTROL!$C$26, $C$13, 100%, $E$13)</f>
        <v>6.9466000000000001</v>
      </c>
      <c r="J95" s="67">
        <f>3.6313 * CHOOSE(CONTROL!$C$26, $C$13, 100%, $E$13)</f>
        <v>3.6313</v>
      </c>
      <c r="K95" s="67">
        <f>3.638 * CHOOSE(CONTROL!$C$26, $C$13, 100%, $E$13)</f>
        <v>3.6379999999999999</v>
      </c>
      <c r="L95" s="4"/>
      <c r="M95" s="4"/>
      <c r="N95" s="4"/>
    </row>
    <row r="96" spans="1:14" ht="15">
      <c r="A96" s="13">
        <v>44044</v>
      </c>
      <c r="B96" s="66">
        <f>3.2415 * CHOOSE(CONTROL!$C$26, $C$13, 100%, $E$13)</f>
        <v>3.2414999999999998</v>
      </c>
      <c r="C96" s="66">
        <f>3.2415 * CHOOSE(CONTROL!$C$26, $C$13, 100%, $E$13)</f>
        <v>3.2414999999999998</v>
      </c>
      <c r="D96" s="66">
        <f>3.247 * CHOOSE(CONTROL!$C$26, $C$13, 100%, $E$13)</f>
        <v>3.2469999999999999</v>
      </c>
      <c r="E96" s="67">
        <f>3.5839 * CHOOSE(CONTROL!$C$26, $C$13, 100%, $E$13)</f>
        <v>3.5838999999999999</v>
      </c>
      <c r="F96" s="67">
        <f>3.5839 * CHOOSE(CONTROL!$C$26, $C$13, 100%, $E$13)</f>
        <v>3.5838999999999999</v>
      </c>
      <c r="G96" s="67">
        <f>3.5906 * CHOOSE(CONTROL!$C$26, $C$13, 100%, $E$13)</f>
        <v>3.5905999999999998</v>
      </c>
      <c r="H96" s="67">
        <f>6.9543* CHOOSE(CONTROL!$C$26, $C$13, 100%, $E$13)</f>
        <v>6.9542999999999999</v>
      </c>
      <c r="I96" s="67">
        <f>6.9611 * CHOOSE(CONTROL!$C$26, $C$13, 100%, $E$13)</f>
        <v>6.9611000000000001</v>
      </c>
      <c r="J96" s="67">
        <f>3.5839 * CHOOSE(CONTROL!$C$26, $C$13, 100%, $E$13)</f>
        <v>3.5838999999999999</v>
      </c>
      <c r="K96" s="67">
        <f>3.5906 * CHOOSE(CONTROL!$C$26, $C$13, 100%, $E$13)</f>
        <v>3.5905999999999998</v>
      </c>
      <c r="L96" s="4"/>
      <c r="M96" s="4"/>
      <c r="N96" s="4"/>
    </row>
    <row r="97" spans="1:14" ht="15">
      <c r="A97" s="13">
        <v>44075</v>
      </c>
      <c r="B97" s="66">
        <f>3.2384 * CHOOSE(CONTROL!$C$26, $C$13, 100%, $E$13)</f>
        <v>3.2383999999999999</v>
      </c>
      <c r="C97" s="66">
        <f>3.2384 * CHOOSE(CONTROL!$C$26, $C$13, 100%, $E$13)</f>
        <v>3.2383999999999999</v>
      </c>
      <c r="D97" s="66">
        <f>3.2439 * CHOOSE(CONTROL!$C$26, $C$13, 100%, $E$13)</f>
        <v>3.2439</v>
      </c>
      <c r="E97" s="67">
        <f>3.576 * CHOOSE(CONTROL!$C$26, $C$13, 100%, $E$13)</f>
        <v>3.5760000000000001</v>
      </c>
      <c r="F97" s="67">
        <f>3.576 * CHOOSE(CONTROL!$C$26, $C$13, 100%, $E$13)</f>
        <v>3.5760000000000001</v>
      </c>
      <c r="G97" s="67">
        <f>3.5827 * CHOOSE(CONTROL!$C$26, $C$13, 100%, $E$13)</f>
        <v>3.5827</v>
      </c>
      <c r="H97" s="67">
        <f>6.9688* CHOOSE(CONTROL!$C$26, $C$13, 100%, $E$13)</f>
        <v>6.9687999999999999</v>
      </c>
      <c r="I97" s="67">
        <f>6.9756 * CHOOSE(CONTROL!$C$26, $C$13, 100%, $E$13)</f>
        <v>6.9756</v>
      </c>
      <c r="J97" s="67">
        <f>3.576 * CHOOSE(CONTROL!$C$26, $C$13, 100%, $E$13)</f>
        <v>3.5760000000000001</v>
      </c>
      <c r="K97" s="67">
        <f>3.5827 * CHOOSE(CONTROL!$C$26, $C$13, 100%, $E$13)</f>
        <v>3.5827</v>
      </c>
      <c r="L97" s="4"/>
      <c r="M97" s="4"/>
      <c r="N97" s="4"/>
    </row>
    <row r="98" spans="1:14" ht="15">
      <c r="A98" s="13">
        <v>44105</v>
      </c>
      <c r="B98" s="66">
        <f>3.2304 * CHOOSE(CONTROL!$C$26, $C$13, 100%, $E$13)</f>
        <v>3.2303999999999999</v>
      </c>
      <c r="C98" s="66">
        <f>3.2304 * CHOOSE(CONTROL!$C$26, $C$13, 100%, $E$13)</f>
        <v>3.2303999999999999</v>
      </c>
      <c r="D98" s="66">
        <f>3.2343 * CHOOSE(CONTROL!$C$26, $C$13, 100%, $E$13)</f>
        <v>3.2343000000000002</v>
      </c>
      <c r="E98" s="67">
        <f>3.5857 * CHOOSE(CONTROL!$C$26, $C$13, 100%, $E$13)</f>
        <v>3.5857000000000001</v>
      </c>
      <c r="F98" s="67">
        <f>3.5857 * CHOOSE(CONTROL!$C$26, $C$13, 100%, $E$13)</f>
        <v>3.5857000000000001</v>
      </c>
      <c r="G98" s="67">
        <f>3.5905 * CHOOSE(CONTROL!$C$26, $C$13, 100%, $E$13)</f>
        <v>3.5905</v>
      </c>
      <c r="H98" s="67">
        <f>6.9833* CHOOSE(CONTROL!$C$26, $C$13, 100%, $E$13)</f>
        <v>6.9832999999999998</v>
      </c>
      <c r="I98" s="67">
        <f>6.9881 * CHOOSE(CONTROL!$C$26, $C$13, 100%, $E$13)</f>
        <v>6.9881000000000002</v>
      </c>
      <c r="J98" s="67">
        <f>3.5857 * CHOOSE(CONTROL!$C$26, $C$13, 100%, $E$13)</f>
        <v>3.5857000000000001</v>
      </c>
      <c r="K98" s="67">
        <f>3.5905 * CHOOSE(CONTROL!$C$26, $C$13, 100%, $E$13)</f>
        <v>3.5905</v>
      </c>
      <c r="L98" s="4"/>
      <c r="M98" s="4"/>
      <c r="N98" s="4"/>
    </row>
    <row r="99" spans="1:14" ht="15">
      <c r="A99" s="13">
        <v>44136</v>
      </c>
      <c r="B99" s="66">
        <f>3.2335 * CHOOSE(CONTROL!$C$26, $C$13, 100%, $E$13)</f>
        <v>3.2334999999999998</v>
      </c>
      <c r="C99" s="66">
        <f>3.2335 * CHOOSE(CONTROL!$C$26, $C$13, 100%, $E$13)</f>
        <v>3.2334999999999998</v>
      </c>
      <c r="D99" s="66">
        <f>3.2373 * CHOOSE(CONTROL!$C$26, $C$13, 100%, $E$13)</f>
        <v>3.2372999999999998</v>
      </c>
      <c r="E99" s="67">
        <f>3.5994 * CHOOSE(CONTROL!$C$26, $C$13, 100%, $E$13)</f>
        <v>3.5994000000000002</v>
      </c>
      <c r="F99" s="67">
        <f>3.5994 * CHOOSE(CONTROL!$C$26, $C$13, 100%, $E$13)</f>
        <v>3.5994000000000002</v>
      </c>
      <c r="G99" s="67">
        <f>3.6041 * CHOOSE(CONTROL!$C$26, $C$13, 100%, $E$13)</f>
        <v>3.6040999999999999</v>
      </c>
      <c r="H99" s="67">
        <f>6.9979* CHOOSE(CONTROL!$C$26, $C$13, 100%, $E$13)</f>
        <v>6.9978999999999996</v>
      </c>
      <c r="I99" s="67">
        <f>7.0027 * CHOOSE(CONTROL!$C$26, $C$13, 100%, $E$13)</f>
        <v>7.0026999999999999</v>
      </c>
      <c r="J99" s="67">
        <f>3.5994 * CHOOSE(CONTROL!$C$26, $C$13, 100%, $E$13)</f>
        <v>3.5994000000000002</v>
      </c>
      <c r="K99" s="67">
        <f>3.6041 * CHOOSE(CONTROL!$C$26, $C$13, 100%, $E$13)</f>
        <v>3.6040999999999999</v>
      </c>
      <c r="L99" s="4"/>
      <c r="M99" s="4"/>
      <c r="N99" s="4"/>
    </row>
    <row r="100" spans="1:14" ht="15">
      <c r="A100" s="13">
        <v>44166</v>
      </c>
      <c r="B100" s="66">
        <f>3.2335 * CHOOSE(CONTROL!$C$26, $C$13, 100%, $E$13)</f>
        <v>3.2334999999999998</v>
      </c>
      <c r="C100" s="66">
        <f>3.2335 * CHOOSE(CONTROL!$C$26, $C$13, 100%, $E$13)</f>
        <v>3.2334999999999998</v>
      </c>
      <c r="D100" s="66">
        <f>3.2373 * CHOOSE(CONTROL!$C$26, $C$13, 100%, $E$13)</f>
        <v>3.2372999999999998</v>
      </c>
      <c r="E100" s="67">
        <f>3.5704 * CHOOSE(CONTROL!$C$26, $C$13, 100%, $E$13)</f>
        <v>3.5703999999999998</v>
      </c>
      <c r="F100" s="67">
        <f>3.5704 * CHOOSE(CONTROL!$C$26, $C$13, 100%, $E$13)</f>
        <v>3.5703999999999998</v>
      </c>
      <c r="G100" s="67">
        <f>3.5752 * CHOOSE(CONTROL!$C$26, $C$13, 100%, $E$13)</f>
        <v>3.5752000000000002</v>
      </c>
      <c r="H100" s="67">
        <f>7.0125* CHOOSE(CONTROL!$C$26, $C$13, 100%, $E$13)</f>
        <v>7.0125000000000002</v>
      </c>
      <c r="I100" s="67">
        <f>7.0172 * CHOOSE(CONTROL!$C$26, $C$13, 100%, $E$13)</f>
        <v>7.0171999999999999</v>
      </c>
      <c r="J100" s="67">
        <f>3.5704 * CHOOSE(CONTROL!$C$26, $C$13, 100%, $E$13)</f>
        <v>3.5703999999999998</v>
      </c>
      <c r="K100" s="67">
        <f>3.5752 * CHOOSE(CONTROL!$C$26, $C$13, 100%, $E$13)</f>
        <v>3.5752000000000002</v>
      </c>
      <c r="L100" s="4"/>
      <c r="M100" s="4"/>
      <c r="N100" s="4"/>
    </row>
    <row r="101" spans="1:14" ht="15">
      <c r="A101" s="13">
        <v>44197</v>
      </c>
      <c r="B101" s="66">
        <f>3.2543 * CHOOSE(CONTROL!$C$26, $C$13, 100%, $E$13)</f>
        <v>3.2543000000000002</v>
      </c>
      <c r="C101" s="66">
        <f>3.2543 * CHOOSE(CONTROL!$C$26, $C$13, 100%, $E$13)</f>
        <v>3.2543000000000002</v>
      </c>
      <c r="D101" s="66">
        <f>3.2582 * CHOOSE(CONTROL!$C$26, $C$13, 100%, $E$13)</f>
        <v>3.2582</v>
      </c>
      <c r="E101" s="67">
        <f>3.6909 * CHOOSE(CONTROL!$C$26, $C$13, 100%, $E$13)</f>
        <v>3.6909000000000001</v>
      </c>
      <c r="F101" s="67">
        <f>3.6909 * CHOOSE(CONTROL!$C$26, $C$13, 100%, $E$13)</f>
        <v>3.6909000000000001</v>
      </c>
      <c r="G101" s="67">
        <f>3.6956 * CHOOSE(CONTROL!$C$26, $C$13, 100%, $E$13)</f>
        <v>3.6956000000000002</v>
      </c>
      <c r="H101" s="67">
        <f>7.0271* CHOOSE(CONTROL!$C$26, $C$13, 100%, $E$13)</f>
        <v>7.0270999999999999</v>
      </c>
      <c r="I101" s="67">
        <f>7.0318 * CHOOSE(CONTROL!$C$26, $C$13, 100%, $E$13)</f>
        <v>7.0317999999999996</v>
      </c>
      <c r="J101" s="67">
        <f>3.6909 * CHOOSE(CONTROL!$C$26, $C$13, 100%, $E$13)</f>
        <v>3.6909000000000001</v>
      </c>
      <c r="K101" s="67">
        <f>3.6956 * CHOOSE(CONTROL!$C$26, $C$13, 100%, $E$13)</f>
        <v>3.6956000000000002</v>
      </c>
      <c r="L101" s="4"/>
      <c r="M101" s="4"/>
      <c r="N101" s="4"/>
    </row>
    <row r="102" spans="1:14" ht="15">
      <c r="A102" s="13">
        <v>44228</v>
      </c>
      <c r="B102" s="66">
        <f>3.2513 * CHOOSE(CONTROL!$C$26, $C$13, 100%, $E$13)</f>
        <v>3.2513000000000001</v>
      </c>
      <c r="C102" s="66">
        <f>3.2513 * CHOOSE(CONTROL!$C$26, $C$13, 100%, $E$13)</f>
        <v>3.2513000000000001</v>
      </c>
      <c r="D102" s="66">
        <f>3.2551 * CHOOSE(CONTROL!$C$26, $C$13, 100%, $E$13)</f>
        <v>3.2551000000000001</v>
      </c>
      <c r="E102" s="67">
        <f>3.6298 * CHOOSE(CONTROL!$C$26, $C$13, 100%, $E$13)</f>
        <v>3.6297999999999999</v>
      </c>
      <c r="F102" s="67">
        <f>3.6298 * CHOOSE(CONTROL!$C$26, $C$13, 100%, $E$13)</f>
        <v>3.6297999999999999</v>
      </c>
      <c r="G102" s="67">
        <f>3.6346 * CHOOSE(CONTROL!$C$26, $C$13, 100%, $E$13)</f>
        <v>3.6345999999999998</v>
      </c>
      <c r="H102" s="67">
        <f>7.0417* CHOOSE(CONTROL!$C$26, $C$13, 100%, $E$13)</f>
        <v>7.0416999999999996</v>
      </c>
      <c r="I102" s="67">
        <f>7.0465 * CHOOSE(CONTROL!$C$26, $C$13, 100%, $E$13)</f>
        <v>7.0465</v>
      </c>
      <c r="J102" s="67">
        <f>3.6298 * CHOOSE(CONTROL!$C$26, $C$13, 100%, $E$13)</f>
        <v>3.6297999999999999</v>
      </c>
      <c r="K102" s="67">
        <f>3.6346 * CHOOSE(CONTROL!$C$26, $C$13, 100%, $E$13)</f>
        <v>3.6345999999999998</v>
      </c>
      <c r="L102" s="4"/>
      <c r="M102" s="4"/>
      <c r="N102" s="4"/>
    </row>
    <row r="103" spans="1:14" ht="15">
      <c r="A103" s="13">
        <v>44256</v>
      </c>
      <c r="B103" s="66">
        <f>3.2482 * CHOOSE(CONTROL!$C$26, $C$13, 100%, $E$13)</f>
        <v>3.2482000000000002</v>
      </c>
      <c r="C103" s="66">
        <f>3.2482 * CHOOSE(CONTROL!$C$26, $C$13, 100%, $E$13)</f>
        <v>3.2482000000000002</v>
      </c>
      <c r="D103" s="66">
        <f>3.2521 * CHOOSE(CONTROL!$C$26, $C$13, 100%, $E$13)</f>
        <v>3.2521</v>
      </c>
      <c r="E103" s="67">
        <f>3.6741 * CHOOSE(CONTROL!$C$26, $C$13, 100%, $E$13)</f>
        <v>3.6741000000000001</v>
      </c>
      <c r="F103" s="67">
        <f>3.6741 * CHOOSE(CONTROL!$C$26, $C$13, 100%, $E$13)</f>
        <v>3.6741000000000001</v>
      </c>
      <c r="G103" s="67">
        <f>3.6789 * CHOOSE(CONTROL!$C$26, $C$13, 100%, $E$13)</f>
        <v>3.6789000000000001</v>
      </c>
      <c r="H103" s="67">
        <f>7.0564* CHOOSE(CONTROL!$C$26, $C$13, 100%, $E$13)</f>
        <v>7.0564</v>
      </c>
      <c r="I103" s="67">
        <f>7.0612 * CHOOSE(CONTROL!$C$26, $C$13, 100%, $E$13)</f>
        <v>7.0612000000000004</v>
      </c>
      <c r="J103" s="67">
        <f>3.6741 * CHOOSE(CONTROL!$C$26, $C$13, 100%, $E$13)</f>
        <v>3.6741000000000001</v>
      </c>
      <c r="K103" s="67">
        <f>3.6789 * CHOOSE(CONTROL!$C$26, $C$13, 100%, $E$13)</f>
        <v>3.6789000000000001</v>
      </c>
      <c r="L103" s="4"/>
      <c r="M103" s="4"/>
      <c r="N103" s="4"/>
    </row>
    <row r="104" spans="1:14" ht="15">
      <c r="A104" s="13">
        <v>44287</v>
      </c>
      <c r="B104" s="66">
        <f>3.2451 * CHOOSE(CONTROL!$C$26, $C$13, 100%, $E$13)</f>
        <v>3.2450999999999999</v>
      </c>
      <c r="C104" s="66">
        <f>3.2451 * CHOOSE(CONTROL!$C$26, $C$13, 100%, $E$13)</f>
        <v>3.2450999999999999</v>
      </c>
      <c r="D104" s="66">
        <f>3.249 * CHOOSE(CONTROL!$C$26, $C$13, 100%, $E$13)</f>
        <v>3.2490000000000001</v>
      </c>
      <c r="E104" s="67">
        <f>3.7198 * CHOOSE(CONTROL!$C$26, $C$13, 100%, $E$13)</f>
        <v>3.7198000000000002</v>
      </c>
      <c r="F104" s="67">
        <f>3.7198 * CHOOSE(CONTROL!$C$26, $C$13, 100%, $E$13)</f>
        <v>3.7198000000000002</v>
      </c>
      <c r="G104" s="67">
        <f>3.7246 * CHOOSE(CONTROL!$C$26, $C$13, 100%, $E$13)</f>
        <v>3.7246000000000001</v>
      </c>
      <c r="H104" s="67">
        <f>7.0711* CHOOSE(CONTROL!$C$26, $C$13, 100%, $E$13)</f>
        <v>7.0711000000000004</v>
      </c>
      <c r="I104" s="67">
        <f>7.0759 * CHOOSE(CONTROL!$C$26, $C$13, 100%, $E$13)</f>
        <v>7.0758999999999999</v>
      </c>
      <c r="J104" s="67">
        <f>3.7198 * CHOOSE(CONTROL!$C$26, $C$13, 100%, $E$13)</f>
        <v>3.7198000000000002</v>
      </c>
      <c r="K104" s="67">
        <f>3.7246 * CHOOSE(CONTROL!$C$26, $C$13, 100%, $E$13)</f>
        <v>3.7246000000000001</v>
      </c>
      <c r="L104" s="4"/>
      <c r="M104" s="4"/>
      <c r="N104" s="4"/>
    </row>
    <row r="105" spans="1:14" ht="15">
      <c r="A105" s="13">
        <v>44317</v>
      </c>
      <c r="B105" s="66">
        <f>3.2451 * CHOOSE(CONTROL!$C$26, $C$13, 100%, $E$13)</f>
        <v>3.2450999999999999</v>
      </c>
      <c r="C105" s="66">
        <f>3.2451 * CHOOSE(CONTROL!$C$26, $C$13, 100%, $E$13)</f>
        <v>3.2450999999999999</v>
      </c>
      <c r="D105" s="66">
        <f>3.2506 * CHOOSE(CONTROL!$C$26, $C$13, 100%, $E$13)</f>
        <v>3.2505999999999999</v>
      </c>
      <c r="E105" s="67">
        <f>3.7385 * CHOOSE(CONTROL!$C$26, $C$13, 100%, $E$13)</f>
        <v>3.7385000000000002</v>
      </c>
      <c r="F105" s="67">
        <f>3.7385 * CHOOSE(CONTROL!$C$26, $C$13, 100%, $E$13)</f>
        <v>3.7385000000000002</v>
      </c>
      <c r="G105" s="67">
        <f>3.7453 * CHOOSE(CONTROL!$C$26, $C$13, 100%, $E$13)</f>
        <v>3.7452999999999999</v>
      </c>
      <c r="H105" s="67">
        <f>7.0858* CHOOSE(CONTROL!$C$26, $C$13, 100%, $E$13)</f>
        <v>7.0857999999999999</v>
      </c>
      <c r="I105" s="67">
        <f>7.0926 * CHOOSE(CONTROL!$C$26, $C$13, 100%, $E$13)</f>
        <v>7.0926</v>
      </c>
      <c r="J105" s="67">
        <f>3.7385 * CHOOSE(CONTROL!$C$26, $C$13, 100%, $E$13)</f>
        <v>3.7385000000000002</v>
      </c>
      <c r="K105" s="67">
        <f>3.7453 * CHOOSE(CONTROL!$C$26, $C$13, 100%, $E$13)</f>
        <v>3.7452999999999999</v>
      </c>
      <c r="L105" s="4"/>
      <c r="M105" s="4"/>
      <c r="N105" s="4"/>
    </row>
    <row r="106" spans="1:14" ht="15">
      <c r="A106" s="13">
        <v>44348</v>
      </c>
      <c r="B106" s="66">
        <f>3.2512 * CHOOSE(CONTROL!$C$26, $C$13, 100%, $E$13)</f>
        <v>3.2511999999999999</v>
      </c>
      <c r="C106" s="66">
        <f>3.2512 * CHOOSE(CONTROL!$C$26, $C$13, 100%, $E$13)</f>
        <v>3.2511999999999999</v>
      </c>
      <c r="D106" s="66">
        <f>3.2567 * CHOOSE(CONTROL!$C$26, $C$13, 100%, $E$13)</f>
        <v>3.2566999999999999</v>
      </c>
      <c r="E106" s="67">
        <f>3.724 * CHOOSE(CONTROL!$C$26, $C$13, 100%, $E$13)</f>
        <v>3.7240000000000002</v>
      </c>
      <c r="F106" s="67">
        <f>3.724 * CHOOSE(CONTROL!$C$26, $C$13, 100%, $E$13)</f>
        <v>3.7240000000000002</v>
      </c>
      <c r="G106" s="67">
        <f>3.7308 * CHOOSE(CONTROL!$C$26, $C$13, 100%, $E$13)</f>
        <v>3.7307999999999999</v>
      </c>
      <c r="H106" s="67">
        <f>7.1006* CHOOSE(CONTROL!$C$26, $C$13, 100%, $E$13)</f>
        <v>7.1006</v>
      </c>
      <c r="I106" s="67">
        <f>7.1073 * CHOOSE(CONTROL!$C$26, $C$13, 100%, $E$13)</f>
        <v>7.1073000000000004</v>
      </c>
      <c r="J106" s="67">
        <f>3.724 * CHOOSE(CONTROL!$C$26, $C$13, 100%, $E$13)</f>
        <v>3.7240000000000002</v>
      </c>
      <c r="K106" s="67">
        <f>3.7308 * CHOOSE(CONTROL!$C$26, $C$13, 100%, $E$13)</f>
        <v>3.7307999999999999</v>
      </c>
      <c r="L106" s="4"/>
      <c r="M106" s="4"/>
      <c r="N106" s="4"/>
    </row>
    <row r="107" spans="1:14" ht="15">
      <c r="A107" s="13">
        <v>44378</v>
      </c>
      <c r="B107" s="66">
        <f>3.2867 * CHOOSE(CONTROL!$C$26, $C$13, 100%, $E$13)</f>
        <v>3.2867000000000002</v>
      </c>
      <c r="C107" s="66">
        <f>3.2867 * CHOOSE(CONTROL!$C$26, $C$13, 100%, $E$13)</f>
        <v>3.2867000000000002</v>
      </c>
      <c r="D107" s="66">
        <f>3.2922 * CHOOSE(CONTROL!$C$26, $C$13, 100%, $E$13)</f>
        <v>3.2921999999999998</v>
      </c>
      <c r="E107" s="67">
        <f>3.8884 * CHOOSE(CONTROL!$C$26, $C$13, 100%, $E$13)</f>
        <v>3.8883999999999999</v>
      </c>
      <c r="F107" s="67">
        <f>3.8884 * CHOOSE(CONTROL!$C$26, $C$13, 100%, $E$13)</f>
        <v>3.8883999999999999</v>
      </c>
      <c r="G107" s="67">
        <f>3.8951 * CHOOSE(CONTROL!$C$26, $C$13, 100%, $E$13)</f>
        <v>3.8950999999999998</v>
      </c>
      <c r="H107" s="67">
        <f>7.1154* CHOOSE(CONTROL!$C$26, $C$13, 100%, $E$13)</f>
        <v>7.1154000000000002</v>
      </c>
      <c r="I107" s="67">
        <f>7.1221 * CHOOSE(CONTROL!$C$26, $C$13, 100%, $E$13)</f>
        <v>7.1220999999999997</v>
      </c>
      <c r="J107" s="67">
        <f>3.8884 * CHOOSE(CONTROL!$C$26, $C$13, 100%, $E$13)</f>
        <v>3.8883999999999999</v>
      </c>
      <c r="K107" s="67">
        <f>3.8951 * CHOOSE(CONTROL!$C$26, $C$13, 100%, $E$13)</f>
        <v>3.8950999999999998</v>
      </c>
      <c r="L107" s="4"/>
      <c r="M107" s="4"/>
      <c r="N107" s="4"/>
    </row>
    <row r="108" spans="1:14" ht="15">
      <c r="A108" s="13">
        <v>44409</v>
      </c>
      <c r="B108" s="66">
        <f>3.2934 * CHOOSE(CONTROL!$C$26, $C$13, 100%, $E$13)</f>
        <v>3.2934000000000001</v>
      </c>
      <c r="C108" s="66">
        <f>3.2934 * CHOOSE(CONTROL!$C$26, $C$13, 100%, $E$13)</f>
        <v>3.2934000000000001</v>
      </c>
      <c r="D108" s="66">
        <f>3.2989 * CHOOSE(CONTROL!$C$26, $C$13, 100%, $E$13)</f>
        <v>3.2989000000000002</v>
      </c>
      <c r="E108" s="67">
        <f>3.8369 * CHOOSE(CONTROL!$C$26, $C$13, 100%, $E$13)</f>
        <v>3.8369</v>
      </c>
      <c r="F108" s="67">
        <f>3.8369 * CHOOSE(CONTROL!$C$26, $C$13, 100%, $E$13)</f>
        <v>3.8369</v>
      </c>
      <c r="G108" s="67">
        <f>3.8436 * CHOOSE(CONTROL!$C$26, $C$13, 100%, $E$13)</f>
        <v>3.8435999999999999</v>
      </c>
      <c r="H108" s="67">
        <f>7.1302* CHOOSE(CONTROL!$C$26, $C$13, 100%, $E$13)</f>
        <v>7.1302000000000003</v>
      </c>
      <c r="I108" s="67">
        <f>7.1369 * CHOOSE(CONTROL!$C$26, $C$13, 100%, $E$13)</f>
        <v>7.1368999999999998</v>
      </c>
      <c r="J108" s="67">
        <f>3.8369 * CHOOSE(CONTROL!$C$26, $C$13, 100%, $E$13)</f>
        <v>3.8369</v>
      </c>
      <c r="K108" s="67">
        <f>3.8436 * CHOOSE(CONTROL!$C$26, $C$13, 100%, $E$13)</f>
        <v>3.8435999999999999</v>
      </c>
      <c r="L108" s="4"/>
      <c r="M108" s="4"/>
      <c r="N108" s="4"/>
    </row>
    <row r="109" spans="1:14" ht="15">
      <c r="A109" s="13">
        <v>44440</v>
      </c>
      <c r="B109" s="66">
        <f>3.2903 * CHOOSE(CONTROL!$C$26, $C$13, 100%, $E$13)</f>
        <v>3.2902999999999998</v>
      </c>
      <c r="C109" s="66">
        <f>3.2903 * CHOOSE(CONTROL!$C$26, $C$13, 100%, $E$13)</f>
        <v>3.2902999999999998</v>
      </c>
      <c r="D109" s="66">
        <f>3.2958 * CHOOSE(CONTROL!$C$26, $C$13, 100%, $E$13)</f>
        <v>3.2957999999999998</v>
      </c>
      <c r="E109" s="67">
        <f>3.8285 * CHOOSE(CONTROL!$C$26, $C$13, 100%, $E$13)</f>
        <v>3.8285</v>
      </c>
      <c r="F109" s="67">
        <f>3.8285 * CHOOSE(CONTROL!$C$26, $C$13, 100%, $E$13)</f>
        <v>3.8285</v>
      </c>
      <c r="G109" s="67">
        <f>3.8353 * CHOOSE(CONTROL!$C$26, $C$13, 100%, $E$13)</f>
        <v>3.8353000000000002</v>
      </c>
      <c r="H109" s="67">
        <f>7.145* CHOOSE(CONTROL!$C$26, $C$13, 100%, $E$13)</f>
        <v>7.1449999999999996</v>
      </c>
      <c r="I109" s="67">
        <f>7.1518 * CHOOSE(CONTROL!$C$26, $C$13, 100%, $E$13)</f>
        <v>7.1517999999999997</v>
      </c>
      <c r="J109" s="67">
        <f>3.8285 * CHOOSE(CONTROL!$C$26, $C$13, 100%, $E$13)</f>
        <v>3.8285</v>
      </c>
      <c r="K109" s="67">
        <f>3.8353 * CHOOSE(CONTROL!$C$26, $C$13, 100%, $E$13)</f>
        <v>3.8353000000000002</v>
      </c>
      <c r="L109" s="4"/>
      <c r="M109" s="4"/>
      <c r="N109" s="4"/>
    </row>
    <row r="110" spans="1:14" ht="15">
      <c r="A110" s="13">
        <v>44470</v>
      </c>
      <c r="B110" s="66">
        <f>3.2826 * CHOOSE(CONTROL!$C$26, $C$13, 100%, $E$13)</f>
        <v>3.2826</v>
      </c>
      <c r="C110" s="66">
        <f>3.2826 * CHOOSE(CONTROL!$C$26, $C$13, 100%, $E$13)</f>
        <v>3.2826</v>
      </c>
      <c r="D110" s="66">
        <f>3.2864 * CHOOSE(CONTROL!$C$26, $C$13, 100%, $E$13)</f>
        <v>3.2864</v>
      </c>
      <c r="E110" s="67">
        <f>3.8401 * CHOOSE(CONTROL!$C$26, $C$13, 100%, $E$13)</f>
        <v>3.8401000000000001</v>
      </c>
      <c r="F110" s="67">
        <f>3.8401 * CHOOSE(CONTROL!$C$26, $C$13, 100%, $E$13)</f>
        <v>3.8401000000000001</v>
      </c>
      <c r="G110" s="67">
        <f>3.8448 * CHOOSE(CONTROL!$C$26, $C$13, 100%, $E$13)</f>
        <v>3.8448000000000002</v>
      </c>
      <c r="H110" s="67">
        <f>7.1599* CHOOSE(CONTROL!$C$26, $C$13, 100%, $E$13)</f>
        <v>7.1599000000000004</v>
      </c>
      <c r="I110" s="67">
        <f>7.1647 * CHOOSE(CONTROL!$C$26, $C$13, 100%, $E$13)</f>
        <v>7.1646999999999998</v>
      </c>
      <c r="J110" s="67">
        <f>3.8401 * CHOOSE(CONTROL!$C$26, $C$13, 100%, $E$13)</f>
        <v>3.8401000000000001</v>
      </c>
      <c r="K110" s="67">
        <f>3.8448 * CHOOSE(CONTROL!$C$26, $C$13, 100%, $E$13)</f>
        <v>3.8448000000000002</v>
      </c>
      <c r="L110" s="4"/>
      <c r="M110" s="4"/>
      <c r="N110" s="4"/>
    </row>
    <row r="111" spans="1:14" ht="15">
      <c r="A111" s="13">
        <v>44501</v>
      </c>
      <c r="B111" s="66">
        <f>3.2856 * CHOOSE(CONTROL!$C$26, $C$13, 100%, $E$13)</f>
        <v>3.2856000000000001</v>
      </c>
      <c r="C111" s="66">
        <f>3.2856 * CHOOSE(CONTROL!$C$26, $C$13, 100%, $E$13)</f>
        <v>3.2856000000000001</v>
      </c>
      <c r="D111" s="66">
        <f>3.2895 * CHOOSE(CONTROL!$C$26, $C$13, 100%, $E$13)</f>
        <v>3.2894999999999999</v>
      </c>
      <c r="E111" s="67">
        <f>3.8547 * CHOOSE(CONTROL!$C$26, $C$13, 100%, $E$13)</f>
        <v>3.8546999999999998</v>
      </c>
      <c r="F111" s="67">
        <f>3.8547 * CHOOSE(CONTROL!$C$26, $C$13, 100%, $E$13)</f>
        <v>3.8546999999999998</v>
      </c>
      <c r="G111" s="67">
        <f>3.8594 * CHOOSE(CONTROL!$C$26, $C$13, 100%, $E$13)</f>
        <v>3.8593999999999999</v>
      </c>
      <c r="H111" s="67">
        <f>7.1749* CHOOSE(CONTROL!$C$26, $C$13, 100%, $E$13)</f>
        <v>7.1749000000000001</v>
      </c>
      <c r="I111" s="67">
        <f>7.1796 * CHOOSE(CONTROL!$C$26, $C$13, 100%, $E$13)</f>
        <v>7.1795999999999998</v>
      </c>
      <c r="J111" s="67">
        <f>3.8547 * CHOOSE(CONTROL!$C$26, $C$13, 100%, $E$13)</f>
        <v>3.8546999999999998</v>
      </c>
      <c r="K111" s="67">
        <f>3.8594 * CHOOSE(CONTROL!$C$26, $C$13, 100%, $E$13)</f>
        <v>3.8593999999999999</v>
      </c>
      <c r="L111" s="4"/>
      <c r="M111" s="4"/>
      <c r="N111" s="4"/>
    </row>
    <row r="112" spans="1:14" ht="15">
      <c r="A112" s="13">
        <v>44531</v>
      </c>
      <c r="B112" s="66">
        <f>3.2856 * CHOOSE(CONTROL!$C$26, $C$13, 100%, $E$13)</f>
        <v>3.2856000000000001</v>
      </c>
      <c r="C112" s="66">
        <f>3.2856 * CHOOSE(CONTROL!$C$26, $C$13, 100%, $E$13)</f>
        <v>3.2856000000000001</v>
      </c>
      <c r="D112" s="66">
        <f>3.2895 * CHOOSE(CONTROL!$C$26, $C$13, 100%, $E$13)</f>
        <v>3.2894999999999999</v>
      </c>
      <c r="E112" s="67">
        <f>3.8235 * CHOOSE(CONTROL!$C$26, $C$13, 100%, $E$13)</f>
        <v>3.8235000000000001</v>
      </c>
      <c r="F112" s="67">
        <f>3.8235 * CHOOSE(CONTROL!$C$26, $C$13, 100%, $E$13)</f>
        <v>3.8235000000000001</v>
      </c>
      <c r="G112" s="67">
        <f>3.8282 * CHOOSE(CONTROL!$C$26, $C$13, 100%, $E$13)</f>
        <v>3.8281999999999998</v>
      </c>
      <c r="H112" s="67">
        <f>7.1898* CHOOSE(CONTROL!$C$26, $C$13, 100%, $E$13)</f>
        <v>7.1898</v>
      </c>
      <c r="I112" s="67">
        <f>7.1946 * CHOOSE(CONTROL!$C$26, $C$13, 100%, $E$13)</f>
        <v>7.1946000000000003</v>
      </c>
      <c r="J112" s="67">
        <f>3.8235 * CHOOSE(CONTROL!$C$26, $C$13, 100%, $E$13)</f>
        <v>3.8235000000000001</v>
      </c>
      <c r="K112" s="67">
        <f>3.8282 * CHOOSE(CONTROL!$C$26, $C$13, 100%, $E$13)</f>
        <v>3.8281999999999998</v>
      </c>
      <c r="L112" s="4"/>
      <c r="M112" s="4"/>
      <c r="N112" s="4"/>
    </row>
    <row r="113" spans="1:14" ht="15">
      <c r="A113" s="13">
        <v>44562</v>
      </c>
      <c r="B113" s="66">
        <f>3.315 * CHOOSE(CONTROL!$C$26, $C$13, 100%, $E$13)</f>
        <v>3.3149999999999999</v>
      </c>
      <c r="C113" s="66">
        <f>3.315 * CHOOSE(CONTROL!$C$26, $C$13, 100%, $E$13)</f>
        <v>3.3149999999999999</v>
      </c>
      <c r="D113" s="66">
        <f>3.3189 * CHOOSE(CONTROL!$C$26, $C$13, 100%, $E$13)</f>
        <v>3.3189000000000002</v>
      </c>
      <c r="E113" s="67">
        <f>3.9024 * CHOOSE(CONTROL!$C$26, $C$13, 100%, $E$13)</f>
        <v>3.9024000000000001</v>
      </c>
      <c r="F113" s="67">
        <f>3.9024 * CHOOSE(CONTROL!$C$26, $C$13, 100%, $E$13)</f>
        <v>3.9024000000000001</v>
      </c>
      <c r="G113" s="67">
        <f>3.9072 * CHOOSE(CONTROL!$C$26, $C$13, 100%, $E$13)</f>
        <v>3.9072</v>
      </c>
      <c r="H113" s="67">
        <f>7.2048* CHOOSE(CONTROL!$C$26, $C$13, 100%, $E$13)</f>
        <v>7.2047999999999996</v>
      </c>
      <c r="I113" s="67">
        <f>7.2095 * CHOOSE(CONTROL!$C$26, $C$13, 100%, $E$13)</f>
        <v>7.2095000000000002</v>
      </c>
      <c r="J113" s="67">
        <f>3.9024 * CHOOSE(CONTROL!$C$26, $C$13, 100%, $E$13)</f>
        <v>3.9024000000000001</v>
      </c>
      <c r="K113" s="67">
        <f>3.9072 * CHOOSE(CONTROL!$C$26, $C$13, 100%, $E$13)</f>
        <v>3.9072</v>
      </c>
      <c r="L113" s="4"/>
      <c r="M113" s="4"/>
      <c r="N113" s="4"/>
    </row>
    <row r="114" spans="1:14" ht="15">
      <c r="A114" s="13">
        <v>44593</v>
      </c>
      <c r="B114" s="66">
        <f>3.312 * CHOOSE(CONTROL!$C$26, $C$13, 100%, $E$13)</f>
        <v>3.3119999999999998</v>
      </c>
      <c r="C114" s="66">
        <f>3.312 * CHOOSE(CONTROL!$C$26, $C$13, 100%, $E$13)</f>
        <v>3.3119999999999998</v>
      </c>
      <c r="D114" s="66">
        <f>3.3159 * CHOOSE(CONTROL!$C$26, $C$13, 100%, $E$13)</f>
        <v>3.3159000000000001</v>
      </c>
      <c r="E114" s="67">
        <f>3.8381 * CHOOSE(CONTROL!$C$26, $C$13, 100%, $E$13)</f>
        <v>3.8380999999999998</v>
      </c>
      <c r="F114" s="67">
        <f>3.8381 * CHOOSE(CONTROL!$C$26, $C$13, 100%, $E$13)</f>
        <v>3.8380999999999998</v>
      </c>
      <c r="G114" s="67">
        <f>3.8429 * CHOOSE(CONTROL!$C$26, $C$13, 100%, $E$13)</f>
        <v>3.8429000000000002</v>
      </c>
      <c r="H114" s="67">
        <f>7.2198* CHOOSE(CONTROL!$C$26, $C$13, 100%, $E$13)</f>
        <v>7.2198000000000002</v>
      </c>
      <c r="I114" s="67">
        <f>7.2246 * CHOOSE(CONTROL!$C$26, $C$13, 100%, $E$13)</f>
        <v>7.2245999999999997</v>
      </c>
      <c r="J114" s="67">
        <f>3.8381 * CHOOSE(CONTROL!$C$26, $C$13, 100%, $E$13)</f>
        <v>3.8380999999999998</v>
      </c>
      <c r="K114" s="67">
        <f>3.8429 * CHOOSE(CONTROL!$C$26, $C$13, 100%, $E$13)</f>
        <v>3.8429000000000002</v>
      </c>
      <c r="L114" s="4"/>
      <c r="M114" s="4"/>
      <c r="N114" s="4"/>
    </row>
    <row r="115" spans="1:14" ht="15">
      <c r="A115" s="13">
        <v>44621</v>
      </c>
      <c r="B115" s="66">
        <f>3.309 * CHOOSE(CONTROL!$C$26, $C$13, 100%, $E$13)</f>
        <v>3.3090000000000002</v>
      </c>
      <c r="C115" s="66">
        <f>3.309 * CHOOSE(CONTROL!$C$26, $C$13, 100%, $E$13)</f>
        <v>3.3090000000000002</v>
      </c>
      <c r="D115" s="66">
        <f>3.3128 * CHOOSE(CONTROL!$C$26, $C$13, 100%, $E$13)</f>
        <v>3.3128000000000002</v>
      </c>
      <c r="E115" s="67">
        <f>3.885 * CHOOSE(CONTROL!$C$26, $C$13, 100%, $E$13)</f>
        <v>3.8849999999999998</v>
      </c>
      <c r="F115" s="67">
        <f>3.885 * CHOOSE(CONTROL!$C$26, $C$13, 100%, $E$13)</f>
        <v>3.8849999999999998</v>
      </c>
      <c r="G115" s="67">
        <f>3.8898 * CHOOSE(CONTROL!$C$26, $C$13, 100%, $E$13)</f>
        <v>3.8898000000000001</v>
      </c>
      <c r="H115" s="67">
        <f>7.2348* CHOOSE(CONTROL!$C$26, $C$13, 100%, $E$13)</f>
        <v>7.2347999999999999</v>
      </c>
      <c r="I115" s="67">
        <f>7.2396 * CHOOSE(CONTROL!$C$26, $C$13, 100%, $E$13)</f>
        <v>7.2396000000000003</v>
      </c>
      <c r="J115" s="67">
        <f>3.885 * CHOOSE(CONTROL!$C$26, $C$13, 100%, $E$13)</f>
        <v>3.8849999999999998</v>
      </c>
      <c r="K115" s="67">
        <f>3.8898 * CHOOSE(CONTROL!$C$26, $C$13, 100%, $E$13)</f>
        <v>3.8898000000000001</v>
      </c>
      <c r="L115" s="4"/>
      <c r="M115" s="4"/>
      <c r="N115" s="4"/>
    </row>
    <row r="116" spans="1:14" ht="15">
      <c r="A116" s="13">
        <v>44652</v>
      </c>
      <c r="B116" s="66">
        <f>3.3059 * CHOOSE(CONTROL!$C$26, $C$13, 100%, $E$13)</f>
        <v>3.3058999999999998</v>
      </c>
      <c r="C116" s="66">
        <f>3.3059 * CHOOSE(CONTROL!$C$26, $C$13, 100%, $E$13)</f>
        <v>3.3058999999999998</v>
      </c>
      <c r="D116" s="66">
        <f>3.3098 * CHOOSE(CONTROL!$C$26, $C$13, 100%, $E$13)</f>
        <v>3.3098000000000001</v>
      </c>
      <c r="E116" s="67">
        <f>3.9334 * CHOOSE(CONTROL!$C$26, $C$13, 100%, $E$13)</f>
        <v>3.9333999999999998</v>
      </c>
      <c r="F116" s="67">
        <f>3.9334 * CHOOSE(CONTROL!$C$26, $C$13, 100%, $E$13)</f>
        <v>3.9333999999999998</v>
      </c>
      <c r="G116" s="67">
        <f>3.9382 * CHOOSE(CONTROL!$C$26, $C$13, 100%, $E$13)</f>
        <v>3.9382000000000001</v>
      </c>
      <c r="H116" s="67">
        <f>7.2499* CHOOSE(CONTROL!$C$26, $C$13, 100%, $E$13)</f>
        <v>7.2499000000000002</v>
      </c>
      <c r="I116" s="67">
        <f>7.2547 * CHOOSE(CONTROL!$C$26, $C$13, 100%, $E$13)</f>
        <v>7.2546999999999997</v>
      </c>
      <c r="J116" s="67">
        <f>3.9334 * CHOOSE(CONTROL!$C$26, $C$13, 100%, $E$13)</f>
        <v>3.9333999999999998</v>
      </c>
      <c r="K116" s="67">
        <f>3.9382 * CHOOSE(CONTROL!$C$26, $C$13, 100%, $E$13)</f>
        <v>3.9382000000000001</v>
      </c>
      <c r="L116" s="4"/>
      <c r="M116" s="4"/>
      <c r="N116" s="4"/>
    </row>
    <row r="117" spans="1:14" ht="15">
      <c r="A117" s="13">
        <v>44682</v>
      </c>
      <c r="B117" s="66">
        <f>3.3059 * CHOOSE(CONTROL!$C$26, $C$13, 100%, $E$13)</f>
        <v>3.3058999999999998</v>
      </c>
      <c r="C117" s="66">
        <f>3.3059 * CHOOSE(CONTROL!$C$26, $C$13, 100%, $E$13)</f>
        <v>3.3058999999999998</v>
      </c>
      <c r="D117" s="66">
        <f>3.3114 * CHOOSE(CONTROL!$C$26, $C$13, 100%, $E$13)</f>
        <v>3.3113999999999999</v>
      </c>
      <c r="E117" s="67">
        <f>3.9531 * CHOOSE(CONTROL!$C$26, $C$13, 100%, $E$13)</f>
        <v>3.9531000000000001</v>
      </c>
      <c r="F117" s="67">
        <f>3.9531 * CHOOSE(CONTROL!$C$26, $C$13, 100%, $E$13)</f>
        <v>3.9531000000000001</v>
      </c>
      <c r="G117" s="67">
        <f>3.9599 * CHOOSE(CONTROL!$C$26, $C$13, 100%, $E$13)</f>
        <v>3.9599000000000002</v>
      </c>
      <c r="H117" s="67">
        <f>7.265* CHOOSE(CONTROL!$C$26, $C$13, 100%, $E$13)</f>
        <v>7.2649999999999997</v>
      </c>
      <c r="I117" s="67">
        <f>7.2717 * CHOOSE(CONTROL!$C$26, $C$13, 100%, $E$13)</f>
        <v>7.2717000000000001</v>
      </c>
      <c r="J117" s="67">
        <f>3.9531 * CHOOSE(CONTROL!$C$26, $C$13, 100%, $E$13)</f>
        <v>3.9531000000000001</v>
      </c>
      <c r="K117" s="67">
        <f>3.9599 * CHOOSE(CONTROL!$C$26, $C$13, 100%, $E$13)</f>
        <v>3.9599000000000002</v>
      </c>
      <c r="L117" s="4"/>
      <c r="M117" s="4"/>
      <c r="N117" s="4"/>
    </row>
    <row r="118" spans="1:14" ht="15">
      <c r="A118" s="13">
        <v>44713</v>
      </c>
      <c r="B118" s="66">
        <f>3.312 * CHOOSE(CONTROL!$C$26, $C$13, 100%, $E$13)</f>
        <v>3.3119999999999998</v>
      </c>
      <c r="C118" s="66">
        <f>3.312 * CHOOSE(CONTROL!$C$26, $C$13, 100%, $E$13)</f>
        <v>3.3119999999999998</v>
      </c>
      <c r="D118" s="66">
        <f>3.3175 * CHOOSE(CONTROL!$C$26, $C$13, 100%, $E$13)</f>
        <v>3.3174999999999999</v>
      </c>
      <c r="E118" s="67">
        <f>3.9376 * CHOOSE(CONTROL!$C$26, $C$13, 100%, $E$13)</f>
        <v>3.9376000000000002</v>
      </c>
      <c r="F118" s="67">
        <f>3.9376 * CHOOSE(CONTROL!$C$26, $C$13, 100%, $E$13)</f>
        <v>3.9376000000000002</v>
      </c>
      <c r="G118" s="67">
        <f>3.9444 * CHOOSE(CONTROL!$C$26, $C$13, 100%, $E$13)</f>
        <v>3.9443999999999999</v>
      </c>
      <c r="H118" s="67">
        <f>7.2801* CHOOSE(CONTROL!$C$26, $C$13, 100%, $E$13)</f>
        <v>7.2801</v>
      </c>
      <c r="I118" s="67">
        <f>7.2869 * CHOOSE(CONTROL!$C$26, $C$13, 100%, $E$13)</f>
        <v>7.2869000000000002</v>
      </c>
      <c r="J118" s="67">
        <f>3.9376 * CHOOSE(CONTROL!$C$26, $C$13, 100%, $E$13)</f>
        <v>3.9376000000000002</v>
      </c>
      <c r="K118" s="67">
        <f>3.9444 * CHOOSE(CONTROL!$C$26, $C$13, 100%, $E$13)</f>
        <v>3.9443999999999999</v>
      </c>
      <c r="L118" s="4"/>
      <c r="M118" s="4"/>
      <c r="N118" s="4"/>
    </row>
    <row r="119" spans="1:14" ht="15">
      <c r="A119" s="13">
        <v>44743</v>
      </c>
      <c r="B119" s="66">
        <f>3.3675 * CHOOSE(CONTROL!$C$26, $C$13, 100%, $E$13)</f>
        <v>3.3675000000000002</v>
      </c>
      <c r="C119" s="66">
        <f>3.3675 * CHOOSE(CONTROL!$C$26, $C$13, 100%, $E$13)</f>
        <v>3.3675000000000002</v>
      </c>
      <c r="D119" s="66">
        <f>3.373 * CHOOSE(CONTROL!$C$26, $C$13, 100%, $E$13)</f>
        <v>3.3730000000000002</v>
      </c>
      <c r="E119" s="67">
        <f>4.0252 * CHOOSE(CONTROL!$C$26, $C$13, 100%, $E$13)</f>
        <v>4.0251999999999999</v>
      </c>
      <c r="F119" s="67">
        <f>4.0252 * CHOOSE(CONTROL!$C$26, $C$13, 100%, $E$13)</f>
        <v>4.0251999999999999</v>
      </c>
      <c r="G119" s="67">
        <f>4.0319 * CHOOSE(CONTROL!$C$26, $C$13, 100%, $E$13)</f>
        <v>4.0319000000000003</v>
      </c>
      <c r="H119" s="67">
        <f>7.2953* CHOOSE(CONTROL!$C$26, $C$13, 100%, $E$13)</f>
        <v>7.2953000000000001</v>
      </c>
      <c r="I119" s="67">
        <f>7.302 * CHOOSE(CONTROL!$C$26, $C$13, 100%, $E$13)</f>
        <v>7.3019999999999996</v>
      </c>
      <c r="J119" s="67">
        <f>4.0252 * CHOOSE(CONTROL!$C$26, $C$13, 100%, $E$13)</f>
        <v>4.0251999999999999</v>
      </c>
      <c r="K119" s="67">
        <f>4.0319 * CHOOSE(CONTROL!$C$26, $C$13, 100%, $E$13)</f>
        <v>4.0319000000000003</v>
      </c>
      <c r="L119" s="4"/>
      <c r="M119" s="4"/>
      <c r="N119" s="4"/>
    </row>
    <row r="120" spans="1:14" ht="15">
      <c r="A120" s="13">
        <v>44774</v>
      </c>
      <c r="B120" s="66">
        <f>3.3742 * CHOOSE(CONTROL!$C$26, $C$13, 100%, $E$13)</f>
        <v>3.3742000000000001</v>
      </c>
      <c r="C120" s="66">
        <f>3.3742 * CHOOSE(CONTROL!$C$26, $C$13, 100%, $E$13)</f>
        <v>3.3742000000000001</v>
      </c>
      <c r="D120" s="66">
        <f>3.3797 * CHOOSE(CONTROL!$C$26, $C$13, 100%, $E$13)</f>
        <v>3.3797000000000001</v>
      </c>
      <c r="E120" s="67">
        <f>3.9706 * CHOOSE(CONTROL!$C$26, $C$13, 100%, $E$13)</f>
        <v>3.9706000000000001</v>
      </c>
      <c r="F120" s="67">
        <f>3.9706 * CHOOSE(CONTROL!$C$26, $C$13, 100%, $E$13)</f>
        <v>3.9706000000000001</v>
      </c>
      <c r="G120" s="67">
        <f>3.9774 * CHOOSE(CONTROL!$C$26, $C$13, 100%, $E$13)</f>
        <v>3.9773999999999998</v>
      </c>
      <c r="H120" s="67">
        <f>7.3105* CHOOSE(CONTROL!$C$26, $C$13, 100%, $E$13)</f>
        <v>7.3105000000000002</v>
      </c>
      <c r="I120" s="67">
        <f>7.3172 * CHOOSE(CONTROL!$C$26, $C$13, 100%, $E$13)</f>
        <v>7.3171999999999997</v>
      </c>
      <c r="J120" s="67">
        <f>3.9706 * CHOOSE(CONTROL!$C$26, $C$13, 100%, $E$13)</f>
        <v>3.9706000000000001</v>
      </c>
      <c r="K120" s="67">
        <f>3.9774 * CHOOSE(CONTROL!$C$26, $C$13, 100%, $E$13)</f>
        <v>3.9773999999999998</v>
      </c>
      <c r="L120" s="4"/>
      <c r="M120" s="4"/>
      <c r="N120" s="4"/>
    </row>
    <row r="121" spans="1:14" ht="15">
      <c r="A121" s="13">
        <v>44805</v>
      </c>
      <c r="B121" s="66">
        <f>3.3711 * CHOOSE(CONTROL!$C$26, $C$13, 100%, $E$13)</f>
        <v>3.3711000000000002</v>
      </c>
      <c r="C121" s="66">
        <f>3.3711 * CHOOSE(CONTROL!$C$26, $C$13, 100%, $E$13)</f>
        <v>3.3711000000000002</v>
      </c>
      <c r="D121" s="66">
        <f>3.3766 * CHOOSE(CONTROL!$C$26, $C$13, 100%, $E$13)</f>
        <v>3.3765999999999998</v>
      </c>
      <c r="E121" s="67">
        <f>3.9619 * CHOOSE(CONTROL!$C$26, $C$13, 100%, $E$13)</f>
        <v>3.9619</v>
      </c>
      <c r="F121" s="67">
        <f>3.9619 * CHOOSE(CONTROL!$C$26, $C$13, 100%, $E$13)</f>
        <v>3.9619</v>
      </c>
      <c r="G121" s="67">
        <f>3.9687 * CHOOSE(CONTROL!$C$26, $C$13, 100%, $E$13)</f>
        <v>3.9687000000000001</v>
      </c>
      <c r="H121" s="67">
        <f>7.3257* CHOOSE(CONTROL!$C$26, $C$13, 100%, $E$13)</f>
        <v>7.3257000000000003</v>
      </c>
      <c r="I121" s="67">
        <f>7.3325 * CHOOSE(CONTROL!$C$26, $C$13, 100%, $E$13)</f>
        <v>7.3324999999999996</v>
      </c>
      <c r="J121" s="67">
        <f>3.9619 * CHOOSE(CONTROL!$C$26, $C$13, 100%, $E$13)</f>
        <v>3.9619</v>
      </c>
      <c r="K121" s="67">
        <f>3.9687 * CHOOSE(CONTROL!$C$26, $C$13, 100%, $E$13)</f>
        <v>3.9687000000000001</v>
      </c>
      <c r="L121" s="4"/>
      <c r="M121" s="4"/>
      <c r="N121" s="4"/>
    </row>
    <row r="122" spans="1:14" ht="15">
      <c r="A122" s="13">
        <v>44835</v>
      </c>
      <c r="B122" s="66">
        <f>3.3637 * CHOOSE(CONTROL!$C$26, $C$13, 100%, $E$13)</f>
        <v>3.3637000000000001</v>
      </c>
      <c r="C122" s="66">
        <f>3.3637 * CHOOSE(CONTROL!$C$26, $C$13, 100%, $E$13)</f>
        <v>3.3637000000000001</v>
      </c>
      <c r="D122" s="66">
        <f>3.3675 * CHOOSE(CONTROL!$C$26, $C$13, 100%, $E$13)</f>
        <v>3.3675000000000002</v>
      </c>
      <c r="E122" s="67">
        <f>3.9748 * CHOOSE(CONTROL!$C$26, $C$13, 100%, $E$13)</f>
        <v>3.9748000000000001</v>
      </c>
      <c r="F122" s="67">
        <f>3.9748 * CHOOSE(CONTROL!$C$26, $C$13, 100%, $E$13)</f>
        <v>3.9748000000000001</v>
      </c>
      <c r="G122" s="67">
        <f>3.9796 * CHOOSE(CONTROL!$C$26, $C$13, 100%, $E$13)</f>
        <v>3.9796</v>
      </c>
      <c r="H122" s="67">
        <f>7.341* CHOOSE(CONTROL!$C$26, $C$13, 100%, $E$13)</f>
        <v>7.3410000000000002</v>
      </c>
      <c r="I122" s="67">
        <f>7.3458 * CHOOSE(CONTROL!$C$26, $C$13, 100%, $E$13)</f>
        <v>7.3457999999999997</v>
      </c>
      <c r="J122" s="67">
        <f>3.9748 * CHOOSE(CONTROL!$C$26, $C$13, 100%, $E$13)</f>
        <v>3.9748000000000001</v>
      </c>
      <c r="K122" s="67">
        <f>3.9796 * CHOOSE(CONTROL!$C$26, $C$13, 100%, $E$13)</f>
        <v>3.9796</v>
      </c>
      <c r="L122" s="4"/>
      <c r="M122" s="4"/>
      <c r="N122" s="4"/>
    </row>
    <row r="123" spans="1:14" ht="15">
      <c r="A123" s="13">
        <v>44866</v>
      </c>
      <c r="B123" s="66">
        <f>3.3667 * CHOOSE(CONTROL!$C$26, $C$13, 100%, $E$13)</f>
        <v>3.3666999999999998</v>
      </c>
      <c r="C123" s="66">
        <f>3.3667 * CHOOSE(CONTROL!$C$26, $C$13, 100%, $E$13)</f>
        <v>3.3666999999999998</v>
      </c>
      <c r="D123" s="66">
        <f>3.3706 * CHOOSE(CONTROL!$C$26, $C$13, 100%, $E$13)</f>
        <v>3.3706</v>
      </c>
      <c r="E123" s="67">
        <f>3.9901 * CHOOSE(CONTROL!$C$26, $C$13, 100%, $E$13)</f>
        <v>3.9901</v>
      </c>
      <c r="F123" s="67">
        <f>3.9901 * CHOOSE(CONTROL!$C$26, $C$13, 100%, $E$13)</f>
        <v>3.9901</v>
      </c>
      <c r="G123" s="67">
        <f>3.9949 * CHOOSE(CONTROL!$C$26, $C$13, 100%, $E$13)</f>
        <v>3.9948999999999999</v>
      </c>
      <c r="H123" s="67">
        <f>7.3563* CHOOSE(CONTROL!$C$26, $C$13, 100%, $E$13)</f>
        <v>7.3563000000000001</v>
      </c>
      <c r="I123" s="67">
        <f>7.3611 * CHOOSE(CONTROL!$C$26, $C$13, 100%, $E$13)</f>
        <v>7.3611000000000004</v>
      </c>
      <c r="J123" s="67">
        <f>3.9901 * CHOOSE(CONTROL!$C$26, $C$13, 100%, $E$13)</f>
        <v>3.9901</v>
      </c>
      <c r="K123" s="67">
        <f>3.9949 * CHOOSE(CONTROL!$C$26, $C$13, 100%, $E$13)</f>
        <v>3.9948999999999999</v>
      </c>
      <c r="L123" s="4"/>
      <c r="M123" s="4"/>
      <c r="N123" s="4"/>
    </row>
    <row r="124" spans="1:14" ht="15">
      <c r="A124" s="13">
        <v>44896</v>
      </c>
      <c r="B124" s="66">
        <f>3.3667 * CHOOSE(CONTROL!$C$26, $C$13, 100%, $E$13)</f>
        <v>3.3666999999999998</v>
      </c>
      <c r="C124" s="66">
        <f>3.3667 * CHOOSE(CONTROL!$C$26, $C$13, 100%, $E$13)</f>
        <v>3.3666999999999998</v>
      </c>
      <c r="D124" s="66">
        <f>3.3706 * CHOOSE(CONTROL!$C$26, $C$13, 100%, $E$13)</f>
        <v>3.3706</v>
      </c>
      <c r="E124" s="67">
        <f>3.9572 * CHOOSE(CONTROL!$C$26, $C$13, 100%, $E$13)</f>
        <v>3.9571999999999998</v>
      </c>
      <c r="F124" s="67">
        <f>3.9572 * CHOOSE(CONTROL!$C$26, $C$13, 100%, $E$13)</f>
        <v>3.9571999999999998</v>
      </c>
      <c r="G124" s="67">
        <f>3.962 * CHOOSE(CONTROL!$C$26, $C$13, 100%, $E$13)</f>
        <v>3.9620000000000002</v>
      </c>
      <c r="H124" s="67">
        <f>7.3716* CHOOSE(CONTROL!$C$26, $C$13, 100%, $E$13)</f>
        <v>7.3715999999999999</v>
      </c>
      <c r="I124" s="67">
        <f>7.3764 * CHOOSE(CONTROL!$C$26, $C$13, 100%, $E$13)</f>
        <v>7.3764000000000003</v>
      </c>
      <c r="J124" s="67">
        <f>3.9572 * CHOOSE(CONTROL!$C$26, $C$13, 100%, $E$13)</f>
        <v>3.9571999999999998</v>
      </c>
      <c r="K124" s="67">
        <f>3.962 * CHOOSE(CONTROL!$C$26, $C$13, 100%, $E$13)</f>
        <v>3.9620000000000002</v>
      </c>
      <c r="L124" s="4"/>
      <c r="M124" s="4"/>
      <c r="N124" s="4"/>
    </row>
    <row r="125" spans="1:14" ht="15">
      <c r="A125" s="13">
        <v>44927</v>
      </c>
      <c r="B125" s="66">
        <f>3.3924 * CHOOSE(CONTROL!$C$26, $C$13, 100%, $E$13)</f>
        <v>3.3923999999999999</v>
      </c>
      <c r="C125" s="66">
        <f>3.3924 * CHOOSE(CONTROL!$C$26, $C$13, 100%, $E$13)</f>
        <v>3.3923999999999999</v>
      </c>
      <c r="D125" s="66">
        <f>3.3963 * CHOOSE(CONTROL!$C$26, $C$13, 100%, $E$13)</f>
        <v>3.3963000000000001</v>
      </c>
      <c r="E125" s="67">
        <f>4.0337 * CHOOSE(CONTROL!$C$26, $C$13, 100%, $E$13)</f>
        <v>4.0336999999999996</v>
      </c>
      <c r="F125" s="67">
        <f>4.0337 * CHOOSE(CONTROL!$C$26, $C$13, 100%, $E$13)</f>
        <v>4.0336999999999996</v>
      </c>
      <c r="G125" s="67">
        <f>4.0385 * CHOOSE(CONTROL!$C$26, $C$13, 100%, $E$13)</f>
        <v>4.0385</v>
      </c>
      <c r="H125" s="67">
        <f>7.387* CHOOSE(CONTROL!$C$26, $C$13, 100%, $E$13)</f>
        <v>7.3869999999999996</v>
      </c>
      <c r="I125" s="67">
        <f>7.3917 * CHOOSE(CONTROL!$C$26, $C$13, 100%, $E$13)</f>
        <v>7.3917000000000002</v>
      </c>
      <c r="J125" s="67">
        <f>4.0337 * CHOOSE(CONTROL!$C$26, $C$13, 100%, $E$13)</f>
        <v>4.0336999999999996</v>
      </c>
      <c r="K125" s="67">
        <f>4.0385 * CHOOSE(CONTROL!$C$26, $C$13, 100%, $E$13)</f>
        <v>4.0385</v>
      </c>
      <c r="L125" s="4"/>
      <c r="M125" s="4"/>
      <c r="N125" s="4"/>
    </row>
    <row r="126" spans="1:14" ht="15">
      <c r="A126" s="13">
        <v>44958</v>
      </c>
      <c r="B126" s="66">
        <f>3.3894 * CHOOSE(CONTROL!$C$26, $C$13, 100%, $E$13)</f>
        <v>3.3894000000000002</v>
      </c>
      <c r="C126" s="66">
        <f>3.3894 * CHOOSE(CONTROL!$C$26, $C$13, 100%, $E$13)</f>
        <v>3.3894000000000002</v>
      </c>
      <c r="D126" s="66">
        <f>3.3932 * CHOOSE(CONTROL!$C$26, $C$13, 100%, $E$13)</f>
        <v>3.3932000000000002</v>
      </c>
      <c r="E126" s="67">
        <f>3.9661 * CHOOSE(CONTROL!$C$26, $C$13, 100%, $E$13)</f>
        <v>3.9661</v>
      </c>
      <c r="F126" s="67">
        <f>3.9661 * CHOOSE(CONTROL!$C$26, $C$13, 100%, $E$13)</f>
        <v>3.9661</v>
      </c>
      <c r="G126" s="67">
        <f>3.9709 * CHOOSE(CONTROL!$C$26, $C$13, 100%, $E$13)</f>
        <v>3.9708999999999999</v>
      </c>
      <c r="H126" s="67">
        <f>7.4024* CHOOSE(CONTROL!$C$26, $C$13, 100%, $E$13)</f>
        <v>7.4024000000000001</v>
      </c>
      <c r="I126" s="67">
        <f>7.4071 * CHOOSE(CONTROL!$C$26, $C$13, 100%, $E$13)</f>
        <v>7.4070999999999998</v>
      </c>
      <c r="J126" s="67">
        <f>3.9661 * CHOOSE(CONTROL!$C$26, $C$13, 100%, $E$13)</f>
        <v>3.9661</v>
      </c>
      <c r="K126" s="67">
        <f>3.9709 * CHOOSE(CONTROL!$C$26, $C$13, 100%, $E$13)</f>
        <v>3.9708999999999999</v>
      </c>
      <c r="L126" s="4"/>
      <c r="M126" s="4"/>
      <c r="N126" s="4"/>
    </row>
    <row r="127" spans="1:14" ht="15">
      <c r="A127" s="13">
        <v>44986</v>
      </c>
      <c r="B127" s="66">
        <f>3.3863 * CHOOSE(CONTROL!$C$26, $C$13, 100%, $E$13)</f>
        <v>3.3862999999999999</v>
      </c>
      <c r="C127" s="66">
        <f>3.3863 * CHOOSE(CONTROL!$C$26, $C$13, 100%, $E$13)</f>
        <v>3.3862999999999999</v>
      </c>
      <c r="D127" s="66">
        <f>3.3902 * CHOOSE(CONTROL!$C$26, $C$13, 100%, $E$13)</f>
        <v>3.3902000000000001</v>
      </c>
      <c r="E127" s="67">
        <f>4.0156 * CHOOSE(CONTROL!$C$26, $C$13, 100%, $E$13)</f>
        <v>4.0156000000000001</v>
      </c>
      <c r="F127" s="67">
        <f>4.0156 * CHOOSE(CONTROL!$C$26, $C$13, 100%, $E$13)</f>
        <v>4.0156000000000001</v>
      </c>
      <c r="G127" s="67">
        <f>4.0204 * CHOOSE(CONTROL!$C$26, $C$13, 100%, $E$13)</f>
        <v>4.0204000000000004</v>
      </c>
      <c r="H127" s="67">
        <f>7.4178* CHOOSE(CONTROL!$C$26, $C$13, 100%, $E$13)</f>
        <v>7.4177999999999997</v>
      </c>
      <c r="I127" s="67">
        <f>7.4226 * CHOOSE(CONTROL!$C$26, $C$13, 100%, $E$13)</f>
        <v>7.4226000000000001</v>
      </c>
      <c r="J127" s="67">
        <f>4.0156 * CHOOSE(CONTROL!$C$26, $C$13, 100%, $E$13)</f>
        <v>4.0156000000000001</v>
      </c>
      <c r="K127" s="67">
        <f>4.0204 * CHOOSE(CONTROL!$C$26, $C$13, 100%, $E$13)</f>
        <v>4.0204000000000004</v>
      </c>
      <c r="L127" s="4"/>
      <c r="M127" s="4"/>
      <c r="N127" s="4"/>
    </row>
    <row r="128" spans="1:14" ht="15">
      <c r="A128" s="13">
        <v>45017</v>
      </c>
      <c r="B128" s="66">
        <f>3.3833 * CHOOSE(CONTROL!$C$26, $C$13, 100%, $E$13)</f>
        <v>3.3833000000000002</v>
      </c>
      <c r="C128" s="66">
        <f>3.3833 * CHOOSE(CONTROL!$C$26, $C$13, 100%, $E$13)</f>
        <v>3.3833000000000002</v>
      </c>
      <c r="D128" s="66">
        <f>3.3872 * CHOOSE(CONTROL!$C$26, $C$13, 100%, $E$13)</f>
        <v>3.3872</v>
      </c>
      <c r="E128" s="67">
        <f>4.0669 * CHOOSE(CONTROL!$C$26, $C$13, 100%, $E$13)</f>
        <v>4.0669000000000004</v>
      </c>
      <c r="F128" s="67">
        <f>4.0669 * CHOOSE(CONTROL!$C$26, $C$13, 100%, $E$13)</f>
        <v>4.0669000000000004</v>
      </c>
      <c r="G128" s="67">
        <f>4.0716 * CHOOSE(CONTROL!$C$26, $C$13, 100%, $E$13)</f>
        <v>4.0716000000000001</v>
      </c>
      <c r="H128" s="67">
        <f>7.4332* CHOOSE(CONTROL!$C$26, $C$13, 100%, $E$13)</f>
        <v>7.4332000000000003</v>
      </c>
      <c r="I128" s="67">
        <f>7.438 * CHOOSE(CONTROL!$C$26, $C$13, 100%, $E$13)</f>
        <v>7.4379999999999997</v>
      </c>
      <c r="J128" s="67">
        <f>4.0669 * CHOOSE(CONTROL!$C$26, $C$13, 100%, $E$13)</f>
        <v>4.0669000000000004</v>
      </c>
      <c r="K128" s="67">
        <f>4.0716 * CHOOSE(CONTROL!$C$26, $C$13, 100%, $E$13)</f>
        <v>4.0716000000000001</v>
      </c>
      <c r="L128" s="4"/>
      <c r="M128" s="4"/>
      <c r="N128" s="4"/>
    </row>
    <row r="129" spans="1:14" ht="15">
      <c r="A129" s="13">
        <v>45047</v>
      </c>
      <c r="B129" s="66">
        <f>3.3833 * CHOOSE(CONTROL!$C$26, $C$13, 100%, $E$13)</f>
        <v>3.3833000000000002</v>
      </c>
      <c r="C129" s="66">
        <f>3.3833 * CHOOSE(CONTROL!$C$26, $C$13, 100%, $E$13)</f>
        <v>3.3833000000000002</v>
      </c>
      <c r="D129" s="66">
        <f>3.3888 * CHOOSE(CONTROL!$C$26, $C$13, 100%, $E$13)</f>
        <v>3.3887999999999998</v>
      </c>
      <c r="E129" s="67">
        <f>4.0877 * CHOOSE(CONTROL!$C$26, $C$13, 100%, $E$13)</f>
        <v>4.0876999999999999</v>
      </c>
      <c r="F129" s="67">
        <f>4.0877 * CHOOSE(CONTROL!$C$26, $C$13, 100%, $E$13)</f>
        <v>4.0876999999999999</v>
      </c>
      <c r="G129" s="67">
        <f>4.0944 * CHOOSE(CONTROL!$C$26, $C$13, 100%, $E$13)</f>
        <v>4.0944000000000003</v>
      </c>
      <c r="H129" s="67">
        <f>7.4487* CHOOSE(CONTROL!$C$26, $C$13, 100%, $E$13)</f>
        <v>7.4486999999999997</v>
      </c>
      <c r="I129" s="67">
        <f>7.4555 * CHOOSE(CONTROL!$C$26, $C$13, 100%, $E$13)</f>
        <v>7.4554999999999998</v>
      </c>
      <c r="J129" s="67">
        <f>4.0877 * CHOOSE(CONTROL!$C$26, $C$13, 100%, $E$13)</f>
        <v>4.0876999999999999</v>
      </c>
      <c r="K129" s="67">
        <f>4.0944 * CHOOSE(CONTROL!$C$26, $C$13, 100%, $E$13)</f>
        <v>4.0944000000000003</v>
      </c>
      <c r="L129" s="4"/>
      <c r="M129" s="4"/>
      <c r="N129" s="4"/>
    </row>
    <row r="130" spans="1:14" ht="15">
      <c r="A130" s="13">
        <v>45078</v>
      </c>
      <c r="B130" s="66">
        <f>3.3894 * CHOOSE(CONTROL!$C$26, $C$13, 100%, $E$13)</f>
        <v>3.3894000000000002</v>
      </c>
      <c r="C130" s="66">
        <f>3.3894 * CHOOSE(CONTROL!$C$26, $C$13, 100%, $E$13)</f>
        <v>3.3894000000000002</v>
      </c>
      <c r="D130" s="66">
        <f>3.3949 * CHOOSE(CONTROL!$C$26, $C$13, 100%, $E$13)</f>
        <v>3.3948999999999998</v>
      </c>
      <c r="E130" s="67">
        <f>4.0711 * CHOOSE(CONTROL!$C$26, $C$13, 100%, $E$13)</f>
        <v>4.0711000000000004</v>
      </c>
      <c r="F130" s="67">
        <f>4.0711 * CHOOSE(CONTROL!$C$26, $C$13, 100%, $E$13)</f>
        <v>4.0711000000000004</v>
      </c>
      <c r="G130" s="67">
        <f>4.0779 * CHOOSE(CONTROL!$C$26, $C$13, 100%, $E$13)</f>
        <v>4.0778999999999996</v>
      </c>
      <c r="H130" s="67">
        <f>7.4642* CHOOSE(CONTROL!$C$26, $C$13, 100%, $E$13)</f>
        <v>7.4641999999999999</v>
      </c>
      <c r="I130" s="67">
        <f>7.471 * CHOOSE(CONTROL!$C$26, $C$13, 100%, $E$13)</f>
        <v>7.4710000000000001</v>
      </c>
      <c r="J130" s="67">
        <f>4.0711 * CHOOSE(CONTROL!$C$26, $C$13, 100%, $E$13)</f>
        <v>4.0711000000000004</v>
      </c>
      <c r="K130" s="67">
        <f>4.0779 * CHOOSE(CONTROL!$C$26, $C$13, 100%, $E$13)</f>
        <v>4.0778999999999996</v>
      </c>
      <c r="L130" s="4"/>
      <c r="M130" s="4"/>
      <c r="N130" s="4"/>
    </row>
    <row r="131" spans="1:14" ht="15">
      <c r="A131" s="13">
        <v>45108</v>
      </c>
      <c r="B131" s="66">
        <f>3.4356 * CHOOSE(CONTROL!$C$26, $C$13, 100%, $E$13)</f>
        <v>3.4356</v>
      </c>
      <c r="C131" s="66">
        <f>3.4356 * CHOOSE(CONTROL!$C$26, $C$13, 100%, $E$13)</f>
        <v>3.4356</v>
      </c>
      <c r="D131" s="66">
        <f>3.4412 * CHOOSE(CONTROL!$C$26, $C$13, 100%, $E$13)</f>
        <v>3.4411999999999998</v>
      </c>
      <c r="E131" s="67">
        <f>4.1492 * CHOOSE(CONTROL!$C$26, $C$13, 100%, $E$13)</f>
        <v>4.1492000000000004</v>
      </c>
      <c r="F131" s="67">
        <f>4.1492 * CHOOSE(CONTROL!$C$26, $C$13, 100%, $E$13)</f>
        <v>4.1492000000000004</v>
      </c>
      <c r="G131" s="67">
        <f>4.156 * CHOOSE(CONTROL!$C$26, $C$13, 100%, $E$13)</f>
        <v>4.1559999999999997</v>
      </c>
      <c r="H131" s="67">
        <f>7.4798* CHOOSE(CONTROL!$C$26, $C$13, 100%, $E$13)</f>
        <v>7.4798</v>
      </c>
      <c r="I131" s="67">
        <f>7.4865 * CHOOSE(CONTROL!$C$26, $C$13, 100%, $E$13)</f>
        <v>7.4865000000000004</v>
      </c>
      <c r="J131" s="67">
        <f>4.1492 * CHOOSE(CONTROL!$C$26, $C$13, 100%, $E$13)</f>
        <v>4.1492000000000004</v>
      </c>
      <c r="K131" s="67">
        <f>4.156 * CHOOSE(CONTROL!$C$26, $C$13, 100%, $E$13)</f>
        <v>4.1559999999999997</v>
      </c>
      <c r="L131" s="4"/>
      <c r="M131" s="4"/>
      <c r="N131" s="4"/>
    </row>
    <row r="132" spans="1:14" ht="15">
      <c r="A132" s="13">
        <v>45139</v>
      </c>
      <c r="B132" s="66">
        <f>3.4423 * CHOOSE(CONTROL!$C$26, $C$13, 100%, $E$13)</f>
        <v>3.4422999999999999</v>
      </c>
      <c r="C132" s="66">
        <f>3.4423 * CHOOSE(CONTROL!$C$26, $C$13, 100%, $E$13)</f>
        <v>3.4422999999999999</v>
      </c>
      <c r="D132" s="66">
        <f>3.4478 * CHOOSE(CONTROL!$C$26, $C$13, 100%, $E$13)</f>
        <v>3.4478</v>
      </c>
      <c r="E132" s="67">
        <f>4.0915 * CHOOSE(CONTROL!$C$26, $C$13, 100%, $E$13)</f>
        <v>4.0914999999999999</v>
      </c>
      <c r="F132" s="67">
        <f>4.0915 * CHOOSE(CONTROL!$C$26, $C$13, 100%, $E$13)</f>
        <v>4.0914999999999999</v>
      </c>
      <c r="G132" s="67">
        <f>4.0982 * CHOOSE(CONTROL!$C$26, $C$13, 100%, $E$13)</f>
        <v>4.0982000000000003</v>
      </c>
      <c r="H132" s="67">
        <f>7.4954* CHOOSE(CONTROL!$C$26, $C$13, 100%, $E$13)</f>
        <v>7.4954000000000001</v>
      </c>
      <c r="I132" s="67">
        <f>7.5021 * CHOOSE(CONTROL!$C$26, $C$13, 100%, $E$13)</f>
        <v>7.5021000000000004</v>
      </c>
      <c r="J132" s="67">
        <f>4.0915 * CHOOSE(CONTROL!$C$26, $C$13, 100%, $E$13)</f>
        <v>4.0914999999999999</v>
      </c>
      <c r="K132" s="67">
        <f>4.0982 * CHOOSE(CONTROL!$C$26, $C$13, 100%, $E$13)</f>
        <v>4.0982000000000003</v>
      </c>
      <c r="L132" s="4"/>
      <c r="M132" s="4"/>
      <c r="N132" s="4"/>
    </row>
    <row r="133" spans="1:14" ht="15">
      <c r="A133" s="13">
        <v>45170</v>
      </c>
      <c r="B133" s="66">
        <f>3.4393 * CHOOSE(CONTROL!$C$26, $C$13, 100%, $E$13)</f>
        <v>3.4392999999999998</v>
      </c>
      <c r="C133" s="66">
        <f>3.4393 * CHOOSE(CONTROL!$C$26, $C$13, 100%, $E$13)</f>
        <v>3.4392999999999998</v>
      </c>
      <c r="D133" s="66">
        <f>3.4448 * CHOOSE(CONTROL!$C$26, $C$13, 100%, $E$13)</f>
        <v>3.4447999999999999</v>
      </c>
      <c r="E133" s="67">
        <f>4.0824 * CHOOSE(CONTROL!$C$26, $C$13, 100%, $E$13)</f>
        <v>4.0823999999999998</v>
      </c>
      <c r="F133" s="67">
        <f>4.0824 * CHOOSE(CONTROL!$C$26, $C$13, 100%, $E$13)</f>
        <v>4.0823999999999998</v>
      </c>
      <c r="G133" s="67">
        <f>4.0892 * CHOOSE(CONTROL!$C$26, $C$13, 100%, $E$13)</f>
        <v>4.0891999999999999</v>
      </c>
      <c r="H133" s="67">
        <f>7.511* CHOOSE(CONTROL!$C$26, $C$13, 100%, $E$13)</f>
        <v>7.5110000000000001</v>
      </c>
      <c r="I133" s="67">
        <f>7.5177 * CHOOSE(CONTROL!$C$26, $C$13, 100%, $E$13)</f>
        <v>7.5176999999999996</v>
      </c>
      <c r="J133" s="67">
        <f>4.0824 * CHOOSE(CONTROL!$C$26, $C$13, 100%, $E$13)</f>
        <v>4.0823999999999998</v>
      </c>
      <c r="K133" s="67">
        <f>4.0892 * CHOOSE(CONTROL!$C$26, $C$13, 100%, $E$13)</f>
        <v>4.0891999999999999</v>
      </c>
      <c r="L133" s="4"/>
      <c r="M133" s="4"/>
      <c r="N133" s="4"/>
    </row>
    <row r="134" spans="1:14" ht="15">
      <c r="A134" s="13">
        <v>45200</v>
      </c>
      <c r="B134" s="66">
        <f>3.4321 * CHOOSE(CONTROL!$C$26, $C$13, 100%, $E$13)</f>
        <v>3.4321000000000002</v>
      </c>
      <c r="C134" s="66">
        <f>3.4321 * CHOOSE(CONTROL!$C$26, $C$13, 100%, $E$13)</f>
        <v>3.4321000000000002</v>
      </c>
      <c r="D134" s="66">
        <f>3.436 * CHOOSE(CONTROL!$C$26, $C$13, 100%, $E$13)</f>
        <v>3.4359999999999999</v>
      </c>
      <c r="E134" s="67">
        <f>4.0968 * CHOOSE(CONTROL!$C$26, $C$13, 100%, $E$13)</f>
        <v>4.0968</v>
      </c>
      <c r="F134" s="67">
        <f>4.0968 * CHOOSE(CONTROL!$C$26, $C$13, 100%, $E$13)</f>
        <v>4.0968</v>
      </c>
      <c r="G134" s="67">
        <f>4.1015 * CHOOSE(CONTROL!$C$26, $C$13, 100%, $E$13)</f>
        <v>4.1014999999999997</v>
      </c>
      <c r="H134" s="67">
        <f>7.5266* CHOOSE(CONTROL!$C$26, $C$13, 100%, $E$13)</f>
        <v>7.5266000000000002</v>
      </c>
      <c r="I134" s="67">
        <f>7.5314 * CHOOSE(CONTROL!$C$26, $C$13, 100%, $E$13)</f>
        <v>7.5313999999999997</v>
      </c>
      <c r="J134" s="67">
        <f>4.0968 * CHOOSE(CONTROL!$C$26, $C$13, 100%, $E$13)</f>
        <v>4.0968</v>
      </c>
      <c r="K134" s="67">
        <f>4.1015 * CHOOSE(CONTROL!$C$26, $C$13, 100%, $E$13)</f>
        <v>4.1014999999999997</v>
      </c>
      <c r="L134" s="4"/>
      <c r="M134" s="4"/>
      <c r="N134" s="4"/>
    </row>
    <row r="135" spans="1:14" ht="15">
      <c r="A135" s="13">
        <v>45231</v>
      </c>
      <c r="B135" s="66">
        <f>3.4352 * CHOOSE(CONTROL!$C$26, $C$13, 100%, $E$13)</f>
        <v>3.4352</v>
      </c>
      <c r="C135" s="66">
        <f>3.4352 * CHOOSE(CONTROL!$C$26, $C$13, 100%, $E$13)</f>
        <v>3.4352</v>
      </c>
      <c r="D135" s="66">
        <f>3.439 * CHOOSE(CONTROL!$C$26, $C$13, 100%, $E$13)</f>
        <v>3.4390000000000001</v>
      </c>
      <c r="E135" s="67">
        <f>4.1127 * CHOOSE(CONTROL!$C$26, $C$13, 100%, $E$13)</f>
        <v>4.1127000000000002</v>
      </c>
      <c r="F135" s="67">
        <f>4.1127 * CHOOSE(CONTROL!$C$26, $C$13, 100%, $E$13)</f>
        <v>4.1127000000000002</v>
      </c>
      <c r="G135" s="67">
        <f>4.1175 * CHOOSE(CONTROL!$C$26, $C$13, 100%, $E$13)</f>
        <v>4.1174999999999997</v>
      </c>
      <c r="H135" s="67">
        <f>7.5423* CHOOSE(CONTROL!$C$26, $C$13, 100%, $E$13)</f>
        <v>7.5423</v>
      </c>
      <c r="I135" s="67">
        <f>7.5471 * CHOOSE(CONTROL!$C$26, $C$13, 100%, $E$13)</f>
        <v>7.5471000000000004</v>
      </c>
      <c r="J135" s="67">
        <f>4.1127 * CHOOSE(CONTROL!$C$26, $C$13, 100%, $E$13)</f>
        <v>4.1127000000000002</v>
      </c>
      <c r="K135" s="67">
        <f>4.1175 * CHOOSE(CONTROL!$C$26, $C$13, 100%, $E$13)</f>
        <v>4.1174999999999997</v>
      </c>
      <c r="L135" s="4"/>
      <c r="M135" s="4"/>
      <c r="N135" s="4"/>
    </row>
    <row r="136" spans="1:14" ht="15">
      <c r="A136" s="13">
        <v>45261</v>
      </c>
      <c r="B136" s="66">
        <f>3.4352 * CHOOSE(CONTROL!$C$26, $C$13, 100%, $E$13)</f>
        <v>3.4352</v>
      </c>
      <c r="C136" s="66">
        <f>3.4352 * CHOOSE(CONTROL!$C$26, $C$13, 100%, $E$13)</f>
        <v>3.4352</v>
      </c>
      <c r="D136" s="66">
        <f>3.439 * CHOOSE(CONTROL!$C$26, $C$13, 100%, $E$13)</f>
        <v>3.4390000000000001</v>
      </c>
      <c r="E136" s="67">
        <f>4.0781 * CHOOSE(CONTROL!$C$26, $C$13, 100%, $E$13)</f>
        <v>4.0781000000000001</v>
      </c>
      <c r="F136" s="67">
        <f>4.0781 * CHOOSE(CONTROL!$C$26, $C$13, 100%, $E$13)</f>
        <v>4.0781000000000001</v>
      </c>
      <c r="G136" s="67">
        <f>4.0828 * CHOOSE(CONTROL!$C$26, $C$13, 100%, $E$13)</f>
        <v>4.0827999999999998</v>
      </c>
      <c r="H136" s="67">
        <f>7.558* CHOOSE(CONTROL!$C$26, $C$13, 100%, $E$13)</f>
        <v>7.5579999999999998</v>
      </c>
      <c r="I136" s="67">
        <f>7.5628 * CHOOSE(CONTROL!$C$26, $C$13, 100%, $E$13)</f>
        <v>7.5628000000000002</v>
      </c>
      <c r="J136" s="67">
        <f>4.0781 * CHOOSE(CONTROL!$C$26, $C$13, 100%, $E$13)</f>
        <v>4.0781000000000001</v>
      </c>
      <c r="K136" s="67">
        <f>4.0828 * CHOOSE(CONTROL!$C$26, $C$13, 100%, $E$13)</f>
        <v>4.0827999999999998</v>
      </c>
      <c r="L136" s="4"/>
      <c r="M136" s="4"/>
      <c r="N136" s="4"/>
    </row>
    <row r="137" spans="1:14" ht="15">
      <c r="A137" s="13">
        <v>45292</v>
      </c>
      <c r="B137" s="66">
        <f>3.4652 * CHOOSE(CONTROL!$C$26, $C$13, 100%, $E$13)</f>
        <v>3.4651999999999998</v>
      </c>
      <c r="C137" s="66">
        <f>3.4652 * CHOOSE(CONTROL!$C$26, $C$13, 100%, $E$13)</f>
        <v>3.4651999999999998</v>
      </c>
      <c r="D137" s="66">
        <f>3.469 * CHOOSE(CONTROL!$C$26, $C$13, 100%, $E$13)</f>
        <v>3.4689999999999999</v>
      </c>
      <c r="E137" s="67">
        <f>4.1228 * CHOOSE(CONTROL!$C$26, $C$13, 100%, $E$13)</f>
        <v>4.1227999999999998</v>
      </c>
      <c r="F137" s="67">
        <f>4.1228 * CHOOSE(CONTROL!$C$26, $C$13, 100%, $E$13)</f>
        <v>4.1227999999999998</v>
      </c>
      <c r="G137" s="67">
        <f>4.1275 * CHOOSE(CONTROL!$C$26, $C$13, 100%, $E$13)</f>
        <v>4.1275000000000004</v>
      </c>
      <c r="H137" s="67">
        <f>7.5738* CHOOSE(CONTROL!$C$26, $C$13, 100%, $E$13)</f>
        <v>7.5738000000000003</v>
      </c>
      <c r="I137" s="67">
        <f>7.5785 * CHOOSE(CONTROL!$C$26, $C$13, 100%, $E$13)</f>
        <v>7.5785</v>
      </c>
      <c r="J137" s="67">
        <f>4.1228 * CHOOSE(CONTROL!$C$26, $C$13, 100%, $E$13)</f>
        <v>4.1227999999999998</v>
      </c>
      <c r="K137" s="67">
        <f>4.1275 * CHOOSE(CONTROL!$C$26, $C$13, 100%, $E$13)</f>
        <v>4.1275000000000004</v>
      </c>
      <c r="L137" s="4"/>
      <c r="M137" s="4"/>
      <c r="N137" s="4"/>
    </row>
    <row r="138" spans="1:14" ht="15">
      <c r="A138" s="13">
        <v>45323</v>
      </c>
      <c r="B138" s="66">
        <f>3.4621 * CHOOSE(CONTROL!$C$26, $C$13, 100%, $E$13)</f>
        <v>3.4621</v>
      </c>
      <c r="C138" s="66">
        <f>3.4621 * CHOOSE(CONTROL!$C$26, $C$13, 100%, $E$13)</f>
        <v>3.4621</v>
      </c>
      <c r="D138" s="66">
        <f>3.466 * CHOOSE(CONTROL!$C$26, $C$13, 100%, $E$13)</f>
        <v>3.4660000000000002</v>
      </c>
      <c r="E138" s="67">
        <f>4.0546 * CHOOSE(CONTROL!$C$26, $C$13, 100%, $E$13)</f>
        <v>4.0545999999999998</v>
      </c>
      <c r="F138" s="67">
        <f>4.0546 * CHOOSE(CONTROL!$C$26, $C$13, 100%, $E$13)</f>
        <v>4.0545999999999998</v>
      </c>
      <c r="G138" s="67">
        <f>4.0594 * CHOOSE(CONTROL!$C$26, $C$13, 100%, $E$13)</f>
        <v>4.0594000000000001</v>
      </c>
      <c r="H138" s="67">
        <f>7.5896* CHOOSE(CONTROL!$C$26, $C$13, 100%, $E$13)</f>
        <v>7.5895999999999999</v>
      </c>
      <c r="I138" s="67">
        <f>7.5943 * CHOOSE(CONTROL!$C$26, $C$13, 100%, $E$13)</f>
        <v>7.5942999999999996</v>
      </c>
      <c r="J138" s="67">
        <f>4.0546 * CHOOSE(CONTROL!$C$26, $C$13, 100%, $E$13)</f>
        <v>4.0545999999999998</v>
      </c>
      <c r="K138" s="67">
        <f>4.0594 * CHOOSE(CONTROL!$C$26, $C$13, 100%, $E$13)</f>
        <v>4.0594000000000001</v>
      </c>
      <c r="L138" s="4"/>
      <c r="M138" s="4"/>
      <c r="N138" s="4"/>
    </row>
    <row r="139" spans="1:14" ht="15">
      <c r="A139" s="13">
        <v>45352</v>
      </c>
      <c r="B139" s="66">
        <f>3.4591 * CHOOSE(CONTROL!$C$26, $C$13, 100%, $E$13)</f>
        <v>3.4590999999999998</v>
      </c>
      <c r="C139" s="66">
        <f>3.4591 * CHOOSE(CONTROL!$C$26, $C$13, 100%, $E$13)</f>
        <v>3.4590999999999998</v>
      </c>
      <c r="D139" s="66">
        <f>3.463 * CHOOSE(CONTROL!$C$26, $C$13, 100%, $E$13)</f>
        <v>3.4630000000000001</v>
      </c>
      <c r="E139" s="67">
        <f>4.1046 * CHOOSE(CONTROL!$C$26, $C$13, 100%, $E$13)</f>
        <v>4.1045999999999996</v>
      </c>
      <c r="F139" s="67">
        <f>4.1046 * CHOOSE(CONTROL!$C$26, $C$13, 100%, $E$13)</f>
        <v>4.1045999999999996</v>
      </c>
      <c r="G139" s="67">
        <f>4.1093 * CHOOSE(CONTROL!$C$26, $C$13, 100%, $E$13)</f>
        <v>4.1093000000000002</v>
      </c>
      <c r="H139" s="67">
        <f>7.6054* CHOOSE(CONTROL!$C$26, $C$13, 100%, $E$13)</f>
        <v>7.6054000000000004</v>
      </c>
      <c r="I139" s="67">
        <f>7.6101 * CHOOSE(CONTROL!$C$26, $C$13, 100%, $E$13)</f>
        <v>7.6101000000000001</v>
      </c>
      <c r="J139" s="67">
        <f>4.1046 * CHOOSE(CONTROL!$C$26, $C$13, 100%, $E$13)</f>
        <v>4.1045999999999996</v>
      </c>
      <c r="K139" s="67">
        <f>4.1093 * CHOOSE(CONTROL!$C$26, $C$13, 100%, $E$13)</f>
        <v>4.1093000000000002</v>
      </c>
      <c r="L139" s="4"/>
      <c r="M139" s="4"/>
      <c r="N139" s="4"/>
    </row>
    <row r="140" spans="1:14" ht="15">
      <c r="A140" s="13">
        <v>45383</v>
      </c>
      <c r="B140" s="66">
        <f>3.4562 * CHOOSE(CONTROL!$C$26, $C$13, 100%, $E$13)</f>
        <v>3.4561999999999999</v>
      </c>
      <c r="C140" s="66">
        <f>3.4562 * CHOOSE(CONTROL!$C$26, $C$13, 100%, $E$13)</f>
        <v>3.4561999999999999</v>
      </c>
      <c r="D140" s="66">
        <f>3.4601 * CHOOSE(CONTROL!$C$26, $C$13, 100%, $E$13)</f>
        <v>3.4601000000000002</v>
      </c>
      <c r="E140" s="67">
        <f>4.1563 * CHOOSE(CONTROL!$C$26, $C$13, 100%, $E$13)</f>
        <v>4.1562999999999999</v>
      </c>
      <c r="F140" s="67">
        <f>4.1563 * CHOOSE(CONTROL!$C$26, $C$13, 100%, $E$13)</f>
        <v>4.1562999999999999</v>
      </c>
      <c r="G140" s="67">
        <f>4.161 * CHOOSE(CONTROL!$C$26, $C$13, 100%, $E$13)</f>
        <v>4.1609999999999996</v>
      </c>
      <c r="H140" s="67">
        <f>7.6212* CHOOSE(CONTROL!$C$26, $C$13, 100%, $E$13)</f>
        <v>7.6212</v>
      </c>
      <c r="I140" s="67">
        <f>7.626 * CHOOSE(CONTROL!$C$26, $C$13, 100%, $E$13)</f>
        <v>7.6260000000000003</v>
      </c>
      <c r="J140" s="67">
        <f>4.1563 * CHOOSE(CONTROL!$C$26, $C$13, 100%, $E$13)</f>
        <v>4.1562999999999999</v>
      </c>
      <c r="K140" s="67">
        <f>4.161 * CHOOSE(CONTROL!$C$26, $C$13, 100%, $E$13)</f>
        <v>4.1609999999999996</v>
      </c>
      <c r="L140" s="4"/>
      <c r="M140" s="4"/>
      <c r="N140" s="4"/>
    </row>
    <row r="141" spans="1:14" ht="15">
      <c r="A141" s="13">
        <v>45413</v>
      </c>
      <c r="B141" s="66">
        <f>3.4562 * CHOOSE(CONTROL!$C$26, $C$13, 100%, $E$13)</f>
        <v>3.4561999999999999</v>
      </c>
      <c r="C141" s="66">
        <f>3.4562 * CHOOSE(CONTROL!$C$26, $C$13, 100%, $E$13)</f>
        <v>3.4561999999999999</v>
      </c>
      <c r="D141" s="66">
        <f>3.4617 * CHOOSE(CONTROL!$C$26, $C$13, 100%, $E$13)</f>
        <v>3.4617</v>
      </c>
      <c r="E141" s="67">
        <f>4.1772 * CHOOSE(CONTROL!$C$26, $C$13, 100%, $E$13)</f>
        <v>4.1772</v>
      </c>
      <c r="F141" s="67">
        <f>4.1772 * CHOOSE(CONTROL!$C$26, $C$13, 100%, $E$13)</f>
        <v>4.1772</v>
      </c>
      <c r="G141" s="67">
        <f>4.184 * CHOOSE(CONTROL!$C$26, $C$13, 100%, $E$13)</f>
        <v>4.1840000000000002</v>
      </c>
      <c r="H141" s="67">
        <f>7.6371* CHOOSE(CONTROL!$C$26, $C$13, 100%, $E$13)</f>
        <v>7.6371000000000002</v>
      </c>
      <c r="I141" s="67">
        <f>7.6438 * CHOOSE(CONTROL!$C$26, $C$13, 100%, $E$13)</f>
        <v>7.6437999999999997</v>
      </c>
      <c r="J141" s="67">
        <f>4.1772 * CHOOSE(CONTROL!$C$26, $C$13, 100%, $E$13)</f>
        <v>4.1772</v>
      </c>
      <c r="K141" s="67">
        <f>4.184 * CHOOSE(CONTROL!$C$26, $C$13, 100%, $E$13)</f>
        <v>4.1840000000000002</v>
      </c>
      <c r="L141" s="4"/>
      <c r="M141" s="4"/>
      <c r="N141" s="4"/>
    </row>
    <row r="142" spans="1:14" ht="15">
      <c r="A142" s="13">
        <v>45444</v>
      </c>
      <c r="B142" s="66">
        <f>3.4623 * CHOOSE(CONTROL!$C$26, $C$13, 100%, $E$13)</f>
        <v>3.4622999999999999</v>
      </c>
      <c r="C142" s="66">
        <f>3.4623 * CHOOSE(CONTROL!$C$26, $C$13, 100%, $E$13)</f>
        <v>3.4622999999999999</v>
      </c>
      <c r="D142" s="66">
        <f>3.4678 * CHOOSE(CONTROL!$C$26, $C$13, 100%, $E$13)</f>
        <v>3.4678</v>
      </c>
      <c r="E142" s="67">
        <f>4.1605 * CHOOSE(CONTROL!$C$26, $C$13, 100%, $E$13)</f>
        <v>4.1604999999999999</v>
      </c>
      <c r="F142" s="67">
        <f>4.1605 * CHOOSE(CONTROL!$C$26, $C$13, 100%, $E$13)</f>
        <v>4.1604999999999999</v>
      </c>
      <c r="G142" s="67">
        <f>4.1672 * CHOOSE(CONTROL!$C$26, $C$13, 100%, $E$13)</f>
        <v>4.1672000000000002</v>
      </c>
      <c r="H142" s="67">
        <f>7.653* CHOOSE(CONTROL!$C$26, $C$13, 100%, $E$13)</f>
        <v>7.6529999999999996</v>
      </c>
      <c r="I142" s="67">
        <f>7.6597 * CHOOSE(CONTROL!$C$26, $C$13, 100%, $E$13)</f>
        <v>7.6597</v>
      </c>
      <c r="J142" s="67">
        <f>4.1605 * CHOOSE(CONTROL!$C$26, $C$13, 100%, $E$13)</f>
        <v>4.1604999999999999</v>
      </c>
      <c r="K142" s="67">
        <f>4.1672 * CHOOSE(CONTROL!$C$26, $C$13, 100%, $E$13)</f>
        <v>4.1672000000000002</v>
      </c>
      <c r="L142" s="4"/>
      <c r="M142" s="4"/>
      <c r="N142" s="4"/>
    </row>
    <row r="143" spans="1:14" ht="15">
      <c r="A143" s="13">
        <v>45474</v>
      </c>
      <c r="B143" s="66">
        <f>3.5185 * CHOOSE(CONTROL!$C$26, $C$13, 100%, $E$13)</f>
        <v>3.5185</v>
      </c>
      <c r="C143" s="66">
        <f>3.5185 * CHOOSE(CONTROL!$C$26, $C$13, 100%, $E$13)</f>
        <v>3.5185</v>
      </c>
      <c r="D143" s="66">
        <f>3.524 * CHOOSE(CONTROL!$C$26, $C$13, 100%, $E$13)</f>
        <v>3.524</v>
      </c>
      <c r="E143" s="67">
        <f>4.2301 * CHOOSE(CONTROL!$C$26, $C$13, 100%, $E$13)</f>
        <v>4.2301000000000002</v>
      </c>
      <c r="F143" s="67">
        <f>4.2301 * CHOOSE(CONTROL!$C$26, $C$13, 100%, $E$13)</f>
        <v>4.2301000000000002</v>
      </c>
      <c r="G143" s="67">
        <f>4.2368 * CHOOSE(CONTROL!$C$26, $C$13, 100%, $E$13)</f>
        <v>4.2367999999999997</v>
      </c>
      <c r="H143" s="67">
        <f>7.6689* CHOOSE(CONTROL!$C$26, $C$13, 100%, $E$13)</f>
        <v>7.6688999999999998</v>
      </c>
      <c r="I143" s="67">
        <f>7.6757 * CHOOSE(CONTROL!$C$26, $C$13, 100%, $E$13)</f>
        <v>7.6757</v>
      </c>
      <c r="J143" s="67">
        <f>4.2301 * CHOOSE(CONTROL!$C$26, $C$13, 100%, $E$13)</f>
        <v>4.2301000000000002</v>
      </c>
      <c r="K143" s="67">
        <f>4.2368 * CHOOSE(CONTROL!$C$26, $C$13, 100%, $E$13)</f>
        <v>4.2367999999999997</v>
      </c>
      <c r="L143" s="4"/>
      <c r="M143" s="4"/>
      <c r="N143" s="4"/>
    </row>
    <row r="144" spans="1:14" ht="15">
      <c r="A144" s="13">
        <v>45505</v>
      </c>
      <c r="B144" s="66">
        <f>3.5251 * CHOOSE(CONTROL!$C$26, $C$13, 100%, $E$13)</f>
        <v>3.5251000000000001</v>
      </c>
      <c r="C144" s="66">
        <f>3.5251 * CHOOSE(CONTROL!$C$26, $C$13, 100%, $E$13)</f>
        <v>3.5251000000000001</v>
      </c>
      <c r="D144" s="66">
        <f>3.5306 * CHOOSE(CONTROL!$C$26, $C$13, 100%, $E$13)</f>
        <v>3.5306000000000002</v>
      </c>
      <c r="E144" s="67">
        <f>4.1718 * CHOOSE(CONTROL!$C$26, $C$13, 100%, $E$13)</f>
        <v>4.1718000000000002</v>
      </c>
      <c r="F144" s="67">
        <f>4.1718 * CHOOSE(CONTROL!$C$26, $C$13, 100%, $E$13)</f>
        <v>4.1718000000000002</v>
      </c>
      <c r="G144" s="67">
        <f>4.1786 * CHOOSE(CONTROL!$C$26, $C$13, 100%, $E$13)</f>
        <v>4.1786000000000003</v>
      </c>
      <c r="H144" s="67">
        <f>7.6849* CHOOSE(CONTROL!$C$26, $C$13, 100%, $E$13)</f>
        <v>7.6848999999999998</v>
      </c>
      <c r="I144" s="67">
        <f>7.6917 * CHOOSE(CONTROL!$C$26, $C$13, 100%, $E$13)</f>
        <v>7.6917</v>
      </c>
      <c r="J144" s="67">
        <f>4.1718 * CHOOSE(CONTROL!$C$26, $C$13, 100%, $E$13)</f>
        <v>4.1718000000000002</v>
      </c>
      <c r="K144" s="67">
        <f>4.1786 * CHOOSE(CONTROL!$C$26, $C$13, 100%, $E$13)</f>
        <v>4.1786000000000003</v>
      </c>
      <c r="L144" s="4"/>
      <c r="M144" s="4"/>
      <c r="N144" s="4"/>
    </row>
    <row r="145" spans="1:14" ht="15">
      <c r="A145" s="13">
        <v>45536</v>
      </c>
      <c r="B145" s="66">
        <f>3.5221 * CHOOSE(CONTROL!$C$26, $C$13, 100%, $E$13)</f>
        <v>3.5221</v>
      </c>
      <c r="C145" s="66">
        <f>3.5221 * CHOOSE(CONTROL!$C$26, $C$13, 100%, $E$13)</f>
        <v>3.5221</v>
      </c>
      <c r="D145" s="66">
        <f>3.5276 * CHOOSE(CONTROL!$C$26, $C$13, 100%, $E$13)</f>
        <v>3.5276000000000001</v>
      </c>
      <c r="E145" s="67">
        <f>4.1627 * CHOOSE(CONTROL!$C$26, $C$13, 100%, $E$13)</f>
        <v>4.1627000000000001</v>
      </c>
      <c r="F145" s="67">
        <f>4.1627 * CHOOSE(CONTROL!$C$26, $C$13, 100%, $E$13)</f>
        <v>4.1627000000000001</v>
      </c>
      <c r="G145" s="67">
        <f>4.1694 * CHOOSE(CONTROL!$C$26, $C$13, 100%, $E$13)</f>
        <v>4.1694000000000004</v>
      </c>
      <c r="H145" s="67">
        <f>7.7009* CHOOSE(CONTROL!$C$26, $C$13, 100%, $E$13)</f>
        <v>7.7008999999999999</v>
      </c>
      <c r="I145" s="67">
        <f>7.7077 * CHOOSE(CONTROL!$C$26, $C$13, 100%, $E$13)</f>
        <v>7.7077</v>
      </c>
      <c r="J145" s="67">
        <f>4.1627 * CHOOSE(CONTROL!$C$26, $C$13, 100%, $E$13)</f>
        <v>4.1627000000000001</v>
      </c>
      <c r="K145" s="67">
        <f>4.1694 * CHOOSE(CONTROL!$C$26, $C$13, 100%, $E$13)</f>
        <v>4.1694000000000004</v>
      </c>
      <c r="L145" s="4"/>
      <c r="M145" s="4"/>
      <c r="N145" s="4"/>
    </row>
    <row r="146" spans="1:14" ht="15">
      <c r="A146" s="13">
        <v>45566</v>
      </c>
      <c r="B146" s="66">
        <f>3.5152 * CHOOSE(CONTROL!$C$26, $C$13, 100%, $E$13)</f>
        <v>3.5152000000000001</v>
      </c>
      <c r="C146" s="66">
        <f>3.5152 * CHOOSE(CONTROL!$C$26, $C$13, 100%, $E$13)</f>
        <v>3.5152000000000001</v>
      </c>
      <c r="D146" s="66">
        <f>3.5191 * CHOOSE(CONTROL!$C$26, $C$13, 100%, $E$13)</f>
        <v>3.5190999999999999</v>
      </c>
      <c r="E146" s="67">
        <f>4.1773 * CHOOSE(CONTROL!$C$26, $C$13, 100%, $E$13)</f>
        <v>4.1772999999999998</v>
      </c>
      <c r="F146" s="67">
        <f>4.1773 * CHOOSE(CONTROL!$C$26, $C$13, 100%, $E$13)</f>
        <v>4.1772999999999998</v>
      </c>
      <c r="G146" s="67">
        <f>4.182 * CHOOSE(CONTROL!$C$26, $C$13, 100%, $E$13)</f>
        <v>4.1820000000000004</v>
      </c>
      <c r="H146" s="67">
        <f>7.717* CHOOSE(CONTROL!$C$26, $C$13, 100%, $E$13)</f>
        <v>7.7169999999999996</v>
      </c>
      <c r="I146" s="67">
        <f>7.7217 * CHOOSE(CONTROL!$C$26, $C$13, 100%, $E$13)</f>
        <v>7.7217000000000002</v>
      </c>
      <c r="J146" s="67">
        <f>4.1773 * CHOOSE(CONTROL!$C$26, $C$13, 100%, $E$13)</f>
        <v>4.1772999999999998</v>
      </c>
      <c r="K146" s="67">
        <f>4.182 * CHOOSE(CONTROL!$C$26, $C$13, 100%, $E$13)</f>
        <v>4.1820000000000004</v>
      </c>
      <c r="L146" s="4"/>
      <c r="M146" s="4"/>
      <c r="N146" s="4"/>
    </row>
    <row r="147" spans="1:14" ht="15">
      <c r="A147" s="13">
        <v>45597</v>
      </c>
      <c r="B147" s="66">
        <f>3.5183 * CHOOSE(CONTROL!$C$26, $C$13, 100%, $E$13)</f>
        <v>3.5183</v>
      </c>
      <c r="C147" s="66">
        <f>3.5183 * CHOOSE(CONTROL!$C$26, $C$13, 100%, $E$13)</f>
        <v>3.5183</v>
      </c>
      <c r="D147" s="66">
        <f>3.5222 * CHOOSE(CONTROL!$C$26, $C$13, 100%, $E$13)</f>
        <v>3.5222000000000002</v>
      </c>
      <c r="E147" s="67">
        <f>4.1934 * CHOOSE(CONTROL!$C$26, $C$13, 100%, $E$13)</f>
        <v>4.1933999999999996</v>
      </c>
      <c r="F147" s="67">
        <f>4.1934 * CHOOSE(CONTROL!$C$26, $C$13, 100%, $E$13)</f>
        <v>4.1933999999999996</v>
      </c>
      <c r="G147" s="67">
        <f>4.1981 * CHOOSE(CONTROL!$C$26, $C$13, 100%, $E$13)</f>
        <v>4.1981000000000002</v>
      </c>
      <c r="H147" s="67">
        <f>7.7331* CHOOSE(CONTROL!$C$26, $C$13, 100%, $E$13)</f>
        <v>7.7331000000000003</v>
      </c>
      <c r="I147" s="67">
        <f>7.7378 * CHOOSE(CONTROL!$C$26, $C$13, 100%, $E$13)</f>
        <v>7.7378</v>
      </c>
      <c r="J147" s="67">
        <f>4.1934 * CHOOSE(CONTROL!$C$26, $C$13, 100%, $E$13)</f>
        <v>4.1933999999999996</v>
      </c>
      <c r="K147" s="67">
        <f>4.1981 * CHOOSE(CONTROL!$C$26, $C$13, 100%, $E$13)</f>
        <v>4.1981000000000002</v>
      </c>
      <c r="L147" s="4"/>
      <c r="M147" s="4"/>
      <c r="N147" s="4"/>
    </row>
    <row r="148" spans="1:14" ht="15">
      <c r="A148" s="13">
        <v>45627</v>
      </c>
      <c r="B148" s="66">
        <f>3.5183 * CHOOSE(CONTROL!$C$26, $C$13, 100%, $E$13)</f>
        <v>3.5183</v>
      </c>
      <c r="C148" s="66">
        <f>3.5183 * CHOOSE(CONTROL!$C$26, $C$13, 100%, $E$13)</f>
        <v>3.5183</v>
      </c>
      <c r="D148" s="66">
        <f>3.5222 * CHOOSE(CONTROL!$C$26, $C$13, 100%, $E$13)</f>
        <v>3.5222000000000002</v>
      </c>
      <c r="E148" s="67">
        <f>4.1584 * CHOOSE(CONTROL!$C$26, $C$13, 100%, $E$13)</f>
        <v>4.1584000000000003</v>
      </c>
      <c r="F148" s="67">
        <f>4.1584 * CHOOSE(CONTROL!$C$26, $C$13, 100%, $E$13)</f>
        <v>4.1584000000000003</v>
      </c>
      <c r="G148" s="67">
        <f>4.1632 * CHOOSE(CONTROL!$C$26, $C$13, 100%, $E$13)</f>
        <v>4.1631999999999998</v>
      </c>
      <c r="H148" s="67">
        <f>7.7492* CHOOSE(CONTROL!$C$26, $C$13, 100%, $E$13)</f>
        <v>7.7492000000000001</v>
      </c>
      <c r="I148" s="67">
        <f>7.7539 * CHOOSE(CONTROL!$C$26, $C$13, 100%, $E$13)</f>
        <v>7.7538999999999998</v>
      </c>
      <c r="J148" s="67">
        <f>4.1584 * CHOOSE(CONTROL!$C$26, $C$13, 100%, $E$13)</f>
        <v>4.1584000000000003</v>
      </c>
      <c r="K148" s="67">
        <f>4.1632 * CHOOSE(CONTROL!$C$26, $C$13, 100%, $E$13)</f>
        <v>4.1631999999999998</v>
      </c>
      <c r="L148" s="4"/>
      <c r="M148" s="4"/>
      <c r="N148" s="4"/>
    </row>
    <row r="149" spans="1:14" ht="15">
      <c r="A149" s="13">
        <v>45658</v>
      </c>
      <c r="B149" s="66">
        <f>3.5476 * CHOOSE(CONTROL!$C$26, $C$13, 100%, $E$13)</f>
        <v>3.5476000000000001</v>
      </c>
      <c r="C149" s="66">
        <f>3.5476 * CHOOSE(CONTROL!$C$26, $C$13, 100%, $E$13)</f>
        <v>3.5476000000000001</v>
      </c>
      <c r="D149" s="66">
        <f>3.5514 * CHOOSE(CONTROL!$C$26, $C$13, 100%, $E$13)</f>
        <v>3.5514000000000001</v>
      </c>
      <c r="E149" s="67">
        <f>4.2052 * CHOOSE(CONTROL!$C$26, $C$13, 100%, $E$13)</f>
        <v>4.2051999999999996</v>
      </c>
      <c r="F149" s="67">
        <f>4.2052 * CHOOSE(CONTROL!$C$26, $C$13, 100%, $E$13)</f>
        <v>4.2051999999999996</v>
      </c>
      <c r="G149" s="67">
        <f>4.21 * CHOOSE(CONTROL!$C$26, $C$13, 100%, $E$13)</f>
        <v>4.21</v>
      </c>
      <c r="H149" s="67">
        <f>7.7653* CHOOSE(CONTROL!$C$26, $C$13, 100%, $E$13)</f>
        <v>7.7652999999999999</v>
      </c>
      <c r="I149" s="67">
        <f>7.7701 * CHOOSE(CONTROL!$C$26, $C$13, 100%, $E$13)</f>
        <v>7.7701000000000002</v>
      </c>
      <c r="J149" s="67">
        <f>4.2052 * CHOOSE(CONTROL!$C$26, $C$13, 100%, $E$13)</f>
        <v>4.2051999999999996</v>
      </c>
      <c r="K149" s="67">
        <f>4.21 * CHOOSE(CONTROL!$C$26, $C$13, 100%, $E$13)</f>
        <v>4.21</v>
      </c>
      <c r="L149" s="4"/>
      <c r="M149" s="4"/>
      <c r="N149" s="4"/>
    </row>
    <row r="150" spans="1:14" ht="15">
      <c r="A150" s="13">
        <v>45689</v>
      </c>
      <c r="B150" s="66">
        <f>3.5445 * CHOOSE(CONTROL!$C$26, $C$13, 100%, $E$13)</f>
        <v>3.5445000000000002</v>
      </c>
      <c r="C150" s="66">
        <f>3.5445 * CHOOSE(CONTROL!$C$26, $C$13, 100%, $E$13)</f>
        <v>3.5445000000000002</v>
      </c>
      <c r="D150" s="66">
        <f>3.5484 * CHOOSE(CONTROL!$C$26, $C$13, 100%, $E$13)</f>
        <v>3.5484</v>
      </c>
      <c r="E150" s="67">
        <f>4.1366 * CHOOSE(CONTROL!$C$26, $C$13, 100%, $E$13)</f>
        <v>4.1365999999999996</v>
      </c>
      <c r="F150" s="67">
        <f>4.1366 * CHOOSE(CONTROL!$C$26, $C$13, 100%, $E$13)</f>
        <v>4.1365999999999996</v>
      </c>
      <c r="G150" s="67">
        <f>4.1413 * CHOOSE(CONTROL!$C$26, $C$13, 100%, $E$13)</f>
        <v>4.1413000000000002</v>
      </c>
      <c r="H150" s="67">
        <f>7.7815* CHOOSE(CONTROL!$C$26, $C$13, 100%, $E$13)</f>
        <v>7.7815000000000003</v>
      </c>
      <c r="I150" s="67">
        <f>7.7863 * CHOOSE(CONTROL!$C$26, $C$13, 100%, $E$13)</f>
        <v>7.7862999999999998</v>
      </c>
      <c r="J150" s="67">
        <f>4.1366 * CHOOSE(CONTROL!$C$26, $C$13, 100%, $E$13)</f>
        <v>4.1365999999999996</v>
      </c>
      <c r="K150" s="67">
        <f>4.1413 * CHOOSE(CONTROL!$C$26, $C$13, 100%, $E$13)</f>
        <v>4.1413000000000002</v>
      </c>
      <c r="L150" s="4"/>
      <c r="M150" s="4"/>
      <c r="N150" s="4"/>
    </row>
    <row r="151" spans="1:14" ht="15">
      <c r="A151" s="13">
        <v>45717</v>
      </c>
      <c r="B151" s="66">
        <f>3.5415 * CHOOSE(CONTROL!$C$26, $C$13, 100%, $E$13)</f>
        <v>3.5415000000000001</v>
      </c>
      <c r="C151" s="66">
        <f>3.5415 * CHOOSE(CONTROL!$C$26, $C$13, 100%, $E$13)</f>
        <v>3.5415000000000001</v>
      </c>
      <c r="D151" s="66">
        <f>3.5453 * CHOOSE(CONTROL!$C$26, $C$13, 100%, $E$13)</f>
        <v>3.5453000000000001</v>
      </c>
      <c r="E151" s="67">
        <f>4.1869 * CHOOSE(CONTROL!$C$26, $C$13, 100%, $E$13)</f>
        <v>4.1868999999999996</v>
      </c>
      <c r="F151" s="67">
        <f>4.1869 * CHOOSE(CONTROL!$C$26, $C$13, 100%, $E$13)</f>
        <v>4.1868999999999996</v>
      </c>
      <c r="G151" s="67">
        <f>4.1917 * CHOOSE(CONTROL!$C$26, $C$13, 100%, $E$13)</f>
        <v>4.1917</v>
      </c>
      <c r="H151" s="67">
        <f>7.7977* CHOOSE(CONTROL!$C$26, $C$13, 100%, $E$13)</f>
        <v>7.7976999999999999</v>
      </c>
      <c r="I151" s="67">
        <f>7.8025 * CHOOSE(CONTROL!$C$26, $C$13, 100%, $E$13)</f>
        <v>7.8025000000000002</v>
      </c>
      <c r="J151" s="67">
        <f>4.1869 * CHOOSE(CONTROL!$C$26, $C$13, 100%, $E$13)</f>
        <v>4.1868999999999996</v>
      </c>
      <c r="K151" s="67">
        <f>4.1917 * CHOOSE(CONTROL!$C$26, $C$13, 100%, $E$13)</f>
        <v>4.1917</v>
      </c>
      <c r="L151" s="4"/>
      <c r="M151" s="4"/>
      <c r="N151" s="4"/>
    </row>
    <row r="152" spans="1:14" ht="15">
      <c r="A152" s="13">
        <v>45748</v>
      </c>
      <c r="B152" s="66">
        <f>3.5386 * CHOOSE(CONTROL!$C$26, $C$13, 100%, $E$13)</f>
        <v>3.5386000000000002</v>
      </c>
      <c r="C152" s="66">
        <f>3.5386 * CHOOSE(CONTROL!$C$26, $C$13, 100%, $E$13)</f>
        <v>3.5386000000000002</v>
      </c>
      <c r="D152" s="66">
        <f>3.5425 * CHOOSE(CONTROL!$C$26, $C$13, 100%, $E$13)</f>
        <v>3.5425</v>
      </c>
      <c r="E152" s="67">
        <f>4.239 * CHOOSE(CONTROL!$C$26, $C$13, 100%, $E$13)</f>
        <v>4.2389999999999999</v>
      </c>
      <c r="F152" s="67">
        <f>4.239 * CHOOSE(CONTROL!$C$26, $C$13, 100%, $E$13)</f>
        <v>4.2389999999999999</v>
      </c>
      <c r="G152" s="67">
        <f>4.2438 * CHOOSE(CONTROL!$C$26, $C$13, 100%, $E$13)</f>
        <v>4.2438000000000002</v>
      </c>
      <c r="H152" s="67">
        <f>7.8139* CHOOSE(CONTROL!$C$26, $C$13, 100%, $E$13)</f>
        <v>7.8139000000000003</v>
      </c>
      <c r="I152" s="67">
        <f>7.8187 * CHOOSE(CONTROL!$C$26, $C$13, 100%, $E$13)</f>
        <v>7.8186999999999998</v>
      </c>
      <c r="J152" s="67">
        <f>4.239 * CHOOSE(CONTROL!$C$26, $C$13, 100%, $E$13)</f>
        <v>4.2389999999999999</v>
      </c>
      <c r="K152" s="67">
        <f>4.2438 * CHOOSE(CONTROL!$C$26, $C$13, 100%, $E$13)</f>
        <v>4.2438000000000002</v>
      </c>
      <c r="L152" s="4"/>
      <c r="M152" s="4"/>
      <c r="N152" s="4"/>
    </row>
    <row r="153" spans="1:14" ht="15">
      <c r="A153" s="13">
        <v>45778</v>
      </c>
      <c r="B153" s="66">
        <f>3.5386 * CHOOSE(CONTROL!$C$26, $C$13, 100%, $E$13)</f>
        <v>3.5386000000000002</v>
      </c>
      <c r="C153" s="66">
        <f>3.5386 * CHOOSE(CONTROL!$C$26, $C$13, 100%, $E$13)</f>
        <v>3.5386000000000002</v>
      </c>
      <c r="D153" s="66">
        <f>3.5442 * CHOOSE(CONTROL!$C$26, $C$13, 100%, $E$13)</f>
        <v>3.5442</v>
      </c>
      <c r="E153" s="67">
        <f>4.2602 * CHOOSE(CONTROL!$C$26, $C$13, 100%, $E$13)</f>
        <v>4.2602000000000002</v>
      </c>
      <c r="F153" s="67">
        <f>4.2602 * CHOOSE(CONTROL!$C$26, $C$13, 100%, $E$13)</f>
        <v>4.2602000000000002</v>
      </c>
      <c r="G153" s="67">
        <f>4.2669 * CHOOSE(CONTROL!$C$26, $C$13, 100%, $E$13)</f>
        <v>4.2668999999999997</v>
      </c>
      <c r="H153" s="67">
        <f>7.8302* CHOOSE(CONTROL!$C$26, $C$13, 100%, $E$13)</f>
        <v>7.8301999999999996</v>
      </c>
      <c r="I153" s="67">
        <f>7.837 * CHOOSE(CONTROL!$C$26, $C$13, 100%, $E$13)</f>
        <v>7.8369999999999997</v>
      </c>
      <c r="J153" s="67">
        <f>4.2602 * CHOOSE(CONTROL!$C$26, $C$13, 100%, $E$13)</f>
        <v>4.2602000000000002</v>
      </c>
      <c r="K153" s="67">
        <f>4.2669 * CHOOSE(CONTROL!$C$26, $C$13, 100%, $E$13)</f>
        <v>4.2668999999999997</v>
      </c>
      <c r="L153" s="4"/>
      <c r="M153" s="4"/>
      <c r="N153" s="4"/>
    </row>
    <row r="154" spans="1:14" ht="15">
      <c r="A154" s="13">
        <v>45809</v>
      </c>
      <c r="B154" s="66">
        <f>3.5447 * CHOOSE(CONTROL!$C$26, $C$13, 100%, $E$13)</f>
        <v>3.5447000000000002</v>
      </c>
      <c r="C154" s="66">
        <f>3.5447 * CHOOSE(CONTROL!$C$26, $C$13, 100%, $E$13)</f>
        <v>3.5447000000000002</v>
      </c>
      <c r="D154" s="66">
        <f>3.5502 * CHOOSE(CONTROL!$C$26, $C$13, 100%, $E$13)</f>
        <v>3.5501999999999998</v>
      </c>
      <c r="E154" s="67">
        <f>4.2433 * CHOOSE(CONTROL!$C$26, $C$13, 100%, $E$13)</f>
        <v>4.2432999999999996</v>
      </c>
      <c r="F154" s="67">
        <f>4.2433 * CHOOSE(CONTROL!$C$26, $C$13, 100%, $E$13)</f>
        <v>4.2432999999999996</v>
      </c>
      <c r="G154" s="67">
        <f>4.25 * CHOOSE(CONTROL!$C$26, $C$13, 100%, $E$13)</f>
        <v>4.25</v>
      </c>
      <c r="H154" s="67">
        <f>7.8465* CHOOSE(CONTROL!$C$26, $C$13, 100%, $E$13)</f>
        <v>7.8464999999999998</v>
      </c>
      <c r="I154" s="67">
        <f>7.8533 * CHOOSE(CONTROL!$C$26, $C$13, 100%, $E$13)</f>
        <v>7.8532999999999999</v>
      </c>
      <c r="J154" s="67">
        <f>4.2433 * CHOOSE(CONTROL!$C$26, $C$13, 100%, $E$13)</f>
        <v>4.2432999999999996</v>
      </c>
      <c r="K154" s="67">
        <f>4.25 * CHOOSE(CONTROL!$C$26, $C$13, 100%, $E$13)</f>
        <v>4.25</v>
      </c>
      <c r="L154" s="4"/>
      <c r="M154" s="4"/>
      <c r="N154" s="4"/>
    </row>
    <row r="155" spans="1:14" ht="15">
      <c r="A155" s="13">
        <v>45839</v>
      </c>
      <c r="B155" s="66">
        <f>3.5989 * CHOOSE(CONTROL!$C$26, $C$13, 100%, $E$13)</f>
        <v>3.5989</v>
      </c>
      <c r="C155" s="66">
        <f>3.5989 * CHOOSE(CONTROL!$C$26, $C$13, 100%, $E$13)</f>
        <v>3.5989</v>
      </c>
      <c r="D155" s="66">
        <f>3.6044 * CHOOSE(CONTROL!$C$26, $C$13, 100%, $E$13)</f>
        <v>3.6044</v>
      </c>
      <c r="E155" s="67">
        <f>4.3194 * CHOOSE(CONTROL!$C$26, $C$13, 100%, $E$13)</f>
        <v>4.3193999999999999</v>
      </c>
      <c r="F155" s="67">
        <f>4.3194 * CHOOSE(CONTROL!$C$26, $C$13, 100%, $E$13)</f>
        <v>4.3193999999999999</v>
      </c>
      <c r="G155" s="67">
        <f>4.3262 * CHOOSE(CONTROL!$C$26, $C$13, 100%, $E$13)</f>
        <v>4.3262</v>
      </c>
      <c r="H155" s="67">
        <f>7.8629* CHOOSE(CONTROL!$C$26, $C$13, 100%, $E$13)</f>
        <v>7.8628999999999998</v>
      </c>
      <c r="I155" s="67">
        <f>7.8696 * CHOOSE(CONTROL!$C$26, $C$13, 100%, $E$13)</f>
        <v>7.8696000000000002</v>
      </c>
      <c r="J155" s="67">
        <f>4.3194 * CHOOSE(CONTROL!$C$26, $C$13, 100%, $E$13)</f>
        <v>4.3193999999999999</v>
      </c>
      <c r="K155" s="67">
        <f>4.3262 * CHOOSE(CONTROL!$C$26, $C$13, 100%, $E$13)</f>
        <v>4.3262</v>
      </c>
      <c r="L155" s="4"/>
      <c r="M155" s="4"/>
      <c r="N155" s="4"/>
    </row>
    <row r="156" spans="1:14" ht="15">
      <c r="A156" s="13">
        <v>45870</v>
      </c>
      <c r="B156" s="66">
        <f>3.6055 * CHOOSE(CONTROL!$C$26, $C$13, 100%, $E$13)</f>
        <v>3.6055000000000001</v>
      </c>
      <c r="C156" s="66">
        <f>3.6055 * CHOOSE(CONTROL!$C$26, $C$13, 100%, $E$13)</f>
        <v>3.6055000000000001</v>
      </c>
      <c r="D156" s="66">
        <f>3.611 * CHOOSE(CONTROL!$C$26, $C$13, 100%, $E$13)</f>
        <v>3.6110000000000002</v>
      </c>
      <c r="E156" s="67">
        <f>4.2607 * CHOOSE(CONTROL!$C$26, $C$13, 100%, $E$13)</f>
        <v>4.2606999999999999</v>
      </c>
      <c r="F156" s="67">
        <f>4.2607 * CHOOSE(CONTROL!$C$26, $C$13, 100%, $E$13)</f>
        <v>4.2606999999999999</v>
      </c>
      <c r="G156" s="67">
        <f>4.2674 * CHOOSE(CONTROL!$C$26, $C$13, 100%, $E$13)</f>
        <v>4.2674000000000003</v>
      </c>
      <c r="H156" s="67">
        <f>7.8793* CHOOSE(CONTROL!$C$26, $C$13, 100%, $E$13)</f>
        <v>7.8792999999999997</v>
      </c>
      <c r="I156" s="67">
        <f>7.886 * CHOOSE(CONTROL!$C$26, $C$13, 100%, $E$13)</f>
        <v>7.8860000000000001</v>
      </c>
      <c r="J156" s="67">
        <f>4.2607 * CHOOSE(CONTROL!$C$26, $C$13, 100%, $E$13)</f>
        <v>4.2606999999999999</v>
      </c>
      <c r="K156" s="67">
        <f>4.2674 * CHOOSE(CONTROL!$C$26, $C$13, 100%, $E$13)</f>
        <v>4.2674000000000003</v>
      </c>
      <c r="L156" s="4"/>
      <c r="M156" s="4"/>
      <c r="N156" s="4"/>
    </row>
    <row r="157" spans="1:14" ht="15">
      <c r="A157" s="13">
        <v>45901</v>
      </c>
      <c r="B157" s="66">
        <f>3.6025 * CHOOSE(CONTROL!$C$26, $C$13, 100%, $E$13)</f>
        <v>3.6025</v>
      </c>
      <c r="C157" s="66">
        <f>3.6025 * CHOOSE(CONTROL!$C$26, $C$13, 100%, $E$13)</f>
        <v>3.6025</v>
      </c>
      <c r="D157" s="66">
        <f>3.608 * CHOOSE(CONTROL!$C$26, $C$13, 100%, $E$13)</f>
        <v>3.6080000000000001</v>
      </c>
      <c r="E157" s="67">
        <f>4.2515 * CHOOSE(CONTROL!$C$26, $C$13, 100%, $E$13)</f>
        <v>4.2515000000000001</v>
      </c>
      <c r="F157" s="67">
        <f>4.2515 * CHOOSE(CONTROL!$C$26, $C$13, 100%, $E$13)</f>
        <v>4.2515000000000001</v>
      </c>
      <c r="G157" s="67">
        <f>4.2583 * CHOOSE(CONTROL!$C$26, $C$13, 100%, $E$13)</f>
        <v>4.2583000000000002</v>
      </c>
      <c r="H157" s="67">
        <f>7.8957* CHOOSE(CONTROL!$C$26, $C$13, 100%, $E$13)</f>
        <v>7.8956999999999997</v>
      </c>
      <c r="I157" s="67">
        <f>7.9024 * CHOOSE(CONTROL!$C$26, $C$13, 100%, $E$13)</f>
        <v>7.9024000000000001</v>
      </c>
      <c r="J157" s="67">
        <f>4.2515 * CHOOSE(CONTROL!$C$26, $C$13, 100%, $E$13)</f>
        <v>4.2515000000000001</v>
      </c>
      <c r="K157" s="67">
        <f>4.2583 * CHOOSE(CONTROL!$C$26, $C$13, 100%, $E$13)</f>
        <v>4.2583000000000002</v>
      </c>
      <c r="L157" s="4"/>
      <c r="M157" s="4"/>
      <c r="N157" s="4"/>
    </row>
    <row r="158" spans="1:14" ht="15">
      <c r="A158" s="13">
        <v>45931</v>
      </c>
      <c r="B158" s="66">
        <f>3.596 * CHOOSE(CONTROL!$C$26, $C$13, 100%, $E$13)</f>
        <v>3.5960000000000001</v>
      </c>
      <c r="C158" s="66">
        <f>3.596 * CHOOSE(CONTROL!$C$26, $C$13, 100%, $E$13)</f>
        <v>3.5960000000000001</v>
      </c>
      <c r="D158" s="66">
        <f>3.5998 * CHOOSE(CONTROL!$C$26, $C$13, 100%, $E$13)</f>
        <v>3.5998000000000001</v>
      </c>
      <c r="E158" s="67">
        <f>4.2663 * CHOOSE(CONTROL!$C$26, $C$13, 100%, $E$13)</f>
        <v>4.2663000000000002</v>
      </c>
      <c r="F158" s="67">
        <f>4.2663 * CHOOSE(CONTROL!$C$26, $C$13, 100%, $E$13)</f>
        <v>4.2663000000000002</v>
      </c>
      <c r="G158" s="67">
        <f>4.2711 * CHOOSE(CONTROL!$C$26, $C$13, 100%, $E$13)</f>
        <v>4.2710999999999997</v>
      </c>
      <c r="H158" s="67">
        <f>7.9121* CHOOSE(CONTROL!$C$26, $C$13, 100%, $E$13)</f>
        <v>7.9120999999999997</v>
      </c>
      <c r="I158" s="67">
        <f>7.9169 * CHOOSE(CONTROL!$C$26, $C$13, 100%, $E$13)</f>
        <v>7.9169</v>
      </c>
      <c r="J158" s="67">
        <f>4.2663 * CHOOSE(CONTROL!$C$26, $C$13, 100%, $E$13)</f>
        <v>4.2663000000000002</v>
      </c>
      <c r="K158" s="67">
        <f>4.2711 * CHOOSE(CONTROL!$C$26, $C$13, 100%, $E$13)</f>
        <v>4.2710999999999997</v>
      </c>
      <c r="L158" s="4"/>
      <c r="M158" s="4"/>
      <c r="N158" s="4"/>
    </row>
    <row r="159" spans="1:14" ht="15">
      <c r="A159" s="13">
        <v>45962</v>
      </c>
      <c r="B159" s="66">
        <f>3.599 * CHOOSE(CONTROL!$C$26, $C$13, 100%, $E$13)</f>
        <v>3.5990000000000002</v>
      </c>
      <c r="C159" s="66">
        <f>3.599 * CHOOSE(CONTROL!$C$26, $C$13, 100%, $E$13)</f>
        <v>3.5990000000000002</v>
      </c>
      <c r="D159" s="66">
        <f>3.6029 * CHOOSE(CONTROL!$C$26, $C$13, 100%, $E$13)</f>
        <v>3.6029</v>
      </c>
      <c r="E159" s="67">
        <f>4.2825 * CHOOSE(CONTROL!$C$26, $C$13, 100%, $E$13)</f>
        <v>4.2824999999999998</v>
      </c>
      <c r="F159" s="67">
        <f>4.2825 * CHOOSE(CONTROL!$C$26, $C$13, 100%, $E$13)</f>
        <v>4.2824999999999998</v>
      </c>
      <c r="G159" s="67">
        <f>4.2873 * CHOOSE(CONTROL!$C$26, $C$13, 100%, $E$13)</f>
        <v>4.2873000000000001</v>
      </c>
      <c r="H159" s="67">
        <f>7.9286* CHOOSE(CONTROL!$C$26, $C$13, 100%, $E$13)</f>
        <v>7.9286000000000003</v>
      </c>
      <c r="I159" s="67">
        <f>7.9334 * CHOOSE(CONTROL!$C$26, $C$13, 100%, $E$13)</f>
        <v>7.9333999999999998</v>
      </c>
      <c r="J159" s="67">
        <f>4.2825 * CHOOSE(CONTROL!$C$26, $C$13, 100%, $E$13)</f>
        <v>4.2824999999999998</v>
      </c>
      <c r="K159" s="67">
        <f>4.2873 * CHOOSE(CONTROL!$C$26, $C$13, 100%, $E$13)</f>
        <v>4.2873000000000001</v>
      </c>
    </row>
    <row r="160" spans="1:14" ht="15">
      <c r="A160" s="13">
        <v>45992</v>
      </c>
      <c r="B160" s="66">
        <f>3.599 * CHOOSE(CONTROL!$C$26, $C$13, 100%, $E$13)</f>
        <v>3.5990000000000002</v>
      </c>
      <c r="C160" s="66">
        <f>3.599 * CHOOSE(CONTROL!$C$26, $C$13, 100%, $E$13)</f>
        <v>3.5990000000000002</v>
      </c>
      <c r="D160" s="66">
        <f>3.6029 * CHOOSE(CONTROL!$C$26, $C$13, 100%, $E$13)</f>
        <v>3.6029</v>
      </c>
      <c r="E160" s="67">
        <f>4.2473 * CHOOSE(CONTROL!$C$26, $C$13, 100%, $E$13)</f>
        <v>4.2473000000000001</v>
      </c>
      <c r="F160" s="67">
        <f>4.2473 * CHOOSE(CONTROL!$C$26, $C$13, 100%, $E$13)</f>
        <v>4.2473000000000001</v>
      </c>
      <c r="G160" s="67">
        <f>4.252 * CHOOSE(CONTROL!$C$26, $C$13, 100%, $E$13)</f>
        <v>4.2519999999999998</v>
      </c>
      <c r="H160" s="67">
        <f>7.9451* CHOOSE(CONTROL!$C$26, $C$13, 100%, $E$13)</f>
        <v>7.9451000000000001</v>
      </c>
      <c r="I160" s="67">
        <f>7.9499 * CHOOSE(CONTROL!$C$26, $C$13, 100%, $E$13)</f>
        <v>7.9499000000000004</v>
      </c>
      <c r="J160" s="67">
        <f>4.2473 * CHOOSE(CONTROL!$C$26, $C$13, 100%, $E$13)</f>
        <v>4.2473000000000001</v>
      </c>
      <c r="K160" s="67">
        <f>4.252 * CHOOSE(CONTROL!$C$26, $C$13, 100%, $E$13)</f>
        <v>4.2519999999999998</v>
      </c>
    </row>
    <row r="161" spans="1:11" ht="15">
      <c r="A161" s="13">
        <v>46023</v>
      </c>
      <c r="B161" s="66">
        <f>3.6288 * CHOOSE(CONTROL!$C$26, $C$13, 100%, $E$13)</f>
        <v>3.6288</v>
      </c>
      <c r="C161" s="66">
        <f>3.6288 * CHOOSE(CONTROL!$C$26, $C$13, 100%, $E$13)</f>
        <v>3.6288</v>
      </c>
      <c r="D161" s="66">
        <f>3.6327 * CHOOSE(CONTROL!$C$26, $C$13, 100%, $E$13)</f>
        <v>3.6326999999999998</v>
      </c>
      <c r="E161" s="67">
        <f>4.3063 * CHOOSE(CONTROL!$C$26, $C$13, 100%, $E$13)</f>
        <v>4.3063000000000002</v>
      </c>
      <c r="F161" s="67">
        <f>4.3063 * CHOOSE(CONTROL!$C$26, $C$13, 100%, $E$13)</f>
        <v>4.3063000000000002</v>
      </c>
      <c r="G161" s="67">
        <f>4.3111 * CHOOSE(CONTROL!$C$26, $C$13, 100%, $E$13)</f>
        <v>4.3110999999999997</v>
      </c>
      <c r="H161" s="67">
        <f>7.9617* CHOOSE(CONTROL!$C$26, $C$13, 100%, $E$13)</f>
        <v>7.9617000000000004</v>
      </c>
      <c r="I161" s="67">
        <f>7.9665 * CHOOSE(CONTROL!$C$26, $C$13, 100%, $E$13)</f>
        <v>7.9664999999999999</v>
      </c>
      <c r="J161" s="67">
        <f>4.3063 * CHOOSE(CONTROL!$C$26, $C$13, 100%, $E$13)</f>
        <v>4.3063000000000002</v>
      </c>
      <c r="K161" s="67">
        <f>4.3111 * CHOOSE(CONTROL!$C$26, $C$13, 100%, $E$13)</f>
        <v>4.3110999999999997</v>
      </c>
    </row>
    <row r="162" spans="1:11" ht="15">
      <c r="A162" s="13">
        <v>46054</v>
      </c>
      <c r="B162" s="66">
        <f>3.6257 * CHOOSE(CONTROL!$C$26, $C$13, 100%, $E$13)</f>
        <v>3.6257000000000001</v>
      </c>
      <c r="C162" s="66">
        <f>3.6257 * CHOOSE(CONTROL!$C$26, $C$13, 100%, $E$13)</f>
        <v>3.6257000000000001</v>
      </c>
      <c r="D162" s="66">
        <f>3.6296 * CHOOSE(CONTROL!$C$26, $C$13, 100%, $E$13)</f>
        <v>3.6295999999999999</v>
      </c>
      <c r="E162" s="67">
        <f>4.236 * CHOOSE(CONTROL!$C$26, $C$13, 100%, $E$13)</f>
        <v>4.2359999999999998</v>
      </c>
      <c r="F162" s="67">
        <f>4.236 * CHOOSE(CONTROL!$C$26, $C$13, 100%, $E$13)</f>
        <v>4.2359999999999998</v>
      </c>
      <c r="G162" s="67">
        <f>4.2407 * CHOOSE(CONTROL!$C$26, $C$13, 100%, $E$13)</f>
        <v>4.2407000000000004</v>
      </c>
      <c r="H162" s="67">
        <f>7.9783* CHOOSE(CONTROL!$C$26, $C$13, 100%, $E$13)</f>
        <v>7.9782999999999999</v>
      </c>
      <c r="I162" s="67">
        <f>7.983 * CHOOSE(CONTROL!$C$26, $C$13, 100%, $E$13)</f>
        <v>7.9829999999999997</v>
      </c>
      <c r="J162" s="67">
        <f>4.236 * CHOOSE(CONTROL!$C$26, $C$13, 100%, $E$13)</f>
        <v>4.2359999999999998</v>
      </c>
      <c r="K162" s="67">
        <f>4.2407 * CHOOSE(CONTROL!$C$26, $C$13, 100%, $E$13)</f>
        <v>4.2407000000000004</v>
      </c>
    </row>
    <row r="163" spans="1:11" ht="15">
      <c r="A163" s="13">
        <v>46082</v>
      </c>
      <c r="B163" s="66">
        <f>3.6227 * CHOOSE(CONTROL!$C$26, $C$13, 100%, $E$13)</f>
        <v>3.6227</v>
      </c>
      <c r="C163" s="66">
        <f>3.6227 * CHOOSE(CONTROL!$C$26, $C$13, 100%, $E$13)</f>
        <v>3.6227</v>
      </c>
      <c r="D163" s="66">
        <f>3.6266 * CHOOSE(CONTROL!$C$26, $C$13, 100%, $E$13)</f>
        <v>3.6265999999999998</v>
      </c>
      <c r="E163" s="67">
        <f>4.2876 * CHOOSE(CONTROL!$C$26, $C$13, 100%, $E$13)</f>
        <v>4.2876000000000003</v>
      </c>
      <c r="F163" s="67">
        <f>4.2876 * CHOOSE(CONTROL!$C$26, $C$13, 100%, $E$13)</f>
        <v>4.2876000000000003</v>
      </c>
      <c r="G163" s="67">
        <f>4.2924 * CHOOSE(CONTROL!$C$26, $C$13, 100%, $E$13)</f>
        <v>4.2923999999999998</v>
      </c>
      <c r="H163" s="67">
        <f>7.9949* CHOOSE(CONTROL!$C$26, $C$13, 100%, $E$13)</f>
        <v>7.9949000000000003</v>
      </c>
      <c r="I163" s="67">
        <f>7.9997 * CHOOSE(CONTROL!$C$26, $C$13, 100%, $E$13)</f>
        <v>7.9996999999999998</v>
      </c>
      <c r="J163" s="67">
        <f>4.2876 * CHOOSE(CONTROL!$C$26, $C$13, 100%, $E$13)</f>
        <v>4.2876000000000003</v>
      </c>
      <c r="K163" s="67">
        <f>4.2924 * CHOOSE(CONTROL!$C$26, $C$13, 100%, $E$13)</f>
        <v>4.2923999999999998</v>
      </c>
    </row>
    <row r="164" spans="1:11" ht="15">
      <c r="A164" s="13">
        <v>46113</v>
      </c>
      <c r="B164" s="66">
        <f>3.62 * CHOOSE(CONTROL!$C$26, $C$13, 100%, $E$13)</f>
        <v>3.62</v>
      </c>
      <c r="C164" s="66">
        <f>3.62 * CHOOSE(CONTROL!$C$26, $C$13, 100%, $E$13)</f>
        <v>3.62</v>
      </c>
      <c r="D164" s="66">
        <f>3.6238 * CHOOSE(CONTROL!$C$26, $C$13, 100%, $E$13)</f>
        <v>3.6238000000000001</v>
      </c>
      <c r="E164" s="67">
        <f>4.3412 * CHOOSE(CONTROL!$C$26, $C$13, 100%, $E$13)</f>
        <v>4.3411999999999997</v>
      </c>
      <c r="F164" s="67">
        <f>4.3412 * CHOOSE(CONTROL!$C$26, $C$13, 100%, $E$13)</f>
        <v>4.3411999999999997</v>
      </c>
      <c r="G164" s="67">
        <f>4.3459 * CHOOSE(CONTROL!$C$26, $C$13, 100%, $E$13)</f>
        <v>4.3459000000000003</v>
      </c>
      <c r="H164" s="67">
        <f>8.0115* CHOOSE(CONTROL!$C$26, $C$13, 100%, $E$13)</f>
        <v>8.0114999999999998</v>
      </c>
      <c r="I164" s="67">
        <f>8.0163 * CHOOSE(CONTROL!$C$26, $C$13, 100%, $E$13)</f>
        <v>8.0162999999999993</v>
      </c>
      <c r="J164" s="67">
        <f>4.3412 * CHOOSE(CONTROL!$C$26, $C$13, 100%, $E$13)</f>
        <v>4.3411999999999997</v>
      </c>
      <c r="K164" s="67">
        <f>4.3459 * CHOOSE(CONTROL!$C$26, $C$13, 100%, $E$13)</f>
        <v>4.3459000000000003</v>
      </c>
    </row>
    <row r="165" spans="1:11" ht="15">
      <c r="A165" s="13">
        <v>46143</v>
      </c>
      <c r="B165" s="66">
        <f>3.62 * CHOOSE(CONTROL!$C$26, $C$13, 100%, $E$13)</f>
        <v>3.62</v>
      </c>
      <c r="C165" s="66">
        <f>3.62 * CHOOSE(CONTROL!$C$26, $C$13, 100%, $E$13)</f>
        <v>3.62</v>
      </c>
      <c r="D165" s="66">
        <f>3.6255 * CHOOSE(CONTROL!$C$26, $C$13, 100%, $E$13)</f>
        <v>3.6255000000000002</v>
      </c>
      <c r="E165" s="67">
        <f>4.3628 * CHOOSE(CONTROL!$C$26, $C$13, 100%, $E$13)</f>
        <v>4.3628</v>
      </c>
      <c r="F165" s="67">
        <f>4.3628 * CHOOSE(CONTROL!$C$26, $C$13, 100%, $E$13)</f>
        <v>4.3628</v>
      </c>
      <c r="G165" s="67">
        <f>4.3696 * CHOOSE(CONTROL!$C$26, $C$13, 100%, $E$13)</f>
        <v>4.3696000000000002</v>
      </c>
      <c r="H165" s="67">
        <f>8.0282* CHOOSE(CONTROL!$C$26, $C$13, 100%, $E$13)</f>
        <v>8.0282</v>
      </c>
      <c r="I165" s="67">
        <f>8.035 * CHOOSE(CONTROL!$C$26, $C$13, 100%, $E$13)</f>
        <v>8.0350000000000001</v>
      </c>
      <c r="J165" s="67">
        <f>4.3628 * CHOOSE(CONTROL!$C$26, $C$13, 100%, $E$13)</f>
        <v>4.3628</v>
      </c>
      <c r="K165" s="67">
        <f>4.3696 * CHOOSE(CONTROL!$C$26, $C$13, 100%, $E$13)</f>
        <v>4.3696000000000002</v>
      </c>
    </row>
    <row r="166" spans="1:11" ht="15">
      <c r="A166" s="13">
        <v>46174</v>
      </c>
      <c r="B166" s="66">
        <f>3.626 * CHOOSE(CONTROL!$C$26, $C$13, 100%, $E$13)</f>
        <v>3.6259999999999999</v>
      </c>
      <c r="C166" s="66">
        <f>3.626 * CHOOSE(CONTROL!$C$26, $C$13, 100%, $E$13)</f>
        <v>3.6259999999999999</v>
      </c>
      <c r="D166" s="66">
        <f>3.6315 * CHOOSE(CONTROL!$C$26, $C$13, 100%, $E$13)</f>
        <v>3.6315</v>
      </c>
      <c r="E166" s="67">
        <f>4.3454 * CHOOSE(CONTROL!$C$26, $C$13, 100%, $E$13)</f>
        <v>4.3453999999999997</v>
      </c>
      <c r="F166" s="67">
        <f>4.3454 * CHOOSE(CONTROL!$C$26, $C$13, 100%, $E$13)</f>
        <v>4.3453999999999997</v>
      </c>
      <c r="G166" s="67">
        <f>4.3521 * CHOOSE(CONTROL!$C$26, $C$13, 100%, $E$13)</f>
        <v>4.3521000000000001</v>
      </c>
      <c r="H166" s="67">
        <f>8.045* CHOOSE(CONTROL!$C$26, $C$13, 100%, $E$13)</f>
        <v>8.0449999999999999</v>
      </c>
      <c r="I166" s="67">
        <f>8.0517 * CHOOSE(CONTROL!$C$26, $C$13, 100%, $E$13)</f>
        <v>8.0517000000000003</v>
      </c>
      <c r="J166" s="67">
        <f>4.3454 * CHOOSE(CONTROL!$C$26, $C$13, 100%, $E$13)</f>
        <v>4.3453999999999997</v>
      </c>
      <c r="K166" s="67">
        <f>4.3521 * CHOOSE(CONTROL!$C$26, $C$13, 100%, $E$13)</f>
        <v>4.3521000000000001</v>
      </c>
    </row>
    <row r="167" spans="1:11" ht="15">
      <c r="A167" s="13">
        <v>46204</v>
      </c>
      <c r="B167" s="66">
        <f>3.6807 * CHOOSE(CONTROL!$C$26, $C$13, 100%, $E$13)</f>
        <v>3.6806999999999999</v>
      </c>
      <c r="C167" s="66">
        <f>3.6807 * CHOOSE(CONTROL!$C$26, $C$13, 100%, $E$13)</f>
        <v>3.6806999999999999</v>
      </c>
      <c r="D167" s="66">
        <f>3.6862 * CHOOSE(CONTROL!$C$26, $C$13, 100%, $E$13)</f>
        <v>3.6861999999999999</v>
      </c>
      <c r="E167" s="67">
        <f>4.4213 * CHOOSE(CONTROL!$C$26, $C$13, 100%, $E$13)</f>
        <v>4.4212999999999996</v>
      </c>
      <c r="F167" s="67">
        <f>4.4213 * CHOOSE(CONTROL!$C$26, $C$13, 100%, $E$13)</f>
        <v>4.4212999999999996</v>
      </c>
      <c r="G167" s="67">
        <f>4.428 * CHOOSE(CONTROL!$C$26, $C$13, 100%, $E$13)</f>
        <v>4.4279999999999999</v>
      </c>
      <c r="H167" s="67">
        <f>8.0617* CHOOSE(CONTROL!$C$26, $C$13, 100%, $E$13)</f>
        <v>8.0617000000000001</v>
      </c>
      <c r="I167" s="67">
        <f>8.0685 * CHOOSE(CONTROL!$C$26, $C$13, 100%, $E$13)</f>
        <v>8.0685000000000002</v>
      </c>
      <c r="J167" s="67">
        <f>4.4213 * CHOOSE(CONTROL!$C$26, $C$13, 100%, $E$13)</f>
        <v>4.4212999999999996</v>
      </c>
      <c r="K167" s="67">
        <f>4.428 * CHOOSE(CONTROL!$C$26, $C$13, 100%, $E$13)</f>
        <v>4.4279999999999999</v>
      </c>
    </row>
    <row r="168" spans="1:11" ht="15">
      <c r="A168" s="13">
        <v>46235</v>
      </c>
      <c r="B168" s="66">
        <f>3.6874 * CHOOSE(CONTROL!$C$26, $C$13, 100%, $E$13)</f>
        <v>3.6873999999999998</v>
      </c>
      <c r="C168" s="66">
        <f>3.6874 * CHOOSE(CONTROL!$C$26, $C$13, 100%, $E$13)</f>
        <v>3.6873999999999998</v>
      </c>
      <c r="D168" s="66">
        <f>3.6929 * CHOOSE(CONTROL!$C$26, $C$13, 100%, $E$13)</f>
        <v>3.6928999999999998</v>
      </c>
      <c r="E168" s="67">
        <f>4.3609 * CHOOSE(CONTROL!$C$26, $C$13, 100%, $E$13)</f>
        <v>4.3609</v>
      </c>
      <c r="F168" s="67">
        <f>4.3609 * CHOOSE(CONTROL!$C$26, $C$13, 100%, $E$13)</f>
        <v>4.3609</v>
      </c>
      <c r="G168" s="67">
        <f>4.3677 * CHOOSE(CONTROL!$C$26, $C$13, 100%, $E$13)</f>
        <v>4.3677000000000001</v>
      </c>
      <c r="H168" s="67">
        <f>8.0785* CHOOSE(CONTROL!$C$26, $C$13, 100%, $E$13)</f>
        <v>8.0785</v>
      </c>
      <c r="I168" s="67">
        <f>8.0853 * CHOOSE(CONTROL!$C$26, $C$13, 100%, $E$13)</f>
        <v>8.0853000000000002</v>
      </c>
      <c r="J168" s="67">
        <f>4.3609 * CHOOSE(CONTROL!$C$26, $C$13, 100%, $E$13)</f>
        <v>4.3609</v>
      </c>
      <c r="K168" s="67">
        <f>4.3677 * CHOOSE(CONTROL!$C$26, $C$13, 100%, $E$13)</f>
        <v>4.3677000000000001</v>
      </c>
    </row>
    <row r="169" spans="1:11" ht="15">
      <c r="A169" s="13">
        <v>46266</v>
      </c>
      <c r="B169" s="66">
        <f>3.6843 * CHOOSE(CONTROL!$C$26, $C$13, 100%, $E$13)</f>
        <v>3.6842999999999999</v>
      </c>
      <c r="C169" s="66">
        <f>3.6843 * CHOOSE(CONTROL!$C$26, $C$13, 100%, $E$13)</f>
        <v>3.6842999999999999</v>
      </c>
      <c r="D169" s="66">
        <f>3.6898 * CHOOSE(CONTROL!$C$26, $C$13, 100%, $E$13)</f>
        <v>3.6898</v>
      </c>
      <c r="E169" s="67">
        <f>4.3516 * CHOOSE(CONTROL!$C$26, $C$13, 100%, $E$13)</f>
        <v>4.3516000000000004</v>
      </c>
      <c r="F169" s="67">
        <f>4.3516 * CHOOSE(CONTROL!$C$26, $C$13, 100%, $E$13)</f>
        <v>4.3516000000000004</v>
      </c>
      <c r="G169" s="67">
        <f>4.3583 * CHOOSE(CONTROL!$C$26, $C$13, 100%, $E$13)</f>
        <v>4.3582999999999998</v>
      </c>
      <c r="H169" s="67">
        <f>8.0953* CHOOSE(CONTROL!$C$26, $C$13, 100%, $E$13)</f>
        <v>8.0952999999999999</v>
      </c>
      <c r="I169" s="67">
        <f>8.1021 * CHOOSE(CONTROL!$C$26, $C$13, 100%, $E$13)</f>
        <v>8.1021000000000001</v>
      </c>
      <c r="J169" s="67">
        <f>4.3516 * CHOOSE(CONTROL!$C$26, $C$13, 100%, $E$13)</f>
        <v>4.3516000000000004</v>
      </c>
      <c r="K169" s="67">
        <f>4.3583 * CHOOSE(CONTROL!$C$26, $C$13, 100%, $E$13)</f>
        <v>4.3582999999999998</v>
      </c>
    </row>
    <row r="170" spans="1:11" ht="15">
      <c r="A170" s="13">
        <v>46296</v>
      </c>
      <c r="B170" s="66">
        <f>3.6781 * CHOOSE(CONTROL!$C$26, $C$13, 100%, $E$13)</f>
        <v>3.6781000000000001</v>
      </c>
      <c r="C170" s="66">
        <f>3.6781 * CHOOSE(CONTROL!$C$26, $C$13, 100%, $E$13)</f>
        <v>3.6781000000000001</v>
      </c>
      <c r="D170" s="66">
        <f>3.682 * CHOOSE(CONTROL!$C$26, $C$13, 100%, $E$13)</f>
        <v>3.6819999999999999</v>
      </c>
      <c r="E170" s="67">
        <f>4.3671 * CHOOSE(CONTROL!$C$26, $C$13, 100%, $E$13)</f>
        <v>4.3670999999999998</v>
      </c>
      <c r="F170" s="67">
        <f>4.3671 * CHOOSE(CONTROL!$C$26, $C$13, 100%, $E$13)</f>
        <v>4.3670999999999998</v>
      </c>
      <c r="G170" s="67">
        <f>4.3718 * CHOOSE(CONTROL!$C$26, $C$13, 100%, $E$13)</f>
        <v>4.3718000000000004</v>
      </c>
      <c r="H170" s="67">
        <f>8.1122* CHOOSE(CONTROL!$C$26, $C$13, 100%, $E$13)</f>
        <v>8.1121999999999996</v>
      </c>
      <c r="I170" s="67">
        <f>8.117 * CHOOSE(CONTROL!$C$26, $C$13, 100%, $E$13)</f>
        <v>8.1170000000000009</v>
      </c>
      <c r="J170" s="67">
        <f>4.3671 * CHOOSE(CONTROL!$C$26, $C$13, 100%, $E$13)</f>
        <v>4.3670999999999998</v>
      </c>
      <c r="K170" s="67">
        <f>4.3718 * CHOOSE(CONTROL!$C$26, $C$13, 100%, $E$13)</f>
        <v>4.3718000000000004</v>
      </c>
    </row>
    <row r="171" spans="1:11" ht="15">
      <c r="A171" s="13">
        <v>46327</v>
      </c>
      <c r="B171" s="66">
        <f>3.6811 * CHOOSE(CONTROL!$C$26, $C$13, 100%, $E$13)</f>
        <v>3.6810999999999998</v>
      </c>
      <c r="C171" s="66">
        <f>3.6811 * CHOOSE(CONTROL!$C$26, $C$13, 100%, $E$13)</f>
        <v>3.6810999999999998</v>
      </c>
      <c r="D171" s="66">
        <f>3.685 * CHOOSE(CONTROL!$C$26, $C$13, 100%, $E$13)</f>
        <v>3.6850000000000001</v>
      </c>
      <c r="E171" s="67">
        <f>4.3836 * CHOOSE(CONTROL!$C$26, $C$13, 100%, $E$13)</f>
        <v>4.3836000000000004</v>
      </c>
      <c r="F171" s="67">
        <f>4.3836 * CHOOSE(CONTROL!$C$26, $C$13, 100%, $E$13)</f>
        <v>4.3836000000000004</v>
      </c>
      <c r="G171" s="67">
        <f>4.3884 * CHOOSE(CONTROL!$C$26, $C$13, 100%, $E$13)</f>
        <v>4.3883999999999999</v>
      </c>
      <c r="H171" s="67">
        <f>8.1291* CHOOSE(CONTROL!$C$26, $C$13, 100%, $E$13)</f>
        <v>8.1290999999999993</v>
      </c>
      <c r="I171" s="67">
        <f>8.1339 * CHOOSE(CONTROL!$C$26, $C$13, 100%, $E$13)</f>
        <v>8.1339000000000006</v>
      </c>
      <c r="J171" s="67">
        <f>4.3836 * CHOOSE(CONTROL!$C$26, $C$13, 100%, $E$13)</f>
        <v>4.3836000000000004</v>
      </c>
      <c r="K171" s="67">
        <f>4.3884 * CHOOSE(CONTROL!$C$26, $C$13, 100%, $E$13)</f>
        <v>4.3883999999999999</v>
      </c>
    </row>
    <row r="172" spans="1:11" ht="15">
      <c r="A172" s="13">
        <v>46357</v>
      </c>
      <c r="B172" s="66">
        <f>3.6811 * CHOOSE(CONTROL!$C$26, $C$13, 100%, $E$13)</f>
        <v>3.6810999999999998</v>
      </c>
      <c r="C172" s="66">
        <f>3.6811 * CHOOSE(CONTROL!$C$26, $C$13, 100%, $E$13)</f>
        <v>3.6810999999999998</v>
      </c>
      <c r="D172" s="66">
        <f>3.685 * CHOOSE(CONTROL!$C$26, $C$13, 100%, $E$13)</f>
        <v>3.6850000000000001</v>
      </c>
      <c r="E172" s="67">
        <f>4.3475 * CHOOSE(CONTROL!$C$26, $C$13, 100%, $E$13)</f>
        <v>4.3475000000000001</v>
      </c>
      <c r="F172" s="67">
        <f>4.3475 * CHOOSE(CONTROL!$C$26, $C$13, 100%, $E$13)</f>
        <v>4.3475000000000001</v>
      </c>
      <c r="G172" s="67">
        <f>4.3523 * CHOOSE(CONTROL!$C$26, $C$13, 100%, $E$13)</f>
        <v>4.3522999999999996</v>
      </c>
      <c r="H172" s="67">
        <f>8.146* CHOOSE(CONTROL!$C$26, $C$13, 100%, $E$13)</f>
        <v>8.1460000000000008</v>
      </c>
      <c r="I172" s="67">
        <f>8.1508 * CHOOSE(CONTROL!$C$26, $C$13, 100%, $E$13)</f>
        <v>8.1508000000000003</v>
      </c>
      <c r="J172" s="67">
        <f>4.3475 * CHOOSE(CONTROL!$C$26, $C$13, 100%, $E$13)</f>
        <v>4.3475000000000001</v>
      </c>
      <c r="K172" s="67">
        <f>4.3523 * CHOOSE(CONTROL!$C$26, $C$13, 100%, $E$13)</f>
        <v>4.3522999999999996</v>
      </c>
    </row>
    <row r="173" spans="1:11" ht="15">
      <c r="A173" s="13">
        <v>46388</v>
      </c>
      <c r="B173" s="66">
        <f>3.7098 * CHOOSE(CONTROL!$C$26, $C$13, 100%, $E$13)</f>
        <v>3.7098</v>
      </c>
      <c r="C173" s="66">
        <f>3.7098 * CHOOSE(CONTROL!$C$26, $C$13, 100%, $E$13)</f>
        <v>3.7098</v>
      </c>
      <c r="D173" s="66">
        <f>3.7136 * CHOOSE(CONTROL!$C$26, $C$13, 100%, $E$13)</f>
        <v>3.7136</v>
      </c>
      <c r="E173" s="67">
        <f>4.4079 * CHOOSE(CONTROL!$C$26, $C$13, 100%, $E$13)</f>
        <v>4.4078999999999997</v>
      </c>
      <c r="F173" s="67">
        <f>4.4079 * CHOOSE(CONTROL!$C$26, $C$13, 100%, $E$13)</f>
        <v>4.4078999999999997</v>
      </c>
      <c r="G173" s="67">
        <f>4.4127 * CHOOSE(CONTROL!$C$26, $C$13, 100%, $E$13)</f>
        <v>4.4127000000000001</v>
      </c>
      <c r="H173" s="67">
        <f>8.163* CHOOSE(CONTROL!$C$26, $C$13, 100%, $E$13)</f>
        <v>8.1630000000000003</v>
      </c>
      <c r="I173" s="67">
        <f>8.1678 * CHOOSE(CONTROL!$C$26, $C$13, 100%, $E$13)</f>
        <v>8.1677999999999997</v>
      </c>
      <c r="J173" s="67">
        <f>4.4079 * CHOOSE(CONTROL!$C$26, $C$13, 100%, $E$13)</f>
        <v>4.4078999999999997</v>
      </c>
      <c r="K173" s="67">
        <f>4.4127 * CHOOSE(CONTROL!$C$26, $C$13, 100%, $E$13)</f>
        <v>4.4127000000000001</v>
      </c>
    </row>
    <row r="174" spans="1:11" ht="15">
      <c r="A174" s="13">
        <v>46419</v>
      </c>
      <c r="B174" s="66">
        <f>3.7067 * CHOOSE(CONTROL!$C$26, $C$13, 100%, $E$13)</f>
        <v>3.7067000000000001</v>
      </c>
      <c r="C174" s="66">
        <f>3.7067 * CHOOSE(CONTROL!$C$26, $C$13, 100%, $E$13)</f>
        <v>3.7067000000000001</v>
      </c>
      <c r="D174" s="66">
        <f>3.7106 * CHOOSE(CONTROL!$C$26, $C$13, 100%, $E$13)</f>
        <v>3.7105999999999999</v>
      </c>
      <c r="E174" s="67">
        <f>4.3359 * CHOOSE(CONTROL!$C$26, $C$13, 100%, $E$13)</f>
        <v>4.3358999999999996</v>
      </c>
      <c r="F174" s="67">
        <f>4.3359 * CHOOSE(CONTROL!$C$26, $C$13, 100%, $E$13)</f>
        <v>4.3358999999999996</v>
      </c>
      <c r="G174" s="67">
        <f>4.3406 * CHOOSE(CONTROL!$C$26, $C$13, 100%, $E$13)</f>
        <v>4.3406000000000002</v>
      </c>
      <c r="H174" s="67">
        <f>8.18* CHOOSE(CONTROL!$C$26, $C$13, 100%, $E$13)</f>
        <v>8.18</v>
      </c>
      <c r="I174" s="67">
        <f>8.1848 * CHOOSE(CONTROL!$C$26, $C$13, 100%, $E$13)</f>
        <v>8.1847999999999992</v>
      </c>
      <c r="J174" s="67">
        <f>4.3359 * CHOOSE(CONTROL!$C$26, $C$13, 100%, $E$13)</f>
        <v>4.3358999999999996</v>
      </c>
      <c r="K174" s="67">
        <f>4.3406 * CHOOSE(CONTROL!$C$26, $C$13, 100%, $E$13)</f>
        <v>4.3406000000000002</v>
      </c>
    </row>
    <row r="175" spans="1:11" ht="15">
      <c r="A175" s="13">
        <v>46447</v>
      </c>
      <c r="B175" s="66">
        <f>3.7037 * CHOOSE(CONTROL!$C$26, $C$13, 100%, $E$13)</f>
        <v>3.7037</v>
      </c>
      <c r="C175" s="66">
        <f>3.7037 * CHOOSE(CONTROL!$C$26, $C$13, 100%, $E$13)</f>
        <v>3.7037</v>
      </c>
      <c r="D175" s="66">
        <f>3.7076 * CHOOSE(CONTROL!$C$26, $C$13, 100%, $E$13)</f>
        <v>3.7075999999999998</v>
      </c>
      <c r="E175" s="67">
        <f>4.3889 * CHOOSE(CONTROL!$C$26, $C$13, 100%, $E$13)</f>
        <v>4.3888999999999996</v>
      </c>
      <c r="F175" s="67">
        <f>4.3889 * CHOOSE(CONTROL!$C$26, $C$13, 100%, $E$13)</f>
        <v>4.3888999999999996</v>
      </c>
      <c r="G175" s="67">
        <f>4.3937 * CHOOSE(CONTROL!$C$26, $C$13, 100%, $E$13)</f>
        <v>4.3936999999999999</v>
      </c>
      <c r="H175" s="67">
        <f>8.1971* CHOOSE(CONTROL!$C$26, $C$13, 100%, $E$13)</f>
        <v>8.1971000000000007</v>
      </c>
      <c r="I175" s="67">
        <f>8.2018 * CHOOSE(CONTROL!$C$26, $C$13, 100%, $E$13)</f>
        <v>8.2018000000000004</v>
      </c>
      <c r="J175" s="67">
        <f>4.3889 * CHOOSE(CONTROL!$C$26, $C$13, 100%, $E$13)</f>
        <v>4.3888999999999996</v>
      </c>
      <c r="K175" s="67">
        <f>4.3937 * CHOOSE(CONTROL!$C$26, $C$13, 100%, $E$13)</f>
        <v>4.3936999999999999</v>
      </c>
    </row>
    <row r="176" spans="1:11" ht="15">
      <c r="A176" s="13">
        <v>46478</v>
      </c>
      <c r="B176" s="66">
        <f>3.701 * CHOOSE(CONTROL!$C$26, $C$13, 100%, $E$13)</f>
        <v>3.7010000000000001</v>
      </c>
      <c r="C176" s="66">
        <f>3.701 * CHOOSE(CONTROL!$C$26, $C$13, 100%, $E$13)</f>
        <v>3.7010000000000001</v>
      </c>
      <c r="D176" s="66">
        <f>3.7049 * CHOOSE(CONTROL!$C$26, $C$13, 100%, $E$13)</f>
        <v>3.7048999999999999</v>
      </c>
      <c r="E176" s="67">
        <f>4.4439 * CHOOSE(CONTROL!$C$26, $C$13, 100%, $E$13)</f>
        <v>4.4439000000000002</v>
      </c>
      <c r="F176" s="67">
        <f>4.4439 * CHOOSE(CONTROL!$C$26, $C$13, 100%, $E$13)</f>
        <v>4.4439000000000002</v>
      </c>
      <c r="G176" s="67">
        <f>4.4487 * CHOOSE(CONTROL!$C$26, $C$13, 100%, $E$13)</f>
        <v>4.4486999999999997</v>
      </c>
      <c r="H176" s="67">
        <f>8.2141* CHOOSE(CONTROL!$C$26, $C$13, 100%, $E$13)</f>
        <v>8.2141000000000002</v>
      </c>
      <c r="I176" s="67">
        <f>8.2189 * CHOOSE(CONTROL!$C$26, $C$13, 100%, $E$13)</f>
        <v>8.2188999999999997</v>
      </c>
      <c r="J176" s="67">
        <f>4.4439 * CHOOSE(CONTROL!$C$26, $C$13, 100%, $E$13)</f>
        <v>4.4439000000000002</v>
      </c>
      <c r="K176" s="67">
        <f>4.4487 * CHOOSE(CONTROL!$C$26, $C$13, 100%, $E$13)</f>
        <v>4.4486999999999997</v>
      </c>
    </row>
    <row r="177" spans="1:11" ht="15">
      <c r="A177" s="13">
        <v>46508</v>
      </c>
      <c r="B177" s="66">
        <f>3.701 * CHOOSE(CONTROL!$C$26, $C$13, 100%, $E$13)</f>
        <v>3.7010000000000001</v>
      </c>
      <c r="C177" s="66">
        <f>3.701 * CHOOSE(CONTROL!$C$26, $C$13, 100%, $E$13)</f>
        <v>3.7010000000000001</v>
      </c>
      <c r="D177" s="66">
        <f>3.7065 * CHOOSE(CONTROL!$C$26, $C$13, 100%, $E$13)</f>
        <v>3.7065000000000001</v>
      </c>
      <c r="E177" s="67">
        <f>4.4661 * CHOOSE(CONTROL!$C$26, $C$13, 100%, $E$13)</f>
        <v>4.4661</v>
      </c>
      <c r="F177" s="67">
        <f>4.4661 * CHOOSE(CONTROL!$C$26, $C$13, 100%, $E$13)</f>
        <v>4.4661</v>
      </c>
      <c r="G177" s="67">
        <f>4.4728 * CHOOSE(CONTROL!$C$26, $C$13, 100%, $E$13)</f>
        <v>4.4728000000000003</v>
      </c>
      <c r="H177" s="67">
        <f>8.2313* CHOOSE(CONTROL!$C$26, $C$13, 100%, $E$13)</f>
        <v>8.2312999999999992</v>
      </c>
      <c r="I177" s="67">
        <f>8.238 * CHOOSE(CONTROL!$C$26, $C$13, 100%, $E$13)</f>
        <v>8.2379999999999995</v>
      </c>
      <c r="J177" s="67">
        <f>4.4661 * CHOOSE(CONTROL!$C$26, $C$13, 100%, $E$13)</f>
        <v>4.4661</v>
      </c>
      <c r="K177" s="67">
        <f>4.4728 * CHOOSE(CONTROL!$C$26, $C$13, 100%, $E$13)</f>
        <v>4.4728000000000003</v>
      </c>
    </row>
    <row r="178" spans="1:11" ht="15">
      <c r="A178" s="13">
        <v>46539</v>
      </c>
      <c r="B178" s="66">
        <f>3.7071 * CHOOSE(CONTROL!$C$26, $C$13, 100%, $E$13)</f>
        <v>3.7071000000000001</v>
      </c>
      <c r="C178" s="66">
        <f>3.7071 * CHOOSE(CONTROL!$C$26, $C$13, 100%, $E$13)</f>
        <v>3.7071000000000001</v>
      </c>
      <c r="D178" s="66">
        <f>3.7126 * CHOOSE(CONTROL!$C$26, $C$13, 100%, $E$13)</f>
        <v>3.7126000000000001</v>
      </c>
      <c r="E178" s="67">
        <f>4.4481 * CHOOSE(CONTROL!$C$26, $C$13, 100%, $E$13)</f>
        <v>4.4481000000000002</v>
      </c>
      <c r="F178" s="67">
        <f>4.4481 * CHOOSE(CONTROL!$C$26, $C$13, 100%, $E$13)</f>
        <v>4.4481000000000002</v>
      </c>
      <c r="G178" s="67">
        <f>4.4549 * CHOOSE(CONTROL!$C$26, $C$13, 100%, $E$13)</f>
        <v>4.4549000000000003</v>
      </c>
      <c r="H178" s="67">
        <f>8.2484* CHOOSE(CONTROL!$C$26, $C$13, 100%, $E$13)</f>
        <v>8.2484000000000002</v>
      </c>
      <c r="I178" s="67">
        <f>8.2551 * CHOOSE(CONTROL!$C$26, $C$13, 100%, $E$13)</f>
        <v>8.2551000000000005</v>
      </c>
      <c r="J178" s="67">
        <f>4.4481 * CHOOSE(CONTROL!$C$26, $C$13, 100%, $E$13)</f>
        <v>4.4481000000000002</v>
      </c>
      <c r="K178" s="67">
        <f>4.4549 * CHOOSE(CONTROL!$C$26, $C$13, 100%, $E$13)</f>
        <v>4.4549000000000003</v>
      </c>
    </row>
    <row r="179" spans="1:11" ht="15">
      <c r="A179" s="13">
        <v>46569</v>
      </c>
      <c r="B179" s="66">
        <f>3.7587 * CHOOSE(CONTROL!$C$26, $C$13, 100%, $E$13)</f>
        <v>3.7587000000000002</v>
      </c>
      <c r="C179" s="66">
        <f>3.7587 * CHOOSE(CONTROL!$C$26, $C$13, 100%, $E$13)</f>
        <v>3.7587000000000002</v>
      </c>
      <c r="D179" s="66">
        <f>3.7642 * CHOOSE(CONTROL!$C$26, $C$13, 100%, $E$13)</f>
        <v>3.7642000000000002</v>
      </c>
      <c r="E179" s="67">
        <f>4.5253 * CHOOSE(CONTROL!$C$26, $C$13, 100%, $E$13)</f>
        <v>4.5252999999999997</v>
      </c>
      <c r="F179" s="67">
        <f>4.5253 * CHOOSE(CONTROL!$C$26, $C$13, 100%, $E$13)</f>
        <v>4.5252999999999997</v>
      </c>
      <c r="G179" s="67">
        <f>4.532 * CHOOSE(CONTROL!$C$26, $C$13, 100%, $E$13)</f>
        <v>4.532</v>
      </c>
      <c r="H179" s="67">
        <f>8.2656* CHOOSE(CONTROL!$C$26, $C$13, 100%, $E$13)</f>
        <v>8.2655999999999992</v>
      </c>
      <c r="I179" s="67">
        <f>8.2723 * CHOOSE(CONTROL!$C$26, $C$13, 100%, $E$13)</f>
        <v>8.2722999999999995</v>
      </c>
      <c r="J179" s="67">
        <f>4.5253 * CHOOSE(CONTROL!$C$26, $C$13, 100%, $E$13)</f>
        <v>4.5252999999999997</v>
      </c>
      <c r="K179" s="67">
        <f>4.532 * CHOOSE(CONTROL!$C$26, $C$13, 100%, $E$13)</f>
        <v>4.532</v>
      </c>
    </row>
    <row r="180" spans="1:11" ht="15">
      <c r="A180" s="13">
        <v>46600</v>
      </c>
      <c r="B180" s="66">
        <f>3.7654 * CHOOSE(CONTROL!$C$26, $C$13, 100%, $E$13)</f>
        <v>3.7654000000000001</v>
      </c>
      <c r="C180" s="66">
        <f>3.7654 * CHOOSE(CONTROL!$C$26, $C$13, 100%, $E$13)</f>
        <v>3.7654000000000001</v>
      </c>
      <c r="D180" s="66">
        <f>3.7709 * CHOOSE(CONTROL!$C$26, $C$13, 100%, $E$13)</f>
        <v>3.7709000000000001</v>
      </c>
      <c r="E180" s="67">
        <f>4.4633 * CHOOSE(CONTROL!$C$26, $C$13, 100%, $E$13)</f>
        <v>4.4633000000000003</v>
      </c>
      <c r="F180" s="67">
        <f>4.4633 * CHOOSE(CONTROL!$C$26, $C$13, 100%, $E$13)</f>
        <v>4.4633000000000003</v>
      </c>
      <c r="G180" s="67">
        <f>4.47 * CHOOSE(CONTROL!$C$26, $C$13, 100%, $E$13)</f>
        <v>4.47</v>
      </c>
      <c r="H180" s="67">
        <f>8.2828* CHOOSE(CONTROL!$C$26, $C$13, 100%, $E$13)</f>
        <v>8.2827999999999999</v>
      </c>
      <c r="I180" s="67">
        <f>8.2896 * CHOOSE(CONTROL!$C$26, $C$13, 100%, $E$13)</f>
        <v>8.2896000000000001</v>
      </c>
      <c r="J180" s="67">
        <f>4.4633 * CHOOSE(CONTROL!$C$26, $C$13, 100%, $E$13)</f>
        <v>4.4633000000000003</v>
      </c>
      <c r="K180" s="67">
        <f>4.47 * CHOOSE(CONTROL!$C$26, $C$13, 100%, $E$13)</f>
        <v>4.47</v>
      </c>
    </row>
    <row r="181" spans="1:11" ht="15">
      <c r="A181" s="13">
        <v>46631</v>
      </c>
      <c r="B181" s="66">
        <f>3.7623 * CHOOSE(CONTROL!$C$26, $C$13, 100%, $E$13)</f>
        <v>3.7623000000000002</v>
      </c>
      <c r="C181" s="66">
        <f>3.7623 * CHOOSE(CONTROL!$C$26, $C$13, 100%, $E$13)</f>
        <v>3.7623000000000002</v>
      </c>
      <c r="D181" s="66">
        <f>3.7678 * CHOOSE(CONTROL!$C$26, $C$13, 100%, $E$13)</f>
        <v>3.7677999999999998</v>
      </c>
      <c r="E181" s="67">
        <f>4.4538 * CHOOSE(CONTROL!$C$26, $C$13, 100%, $E$13)</f>
        <v>4.4538000000000002</v>
      </c>
      <c r="F181" s="67">
        <f>4.4538 * CHOOSE(CONTROL!$C$26, $C$13, 100%, $E$13)</f>
        <v>4.4538000000000002</v>
      </c>
      <c r="G181" s="67">
        <f>4.4605 * CHOOSE(CONTROL!$C$26, $C$13, 100%, $E$13)</f>
        <v>4.4604999999999997</v>
      </c>
      <c r="H181" s="67">
        <f>8.3001* CHOOSE(CONTROL!$C$26, $C$13, 100%, $E$13)</f>
        <v>8.3001000000000005</v>
      </c>
      <c r="I181" s="67">
        <f>8.3068 * CHOOSE(CONTROL!$C$26, $C$13, 100%, $E$13)</f>
        <v>8.3068000000000008</v>
      </c>
      <c r="J181" s="67">
        <f>4.4538 * CHOOSE(CONTROL!$C$26, $C$13, 100%, $E$13)</f>
        <v>4.4538000000000002</v>
      </c>
      <c r="K181" s="67">
        <f>4.4605 * CHOOSE(CONTROL!$C$26, $C$13, 100%, $E$13)</f>
        <v>4.4604999999999997</v>
      </c>
    </row>
    <row r="182" spans="1:11" ht="15">
      <c r="A182" s="13">
        <v>46661</v>
      </c>
      <c r="B182" s="66">
        <f>3.7564 * CHOOSE(CONTROL!$C$26, $C$13, 100%, $E$13)</f>
        <v>3.7564000000000002</v>
      </c>
      <c r="C182" s="66">
        <f>3.7564 * CHOOSE(CONTROL!$C$26, $C$13, 100%, $E$13)</f>
        <v>3.7564000000000002</v>
      </c>
      <c r="D182" s="66">
        <f>3.7603 * CHOOSE(CONTROL!$C$26, $C$13, 100%, $E$13)</f>
        <v>3.7603</v>
      </c>
      <c r="E182" s="67">
        <f>4.47 * CHOOSE(CONTROL!$C$26, $C$13, 100%, $E$13)</f>
        <v>4.47</v>
      </c>
      <c r="F182" s="67">
        <f>4.47 * CHOOSE(CONTROL!$C$26, $C$13, 100%, $E$13)</f>
        <v>4.47</v>
      </c>
      <c r="G182" s="67">
        <f>4.4748 * CHOOSE(CONTROL!$C$26, $C$13, 100%, $E$13)</f>
        <v>4.4748000000000001</v>
      </c>
      <c r="H182" s="67">
        <f>8.3174* CHOOSE(CONTROL!$C$26, $C$13, 100%, $E$13)</f>
        <v>8.3173999999999992</v>
      </c>
      <c r="I182" s="67">
        <f>8.3221 * CHOOSE(CONTROL!$C$26, $C$13, 100%, $E$13)</f>
        <v>8.3221000000000007</v>
      </c>
      <c r="J182" s="67">
        <f>4.47 * CHOOSE(CONTROL!$C$26, $C$13, 100%, $E$13)</f>
        <v>4.47</v>
      </c>
      <c r="K182" s="67">
        <f>4.4748 * CHOOSE(CONTROL!$C$26, $C$13, 100%, $E$13)</f>
        <v>4.4748000000000001</v>
      </c>
    </row>
    <row r="183" spans="1:11" ht="15">
      <c r="A183" s="13">
        <v>46692</v>
      </c>
      <c r="B183" s="66">
        <f>3.7595 * CHOOSE(CONTROL!$C$26, $C$13, 100%, $E$13)</f>
        <v>3.7595000000000001</v>
      </c>
      <c r="C183" s="66">
        <f>3.7595 * CHOOSE(CONTROL!$C$26, $C$13, 100%, $E$13)</f>
        <v>3.7595000000000001</v>
      </c>
      <c r="D183" s="66">
        <f>3.7633 * CHOOSE(CONTROL!$C$26, $C$13, 100%, $E$13)</f>
        <v>3.7633000000000001</v>
      </c>
      <c r="E183" s="67">
        <f>4.4869 * CHOOSE(CONTROL!$C$26, $C$13, 100%, $E$13)</f>
        <v>4.4869000000000003</v>
      </c>
      <c r="F183" s="67">
        <f>4.4869 * CHOOSE(CONTROL!$C$26, $C$13, 100%, $E$13)</f>
        <v>4.4869000000000003</v>
      </c>
      <c r="G183" s="67">
        <f>4.4917 * CHOOSE(CONTROL!$C$26, $C$13, 100%, $E$13)</f>
        <v>4.4916999999999998</v>
      </c>
      <c r="H183" s="67">
        <f>8.3347* CHOOSE(CONTROL!$C$26, $C$13, 100%, $E$13)</f>
        <v>8.3346999999999998</v>
      </c>
      <c r="I183" s="67">
        <f>8.3395 * CHOOSE(CONTROL!$C$26, $C$13, 100%, $E$13)</f>
        <v>8.3394999999999992</v>
      </c>
      <c r="J183" s="67">
        <f>4.4869 * CHOOSE(CONTROL!$C$26, $C$13, 100%, $E$13)</f>
        <v>4.4869000000000003</v>
      </c>
      <c r="K183" s="67">
        <f>4.4917 * CHOOSE(CONTROL!$C$26, $C$13, 100%, $E$13)</f>
        <v>4.4916999999999998</v>
      </c>
    </row>
    <row r="184" spans="1:11" ht="15">
      <c r="A184" s="13">
        <v>46722</v>
      </c>
      <c r="B184" s="66">
        <f>3.7595 * CHOOSE(CONTROL!$C$26, $C$13, 100%, $E$13)</f>
        <v>3.7595000000000001</v>
      </c>
      <c r="C184" s="66">
        <f>3.7595 * CHOOSE(CONTROL!$C$26, $C$13, 100%, $E$13)</f>
        <v>3.7595000000000001</v>
      </c>
      <c r="D184" s="66">
        <f>3.7633 * CHOOSE(CONTROL!$C$26, $C$13, 100%, $E$13)</f>
        <v>3.7633000000000001</v>
      </c>
      <c r="E184" s="67">
        <f>4.4499 * CHOOSE(CONTROL!$C$26, $C$13, 100%, $E$13)</f>
        <v>4.4499000000000004</v>
      </c>
      <c r="F184" s="67">
        <f>4.4499 * CHOOSE(CONTROL!$C$26, $C$13, 100%, $E$13)</f>
        <v>4.4499000000000004</v>
      </c>
      <c r="G184" s="67">
        <f>4.4547 * CHOOSE(CONTROL!$C$26, $C$13, 100%, $E$13)</f>
        <v>4.4546999999999999</v>
      </c>
      <c r="H184" s="67">
        <f>8.3521* CHOOSE(CONTROL!$C$26, $C$13, 100%, $E$13)</f>
        <v>8.3521000000000001</v>
      </c>
      <c r="I184" s="67">
        <f>8.3568 * CHOOSE(CONTROL!$C$26, $C$13, 100%, $E$13)</f>
        <v>8.3567999999999998</v>
      </c>
      <c r="J184" s="67">
        <f>4.4499 * CHOOSE(CONTROL!$C$26, $C$13, 100%, $E$13)</f>
        <v>4.4499000000000004</v>
      </c>
      <c r="K184" s="67">
        <f>4.4547 * CHOOSE(CONTROL!$C$26, $C$13, 100%, $E$13)</f>
        <v>4.4546999999999999</v>
      </c>
    </row>
    <row r="185" spans="1:11" ht="15">
      <c r="A185" s="13">
        <v>46753</v>
      </c>
      <c r="B185" s="66">
        <f>3.7926 * CHOOSE(CONTROL!$C$26, $C$13, 100%, $E$13)</f>
        <v>3.7926000000000002</v>
      </c>
      <c r="C185" s="66">
        <f>3.7926 * CHOOSE(CONTROL!$C$26, $C$13, 100%, $E$13)</f>
        <v>3.7926000000000002</v>
      </c>
      <c r="D185" s="66">
        <f>3.7965 * CHOOSE(CONTROL!$C$26, $C$13, 100%, $E$13)</f>
        <v>3.7965</v>
      </c>
      <c r="E185" s="67">
        <f>4.5119 * CHOOSE(CONTROL!$C$26, $C$13, 100%, $E$13)</f>
        <v>4.5118999999999998</v>
      </c>
      <c r="F185" s="67">
        <f>4.5119 * CHOOSE(CONTROL!$C$26, $C$13, 100%, $E$13)</f>
        <v>4.5118999999999998</v>
      </c>
      <c r="G185" s="67">
        <f>4.5167 * CHOOSE(CONTROL!$C$26, $C$13, 100%, $E$13)</f>
        <v>4.5167000000000002</v>
      </c>
      <c r="H185" s="67">
        <f>8.3695* CHOOSE(CONTROL!$C$26, $C$13, 100%, $E$13)</f>
        <v>8.3695000000000004</v>
      </c>
      <c r="I185" s="67">
        <f>8.3742 * CHOOSE(CONTROL!$C$26, $C$13, 100%, $E$13)</f>
        <v>8.3742000000000001</v>
      </c>
      <c r="J185" s="67">
        <f>4.5119 * CHOOSE(CONTROL!$C$26, $C$13, 100%, $E$13)</f>
        <v>4.5118999999999998</v>
      </c>
      <c r="K185" s="67">
        <f>4.5167 * CHOOSE(CONTROL!$C$26, $C$13, 100%, $E$13)</f>
        <v>4.5167000000000002</v>
      </c>
    </row>
    <row r="186" spans="1:11" ht="15">
      <c r="A186" s="13">
        <v>46784</v>
      </c>
      <c r="B186" s="66">
        <f>3.7896 * CHOOSE(CONTROL!$C$26, $C$13, 100%, $E$13)</f>
        <v>3.7896000000000001</v>
      </c>
      <c r="C186" s="66">
        <f>3.7896 * CHOOSE(CONTROL!$C$26, $C$13, 100%, $E$13)</f>
        <v>3.7896000000000001</v>
      </c>
      <c r="D186" s="66">
        <f>3.7934 * CHOOSE(CONTROL!$C$26, $C$13, 100%, $E$13)</f>
        <v>3.7934000000000001</v>
      </c>
      <c r="E186" s="67">
        <f>4.438 * CHOOSE(CONTROL!$C$26, $C$13, 100%, $E$13)</f>
        <v>4.4379999999999997</v>
      </c>
      <c r="F186" s="67">
        <f>4.438 * CHOOSE(CONTROL!$C$26, $C$13, 100%, $E$13)</f>
        <v>4.4379999999999997</v>
      </c>
      <c r="G186" s="67">
        <f>4.4428 * CHOOSE(CONTROL!$C$26, $C$13, 100%, $E$13)</f>
        <v>4.4428000000000001</v>
      </c>
      <c r="H186" s="67">
        <f>8.3869* CHOOSE(CONTROL!$C$26, $C$13, 100%, $E$13)</f>
        <v>8.3869000000000007</v>
      </c>
      <c r="I186" s="67">
        <f>8.3917 * CHOOSE(CONTROL!$C$26, $C$13, 100%, $E$13)</f>
        <v>8.3917000000000002</v>
      </c>
      <c r="J186" s="67">
        <f>4.438 * CHOOSE(CONTROL!$C$26, $C$13, 100%, $E$13)</f>
        <v>4.4379999999999997</v>
      </c>
      <c r="K186" s="67">
        <f>4.4428 * CHOOSE(CONTROL!$C$26, $C$13, 100%, $E$13)</f>
        <v>4.4428000000000001</v>
      </c>
    </row>
    <row r="187" spans="1:11" ht="15">
      <c r="A187" s="13">
        <v>46813</v>
      </c>
      <c r="B187" s="66">
        <f>3.7865 * CHOOSE(CONTROL!$C$26, $C$13, 100%, $E$13)</f>
        <v>3.7865000000000002</v>
      </c>
      <c r="C187" s="66">
        <f>3.7865 * CHOOSE(CONTROL!$C$26, $C$13, 100%, $E$13)</f>
        <v>3.7865000000000002</v>
      </c>
      <c r="D187" s="66">
        <f>3.7904 * CHOOSE(CONTROL!$C$26, $C$13, 100%, $E$13)</f>
        <v>3.7904</v>
      </c>
      <c r="E187" s="67">
        <f>4.4925 * CHOOSE(CONTROL!$C$26, $C$13, 100%, $E$13)</f>
        <v>4.4924999999999997</v>
      </c>
      <c r="F187" s="67">
        <f>4.4925 * CHOOSE(CONTROL!$C$26, $C$13, 100%, $E$13)</f>
        <v>4.4924999999999997</v>
      </c>
      <c r="G187" s="67">
        <f>4.4972 * CHOOSE(CONTROL!$C$26, $C$13, 100%, $E$13)</f>
        <v>4.4972000000000003</v>
      </c>
      <c r="H187" s="67">
        <f>8.4044* CHOOSE(CONTROL!$C$26, $C$13, 100%, $E$13)</f>
        <v>8.4044000000000008</v>
      </c>
      <c r="I187" s="67">
        <f>8.4091 * CHOOSE(CONTROL!$C$26, $C$13, 100%, $E$13)</f>
        <v>8.4091000000000005</v>
      </c>
      <c r="J187" s="67">
        <f>4.4925 * CHOOSE(CONTROL!$C$26, $C$13, 100%, $E$13)</f>
        <v>4.4924999999999997</v>
      </c>
      <c r="K187" s="67">
        <f>4.4972 * CHOOSE(CONTROL!$C$26, $C$13, 100%, $E$13)</f>
        <v>4.4972000000000003</v>
      </c>
    </row>
    <row r="188" spans="1:11" ht="15">
      <c r="A188" s="13">
        <v>46844</v>
      </c>
      <c r="B188" s="66">
        <f>3.7839 * CHOOSE(CONTROL!$C$26, $C$13, 100%, $E$13)</f>
        <v>3.7839</v>
      </c>
      <c r="C188" s="66">
        <f>3.7839 * CHOOSE(CONTROL!$C$26, $C$13, 100%, $E$13)</f>
        <v>3.7839</v>
      </c>
      <c r="D188" s="66">
        <f>3.7878 * CHOOSE(CONTROL!$C$26, $C$13, 100%, $E$13)</f>
        <v>3.7877999999999998</v>
      </c>
      <c r="E188" s="67">
        <f>4.549 * CHOOSE(CONTROL!$C$26, $C$13, 100%, $E$13)</f>
        <v>4.5490000000000004</v>
      </c>
      <c r="F188" s="67">
        <f>4.549 * CHOOSE(CONTROL!$C$26, $C$13, 100%, $E$13)</f>
        <v>4.5490000000000004</v>
      </c>
      <c r="G188" s="67">
        <f>4.5538 * CHOOSE(CONTROL!$C$26, $C$13, 100%, $E$13)</f>
        <v>4.5537999999999998</v>
      </c>
      <c r="H188" s="67">
        <f>8.4219* CHOOSE(CONTROL!$C$26, $C$13, 100%, $E$13)</f>
        <v>8.4219000000000008</v>
      </c>
      <c r="I188" s="67">
        <f>8.4266 * CHOOSE(CONTROL!$C$26, $C$13, 100%, $E$13)</f>
        <v>8.4266000000000005</v>
      </c>
      <c r="J188" s="67">
        <f>4.549 * CHOOSE(CONTROL!$C$26, $C$13, 100%, $E$13)</f>
        <v>4.5490000000000004</v>
      </c>
      <c r="K188" s="67">
        <f>4.5538 * CHOOSE(CONTROL!$C$26, $C$13, 100%, $E$13)</f>
        <v>4.5537999999999998</v>
      </c>
    </row>
    <row r="189" spans="1:11" ht="15">
      <c r="A189" s="13">
        <v>46874</v>
      </c>
      <c r="B189" s="66">
        <f>3.7839 * CHOOSE(CONTROL!$C$26, $C$13, 100%, $E$13)</f>
        <v>3.7839</v>
      </c>
      <c r="C189" s="66">
        <f>3.7839 * CHOOSE(CONTROL!$C$26, $C$13, 100%, $E$13)</f>
        <v>3.7839</v>
      </c>
      <c r="D189" s="66">
        <f>3.7894 * CHOOSE(CONTROL!$C$26, $C$13, 100%, $E$13)</f>
        <v>3.7894000000000001</v>
      </c>
      <c r="E189" s="67">
        <f>4.5718 * CHOOSE(CONTROL!$C$26, $C$13, 100%, $E$13)</f>
        <v>4.5717999999999996</v>
      </c>
      <c r="F189" s="67">
        <f>4.5718 * CHOOSE(CONTROL!$C$26, $C$13, 100%, $E$13)</f>
        <v>4.5717999999999996</v>
      </c>
      <c r="G189" s="67">
        <f>4.5785 * CHOOSE(CONTROL!$C$26, $C$13, 100%, $E$13)</f>
        <v>4.5785</v>
      </c>
      <c r="H189" s="67">
        <f>8.4394* CHOOSE(CONTROL!$C$26, $C$13, 100%, $E$13)</f>
        <v>8.4393999999999991</v>
      </c>
      <c r="I189" s="67">
        <f>8.4462 * CHOOSE(CONTROL!$C$26, $C$13, 100%, $E$13)</f>
        <v>8.4461999999999993</v>
      </c>
      <c r="J189" s="67">
        <f>4.5718 * CHOOSE(CONTROL!$C$26, $C$13, 100%, $E$13)</f>
        <v>4.5717999999999996</v>
      </c>
      <c r="K189" s="67">
        <f>4.5785 * CHOOSE(CONTROL!$C$26, $C$13, 100%, $E$13)</f>
        <v>4.5785</v>
      </c>
    </row>
    <row r="190" spans="1:11" ht="15">
      <c r="A190" s="13">
        <v>46905</v>
      </c>
      <c r="B190" s="66">
        <f>3.79 * CHOOSE(CONTROL!$C$26, $C$13, 100%, $E$13)</f>
        <v>3.79</v>
      </c>
      <c r="C190" s="66">
        <f>3.79 * CHOOSE(CONTROL!$C$26, $C$13, 100%, $E$13)</f>
        <v>3.79</v>
      </c>
      <c r="D190" s="66">
        <f>3.7955 * CHOOSE(CONTROL!$C$26, $C$13, 100%, $E$13)</f>
        <v>3.7955000000000001</v>
      </c>
      <c r="E190" s="67">
        <f>4.5532 * CHOOSE(CONTROL!$C$26, $C$13, 100%, $E$13)</f>
        <v>4.5532000000000004</v>
      </c>
      <c r="F190" s="67">
        <f>4.5532 * CHOOSE(CONTROL!$C$26, $C$13, 100%, $E$13)</f>
        <v>4.5532000000000004</v>
      </c>
      <c r="G190" s="67">
        <f>4.56 * CHOOSE(CONTROL!$C$26, $C$13, 100%, $E$13)</f>
        <v>4.5599999999999996</v>
      </c>
      <c r="H190" s="67">
        <f>8.457* CHOOSE(CONTROL!$C$26, $C$13, 100%, $E$13)</f>
        <v>8.4570000000000007</v>
      </c>
      <c r="I190" s="67">
        <f>8.4637 * CHOOSE(CONTROL!$C$26, $C$13, 100%, $E$13)</f>
        <v>8.4636999999999993</v>
      </c>
      <c r="J190" s="67">
        <f>4.5532 * CHOOSE(CONTROL!$C$26, $C$13, 100%, $E$13)</f>
        <v>4.5532000000000004</v>
      </c>
      <c r="K190" s="67">
        <f>4.56 * CHOOSE(CONTROL!$C$26, $C$13, 100%, $E$13)</f>
        <v>4.5599999999999996</v>
      </c>
    </row>
    <row r="191" spans="1:11" ht="15">
      <c r="A191" s="13">
        <v>46935</v>
      </c>
      <c r="B191" s="66">
        <f>3.8518 * CHOOSE(CONTROL!$C$26, $C$13, 100%, $E$13)</f>
        <v>3.8517999999999999</v>
      </c>
      <c r="C191" s="66">
        <f>3.8518 * CHOOSE(CONTROL!$C$26, $C$13, 100%, $E$13)</f>
        <v>3.8517999999999999</v>
      </c>
      <c r="D191" s="66">
        <f>3.8573 * CHOOSE(CONTROL!$C$26, $C$13, 100%, $E$13)</f>
        <v>3.8573</v>
      </c>
      <c r="E191" s="67">
        <f>4.6316 * CHOOSE(CONTROL!$C$26, $C$13, 100%, $E$13)</f>
        <v>4.6315999999999997</v>
      </c>
      <c r="F191" s="67">
        <f>4.6316 * CHOOSE(CONTROL!$C$26, $C$13, 100%, $E$13)</f>
        <v>4.6315999999999997</v>
      </c>
      <c r="G191" s="67">
        <f>4.6383 * CHOOSE(CONTROL!$C$26, $C$13, 100%, $E$13)</f>
        <v>4.6383000000000001</v>
      </c>
      <c r="H191" s="67">
        <f>8.4746* CHOOSE(CONTROL!$C$26, $C$13, 100%, $E$13)</f>
        <v>8.4746000000000006</v>
      </c>
      <c r="I191" s="67">
        <f>8.4814 * CHOOSE(CONTROL!$C$26, $C$13, 100%, $E$13)</f>
        <v>8.4814000000000007</v>
      </c>
      <c r="J191" s="67">
        <f>4.6316 * CHOOSE(CONTROL!$C$26, $C$13, 100%, $E$13)</f>
        <v>4.6315999999999997</v>
      </c>
      <c r="K191" s="67">
        <f>4.6383 * CHOOSE(CONTROL!$C$26, $C$13, 100%, $E$13)</f>
        <v>4.6383000000000001</v>
      </c>
    </row>
    <row r="192" spans="1:11" ht="15">
      <c r="A192" s="13">
        <v>46966</v>
      </c>
      <c r="B192" s="66">
        <f>3.8585 * CHOOSE(CONTROL!$C$26, $C$13, 100%, $E$13)</f>
        <v>3.8584999999999998</v>
      </c>
      <c r="C192" s="66">
        <f>3.8585 * CHOOSE(CONTROL!$C$26, $C$13, 100%, $E$13)</f>
        <v>3.8584999999999998</v>
      </c>
      <c r="D192" s="66">
        <f>3.864 * CHOOSE(CONTROL!$C$26, $C$13, 100%, $E$13)</f>
        <v>3.8639999999999999</v>
      </c>
      <c r="E192" s="67">
        <f>4.5679 * CHOOSE(CONTROL!$C$26, $C$13, 100%, $E$13)</f>
        <v>4.5678999999999998</v>
      </c>
      <c r="F192" s="67">
        <f>4.5679 * CHOOSE(CONTROL!$C$26, $C$13, 100%, $E$13)</f>
        <v>4.5678999999999998</v>
      </c>
      <c r="G192" s="67">
        <f>4.5746 * CHOOSE(CONTROL!$C$26, $C$13, 100%, $E$13)</f>
        <v>4.5746000000000002</v>
      </c>
      <c r="H192" s="67">
        <f>8.4923* CHOOSE(CONTROL!$C$26, $C$13, 100%, $E$13)</f>
        <v>8.4923000000000002</v>
      </c>
      <c r="I192" s="67">
        <f>8.499 * CHOOSE(CONTROL!$C$26, $C$13, 100%, $E$13)</f>
        <v>8.4990000000000006</v>
      </c>
      <c r="J192" s="67">
        <f>4.5679 * CHOOSE(CONTROL!$C$26, $C$13, 100%, $E$13)</f>
        <v>4.5678999999999998</v>
      </c>
      <c r="K192" s="67">
        <f>4.5746 * CHOOSE(CONTROL!$C$26, $C$13, 100%, $E$13)</f>
        <v>4.5746000000000002</v>
      </c>
    </row>
    <row r="193" spans="1:11" ht="15">
      <c r="A193" s="13">
        <v>46997</v>
      </c>
      <c r="B193" s="66">
        <f>3.8554 * CHOOSE(CONTROL!$C$26, $C$13, 100%, $E$13)</f>
        <v>3.8553999999999999</v>
      </c>
      <c r="C193" s="66">
        <f>3.8554 * CHOOSE(CONTROL!$C$26, $C$13, 100%, $E$13)</f>
        <v>3.8553999999999999</v>
      </c>
      <c r="D193" s="66">
        <f>3.8609 * CHOOSE(CONTROL!$C$26, $C$13, 100%, $E$13)</f>
        <v>3.8609</v>
      </c>
      <c r="E193" s="67">
        <f>4.5582 * CHOOSE(CONTROL!$C$26, $C$13, 100%, $E$13)</f>
        <v>4.5582000000000003</v>
      </c>
      <c r="F193" s="67">
        <f>4.5582 * CHOOSE(CONTROL!$C$26, $C$13, 100%, $E$13)</f>
        <v>4.5582000000000003</v>
      </c>
      <c r="G193" s="67">
        <f>4.5649 * CHOOSE(CONTROL!$C$26, $C$13, 100%, $E$13)</f>
        <v>4.5648999999999997</v>
      </c>
      <c r="H193" s="67">
        <f>8.51* CHOOSE(CONTROL!$C$26, $C$13, 100%, $E$13)</f>
        <v>8.51</v>
      </c>
      <c r="I193" s="67">
        <f>8.5167 * CHOOSE(CONTROL!$C$26, $C$13, 100%, $E$13)</f>
        <v>8.5167000000000002</v>
      </c>
      <c r="J193" s="67">
        <f>4.5582 * CHOOSE(CONTROL!$C$26, $C$13, 100%, $E$13)</f>
        <v>4.5582000000000003</v>
      </c>
      <c r="K193" s="67">
        <f>4.5649 * CHOOSE(CONTROL!$C$26, $C$13, 100%, $E$13)</f>
        <v>4.5648999999999997</v>
      </c>
    </row>
    <row r="194" spans="1:11" ht="15">
      <c r="A194" s="13">
        <v>47027</v>
      </c>
      <c r="B194" s="66">
        <f>3.8498 * CHOOSE(CONTROL!$C$26, $C$13, 100%, $E$13)</f>
        <v>3.8498000000000001</v>
      </c>
      <c r="C194" s="66">
        <f>3.8498 * CHOOSE(CONTROL!$C$26, $C$13, 100%, $E$13)</f>
        <v>3.8498000000000001</v>
      </c>
      <c r="D194" s="66">
        <f>3.8537 * CHOOSE(CONTROL!$C$26, $C$13, 100%, $E$13)</f>
        <v>3.8536999999999999</v>
      </c>
      <c r="E194" s="67">
        <f>4.5751 * CHOOSE(CONTROL!$C$26, $C$13, 100%, $E$13)</f>
        <v>4.5750999999999999</v>
      </c>
      <c r="F194" s="67">
        <f>4.5751 * CHOOSE(CONTROL!$C$26, $C$13, 100%, $E$13)</f>
        <v>4.5750999999999999</v>
      </c>
      <c r="G194" s="67">
        <f>4.5799 * CHOOSE(CONTROL!$C$26, $C$13, 100%, $E$13)</f>
        <v>4.5799000000000003</v>
      </c>
      <c r="H194" s="67">
        <f>8.5277* CHOOSE(CONTROL!$C$26, $C$13, 100%, $E$13)</f>
        <v>8.5276999999999994</v>
      </c>
      <c r="I194" s="67">
        <f>8.5325 * CHOOSE(CONTROL!$C$26, $C$13, 100%, $E$13)</f>
        <v>8.5325000000000006</v>
      </c>
      <c r="J194" s="67">
        <f>4.5751 * CHOOSE(CONTROL!$C$26, $C$13, 100%, $E$13)</f>
        <v>4.5750999999999999</v>
      </c>
      <c r="K194" s="67">
        <f>4.5799 * CHOOSE(CONTROL!$C$26, $C$13, 100%, $E$13)</f>
        <v>4.5799000000000003</v>
      </c>
    </row>
    <row r="195" spans="1:11" ht="15">
      <c r="A195" s="13">
        <v>47058</v>
      </c>
      <c r="B195" s="66">
        <f>3.8529 * CHOOSE(CONTROL!$C$26, $C$13, 100%, $E$13)</f>
        <v>3.8529</v>
      </c>
      <c r="C195" s="66">
        <f>3.8529 * CHOOSE(CONTROL!$C$26, $C$13, 100%, $E$13)</f>
        <v>3.8529</v>
      </c>
      <c r="D195" s="66">
        <f>3.8568 * CHOOSE(CONTROL!$C$26, $C$13, 100%, $E$13)</f>
        <v>3.8567999999999998</v>
      </c>
      <c r="E195" s="67">
        <f>4.5924 * CHOOSE(CONTROL!$C$26, $C$13, 100%, $E$13)</f>
        <v>4.5923999999999996</v>
      </c>
      <c r="F195" s="67">
        <f>4.5924 * CHOOSE(CONTROL!$C$26, $C$13, 100%, $E$13)</f>
        <v>4.5923999999999996</v>
      </c>
      <c r="G195" s="67">
        <f>4.5972 * CHOOSE(CONTROL!$C$26, $C$13, 100%, $E$13)</f>
        <v>4.5972</v>
      </c>
      <c r="H195" s="67">
        <f>8.5455* CHOOSE(CONTROL!$C$26, $C$13, 100%, $E$13)</f>
        <v>8.5455000000000005</v>
      </c>
      <c r="I195" s="67">
        <f>8.5502 * CHOOSE(CONTROL!$C$26, $C$13, 100%, $E$13)</f>
        <v>8.5502000000000002</v>
      </c>
      <c r="J195" s="67">
        <f>4.5924 * CHOOSE(CONTROL!$C$26, $C$13, 100%, $E$13)</f>
        <v>4.5923999999999996</v>
      </c>
      <c r="K195" s="67">
        <f>4.5972 * CHOOSE(CONTROL!$C$26, $C$13, 100%, $E$13)</f>
        <v>4.5972</v>
      </c>
    </row>
    <row r="196" spans="1:11" ht="15">
      <c r="A196" s="13">
        <v>47088</v>
      </c>
      <c r="B196" s="66">
        <f>3.8529 * CHOOSE(CONTROL!$C$26, $C$13, 100%, $E$13)</f>
        <v>3.8529</v>
      </c>
      <c r="C196" s="66">
        <f>3.8529 * CHOOSE(CONTROL!$C$26, $C$13, 100%, $E$13)</f>
        <v>3.8529</v>
      </c>
      <c r="D196" s="66">
        <f>3.8568 * CHOOSE(CONTROL!$C$26, $C$13, 100%, $E$13)</f>
        <v>3.8567999999999998</v>
      </c>
      <c r="E196" s="67">
        <f>4.5545 * CHOOSE(CONTROL!$C$26, $C$13, 100%, $E$13)</f>
        <v>4.5545</v>
      </c>
      <c r="F196" s="67">
        <f>4.5545 * CHOOSE(CONTROL!$C$26, $C$13, 100%, $E$13)</f>
        <v>4.5545</v>
      </c>
      <c r="G196" s="67">
        <f>4.5592 * CHOOSE(CONTROL!$C$26, $C$13, 100%, $E$13)</f>
        <v>4.5591999999999997</v>
      </c>
      <c r="H196" s="67">
        <f>8.5633* CHOOSE(CONTROL!$C$26, $C$13, 100%, $E$13)</f>
        <v>8.5632999999999999</v>
      </c>
      <c r="I196" s="67">
        <f>8.568 * CHOOSE(CONTROL!$C$26, $C$13, 100%, $E$13)</f>
        <v>8.5679999999999996</v>
      </c>
      <c r="J196" s="67">
        <f>4.5545 * CHOOSE(CONTROL!$C$26, $C$13, 100%, $E$13)</f>
        <v>4.5545</v>
      </c>
      <c r="K196" s="67">
        <f>4.5592 * CHOOSE(CONTROL!$C$26, $C$13, 100%, $E$13)</f>
        <v>4.5591999999999997</v>
      </c>
    </row>
    <row r="197" spans="1:11" ht="15">
      <c r="A197" s="13">
        <v>47119</v>
      </c>
      <c r="B197" s="66">
        <f>3.8828 * CHOOSE(CONTROL!$C$26, $C$13, 100%, $E$13)</f>
        <v>3.8828</v>
      </c>
      <c r="C197" s="66">
        <f>3.8828 * CHOOSE(CONTROL!$C$26, $C$13, 100%, $E$13)</f>
        <v>3.8828</v>
      </c>
      <c r="D197" s="66">
        <f>3.8867 * CHOOSE(CONTROL!$C$26, $C$13, 100%, $E$13)</f>
        <v>3.8866999999999998</v>
      </c>
      <c r="E197" s="67">
        <f>4.6181 * CHOOSE(CONTROL!$C$26, $C$13, 100%, $E$13)</f>
        <v>4.6181000000000001</v>
      </c>
      <c r="F197" s="67">
        <f>4.6181 * CHOOSE(CONTROL!$C$26, $C$13, 100%, $E$13)</f>
        <v>4.6181000000000001</v>
      </c>
      <c r="G197" s="67">
        <f>4.6229 * CHOOSE(CONTROL!$C$26, $C$13, 100%, $E$13)</f>
        <v>4.6228999999999996</v>
      </c>
      <c r="H197" s="67">
        <f>8.5811* CHOOSE(CONTROL!$C$26, $C$13, 100%, $E$13)</f>
        <v>8.5810999999999993</v>
      </c>
      <c r="I197" s="67">
        <f>8.5859 * CHOOSE(CONTROL!$C$26, $C$13, 100%, $E$13)</f>
        <v>8.5859000000000005</v>
      </c>
      <c r="J197" s="67">
        <f>4.6181 * CHOOSE(CONTROL!$C$26, $C$13, 100%, $E$13)</f>
        <v>4.6181000000000001</v>
      </c>
      <c r="K197" s="67">
        <f>4.6229 * CHOOSE(CONTROL!$C$26, $C$13, 100%, $E$13)</f>
        <v>4.6228999999999996</v>
      </c>
    </row>
    <row r="198" spans="1:11" ht="15">
      <c r="A198" s="13">
        <v>47150</v>
      </c>
      <c r="B198" s="66">
        <f>3.8798 * CHOOSE(CONTROL!$C$26, $C$13, 100%, $E$13)</f>
        <v>3.8797999999999999</v>
      </c>
      <c r="C198" s="66">
        <f>3.8798 * CHOOSE(CONTROL!$C$26, $C$13, 100%, $E$13)</f>
        <v>3.8797999999999999</v>
      </c>
      <c r="D198" s="66">
        <f>3.8837 * CHOOSE(CONTROL!$C$26, $C$13, 100%, $E$13)</f>
        <v>3.8837000000000002</v>
      </c>
      <c r="E198" s="67">
        <f>4.5424 * CHOOSE(CONTROL!$C$26, $C$13, 100%, $E$13)</f>
        <v>4.5423999999999998</v>
      </c>
      <c r="F198" s="67">
        <f>4.5424 * CHOOSE(CONTROL!$C$26, $C$13, 100%, $E$13)</f>
        <v>4.5423999999999998</v>
      </c>
      <c r="G198" s="67">
        <f>4.5471 * CHOOSE(CONTROL!$C$26, $C$13, 100%, $E$13)</f>
        <v>4.5471000000000004</v>
      </c>
      <c r="H198" s="67">
        <f>8.599* CHOOSE(CONTROL!$C$26, $C$13, 100%, $E$13)</f>
        <v>8.5990000000000002</v>
      </c>
      <c r="I198" s="67">
        <f>8.6037 * CHOOSE(CONTROL!$C$26, $C$13, 100%, $E$13)</f>
        <v>8.6036999999999999</v>
      </c>
      <c r="J198" s="67">
        <f>4.5424 * CHOOSE(CONTROL!$C$26, $C$13, 100%, $E$13)</f>
        <v>4.5423999999999998</v>
      </c>
      <c r="K198" s="67">
        <f>4.5471 * CHOOSE(CONTROL!$C$26, $C$13, 100%, $E$13)</f>
        <v>4.5471000000000004</v>
      </c>
    </row>
    <row r="199" spans="1:11" ht="15">
      <c r="A199" s="13">
        <v>47178</v>
      </c>
      <c r="B199" s="66">
        <f>3.8767 * CHOOSE(CONTROL!$C$26, $C$13, 100%, $E$13)</f>
        <v>3.8767</v>
      </c>
      <c r="C199" s="66">
        <f>3.8767 * CHOOSE(CONTROL!$C$26, $C$13, 100%, $E$13)</f>
        <v>3.8767</v>
      </c>
      <c r="D199" s="66">
        <f>3.8806 * CHOOSE(CONTROL!$C$26, $C$13, 100%, $E$13)</f>
        <v>3.8805999999999998</v>
      </c>
      <c r="E199" s="67">
        <f>4.5983 * CHOOSE(CONTROL!$C$26, $C$13, 100%, $E$13)</f>
        <v>4.5983000000000001</v>
      </c>
      <c r="F199" s="67">
        <f>4.5983 * CHOOSE(CONTROL!$C$26, $C$13, 100%, $E$13)</f>
        <v>4.5983000000000001</v>
      </c>
      <c r="G199" s="67">
        <f>4.603 * CHOOSE(CONTROL!$C$26, $C$13, 100%, $E$13)</f>
        <v>4.6029999999999998</v>
      </c>
      <c r="H199" s="67">
        <f>8.6169* CHOOSE(CONTROL!$C$26, $C$13, 100%, $E$13)</f>
        <v>8.6168999999999993</v>
      </c>
      <c r="I199" s="67">
        <f>8.6217 * CHOOSE(CONTROL!$C$26, $C$13, 100%, $E$13)</f>
        <v>8.6217000000000006</v>
      </c>
      <c r="J199" s="67">
        <f>4.5983 * CHOOSE(CONTROL!$C$26, $C$13, 100%, $E$13)</f>
        <v>4.5983000000000001</v>
      </c>
      <c r="K199" s="67">
        <f>4.603 * CHOOSE(CONTROL!$C$26, $C$13, 100%, $E$13)</f>
        <v>4.6029999999999998</v>
      </c>
    </row>
    <row r="200" spans="1:11" ht="15">
      <c r="A200" s="13">
        <v>47209</v>
      </c>
      <c r="B200" s="66">
        <f>3.8743 * CHOOSE(CONTROL!$C$26, $C$13, 100%, $E$13)</f>
        <v>3.8742999999999999</v>
      </c>
      <c r="C200" s="66">
        <f>3.8743 * CHOOSE(CONTROL!$C$26, $C$13, 100%, $E$13)</f>
        <v>3.8742999999999999</v>
      </c>
      <c r="D200" s="66">
        <f>3.8781 * CHOOSE(CONTROL!$C$26, $C$13, 100%, $E$13)</f>
        <v>3.8780999999999999</v>
      </c>
      <c r="E200" s="67">
        <f>4.6563 * CHOOSE(CONTROL!$C$26, $C$13, 100%, $E$13)</f>
        <v>4.6562999999999999</v>
      </c>
      <c r="F200" s="67">
        <f>4.6563 * CHOOSE(CONTROL!$C$26, $C$13, 100%, $E$13)</f>
        <v>4.6562999999999999</v>
      </c>
      <c r="G200" s="67">
        <f>4.6611 * CHOOSE(CONTROL!$C$26, $C$13, 100%, $E$13)</f>
        <v>4.6611000000000002</v>
      </c>
      <c r="H200" s="67">
        <f>8.6348* CHOOSE(CONTROL!$C$26, $C$13, 100%, $E$13)</f>
        <v>8.6348000000000003</v>
      </c>
      <c r="I200" s="67">
        <f>8.6396 * CHOOSE(CONTROL!$C$26, $C$13, 100%, $E$13)</f>
        <v>8.6395999999999997</v>
      </c>
      <c r="J200" s="67">
        <f>4.6563 * CHOOSE(CONTROL!$C$26, $C$13, 100%, $E$13)</f>
        <v>4.6562999999999999</v>
      </c>
      <c r="K200" s="67">
        <f>4.6611 * CHOOSE(CONTROL!$C$26, $C$13, 100%, $E$13)</f>
        <v>4.6611000000000002</v>
      </c>
    </row>
    <row r="201" spans="1:11" ht="15">
      <c r="A201" s="13">
        <v>47239</v>
      </c>
      <c r="B201" s="66">
        <f>3.8743 * CHOOSE(CONTROL!$C$26, $C$13, 100%, $E$13)</f>
        <v>3.8742999999999999</v>
      </c>
      <c r="C201" s="66">
        <f>3.8743 * CHOOSE(CONTROL!$C$26, $C$13, 100%, $E$13)</f>
        <v>3.8742999999999999</v>
      </c>
      <c r="D201" s="66">
        <f>3.8798 * CHOOSE(CONTROL!$C$26, $C$13, 100%, $E$13)</f>
        <v>3.8797999999999999</v>
      </c>
      <c r="E201" s="67">
        <f>4.6797 * CHOOSE(CONTROL!$C$26, $C$13, 100%, $E$13)</f>
        <v>4.6797000000000004</v>
      </c>
      <c r="F201" s="67">
        <f>4.6797 * CHOOSE(CONTROL!$C$26, $C$13, 100%, $E$13)</f>
        <v>4.6797000000000004</v>
      </c>
      <c r="G201" s="67">
        <f>4.6864 * CHOOSE(CONTROL!$C$26, $C$13, 100%, $E$13)</f>
        <v>4.6863999999999999</v>
      </c>
      <c r="H201" s="67">
        <f>8.6528* CHOOSE(CONTROL!$C$26, $C$13, 100%, $E$13)</f>
        <v>8.6527999999999992</v>
      </c>
      <c r="I201" s="67">
        <f>8.6596 * CHOOSE(CONTROL!$C$26, $C$13, 100%, $E$13)</f>
        <v>8.6595999999999993</v>
      </c>
      <c r="J201" s="67">
        <f>4.6797 * CHOOSE(CONTROL!$C$26, $C$13, 100%, $E$13)</f>
        <v>4.6797000000000004</v>
      </c>
      <c r="K201" s="67">
        <f>4.6864 * CHOOSE(CONTROL!$C$26, $C$13, 100%, $E$13)</f>
        <v>4.6863999999999999</v>
      </c>
    </row>
    <row r="202" spans="1:11" ht="15">
      <c r="A202" s="13">
        <v>47270</v>
      </c>
      <c r="B202" s="66">
        <f>3.8803 * CHOOSE(CONTROL!$C$26, $C$13, 100%, $E$13)</f>
        <v>3.8803000000000001</v>
      </c>
      <c r="C202" s="66">
        <f>3.8803 * CHOOSE(CONTROL!$C$26, $C$13, 100%, $E$13)</f>
        <v>3.8803000000000001</v>
      </c>
      <c r="D202" s="66">
        <f>3.8858 * CHOOSE(CONTROL!$C$26, $C$13, 100%, $E$13)</f>
        <v>3.8858000000000001</v>
      </c>
      <c r="E202" s="67">
        <f>4.6606 * CHOOSE(CONTROL!$C$26, $C$13, 100%, $E$13)</f>
        <v>4.6605999999999996</v>
      </c>
      <c r="F202" s="67">
        <f>4.6606 * CHOOSE(CONTROL!$C$26, $C$13, 100%, $E$13)</f>
        <v>4.6605999999999996</v>
      </c>
      <c r="G202" s="67">
        <f>4.6673 * CHOOSE(CONTROL!$C$26, $C$13, 100%, $E$13)</f>
        <v>4.6673</v>
      </c>
      <c r="H202" s="67">
        <f>8.6709* CHOOSE(CONTROL!$C$26, $C$13, 100%, $E$13)</f>
        <v>8.6708999999999996</v>
      </c>
      <c r="I202" s="67">
        <f>8.6776 * CHOOSE(CONTROL!$C$26, $C$13, 100%, $E$13)</f>
        <v>8.6776</v>
      </c>
      <c r="J202" s="67">
        <f>4.6606 * CHOOSE(CONTROL!$C$26, $C$13, 100%, $E$13)</f>
        <v>4.6605999999999996</v>
      </c>
      <c r="K202" s="67">
        <f>4.6673 * CHOOSE(CONTROL!$C$26, $C$13, 100%, $E$13)</f>
        <v>4.6673</v>
      </c>
    </row>
    <row r="203" spans="1:11" ht="15">
      <c r="A203" s="13">
        <v>47300</v>
      </c>
      <c r="B203" s="66">
        <f>3.9341 * CHOOSE(CONTROL!$C$26, $C$13, 100%, $E$13)</f>
        <v>3.9340999999999999</v>
      </c>
      <c r="C203" s="66">
        <f>3.9341 * CHOOSE(CONTROL!$C$26, $C$13, 100%, $E$13)</f>
        <v>3.9340999999999999</v>
      </c>
      <c r="D203" s="66">
        <f>3.9396 * CHOOSE(CONTROL!$C$26, $C$13, 100%, $E$13)</f>
        <v>3.9396</v>
      </c>
      <c r="E203" s="67">
        <f>4.7415 * CHOOSE(CONTROL!$C$26, $C$13, 100%, $E$13)</f>
        <v>4.7415000000000003</v>
      </c>
      <c r="F203" s="67">
        <f>4.7415 * CHOOSE(CONTROL!$C$26, $C$13, 100%, $E$13)</f>
        <v>4.7415000000000003</v>
      </c>
      <c r="G203" s="67">
        <f>4.7482 * CHOOSE(CONTROL!$C$26, $C$13, 100%, $E$13)</f>
        <v>4.7481999999999998</v>
      </c>
      <c r="H203" s="67">
        <f>8.6889* CHOOSE(CONTROL!$C$26, $C$13, 100%, $E$13)</f>
        <v>8.6889000000000003</v>
      </c>
      <c r="I203" s="67">
        <f>8.6957 * CHOOSE(CONTROL!$C$26, $C$13, 100%, $E$13)</f>
        <v>8.6957000000000004</v>
      </c>
      <c r="J203" s="67">
        <f>4.7415 * CHOOSE(CONTROL!$C$26, $C$13, 100%, $E$13)</f>
        <v>4.7415000000000003</v>
      </c>
      <c r="K203" s="67">
        <f>4.7482 * CHOOSE(CONTROL!$C$26, $C$13, 100%, $E$13)</f>
        <v>4.7481999999999998</v>
      </c>
    </row>
    <row r="204" spans="1:11" ht="15">
      <c r="A204" s="13">
        <v>47331</v>
      </c>
      <c r="B204" s="66">
        <f>3.9407 * CHOOSE(CONTROL!$C$26, $C$13, 100%, $E$13)</f>
        <v>3.9407000000000001</v>
      </c>
      <c r="C204" s="66">
        <f>3.9407 * CHOOSE(CONTROL!$C$26, $C$13, 100%, $E$13)</f>
        <v>3.9407000000000001</v>
      </c>
      <c r="D204" s="66">
        <f>3.9463 * CHOOSE(CONTROL!$C$26, $C$13, 100%, $E$13)</f>
        <v>3.9462999999999999</v>
      </c>
      <c r="E204" s="67">
        <f>4.676 * CHOOSE(CONTROL!$C$26, $C$13, 100%, $E$13)</f>
        <v>4.6760000000000002</v>
      </c>
      <c r="F204" s="67">
        <f>4.676 * CHOOSE(CONTROL!$C$26, $C$13, 100%, $E$13)</f>
        <v>4.6760000000000002</v>
      </c>
      <c r="G204" s="67">
        <f>4.6828 * CHOOSE(CONTROL!$C$26, $C$13, 100%, $E$13)</f>
        <v>4.6828000000000003</v>
      </c>
      <c r="H204" s="67">
        <f>8.707* CHOOSE(CONTROL!$C$26, $C$13, 100%, $E$13)</f>
        <v>8.7070000000000007</v>
      </c>
      <c r="I204" s="67">
        <f>8.7138 * CHOOSE(CONTROL!$C$26, $C$13, 100%, $E$13)</f>
        <v>8.7138000000000009</v>
      </c>
      <c r="J204" s="67">
        <f>4.676 * CHOOSE(CONTROL!$C$26, $C$13, 100%, $E$13)</f>
        <v>4.6760000000000002</v>
      </c>
      <c r="K204" s="67">
        <f>4.6828 * CHOOSE(CONTROL!$C$26, $C$13, 100%, $E$13)</f>
        <v>4.6828000000000003</v>
      </c>
    </row>
    <row r="205" spans="1:11" ht="15">
      <c r="A205" s="13">
        <v>47362</v>
      </c>
      <c r="B205" s="66">
        <f>3.9377 * CHOOSE(CONTROL!$C$26, $C$13, 100%, $E$13)</f>
        <v>3.9377</v>
      </c>
      <c r="C205" s="66">
        <f>3.9377 * CHOOSE(CONTROL!$C$26, $C$13, 100%, $E$13)</f>
        <v>3.9377</v>
      </c>
      <c r="D205" s="66">
        <f>3.9432 * CHOOSE(CONTROL!$C$26, $C$13, 100%, $E$13)</f>
        <v>3.9432</v>
      </c>
      <c r="E205" s="67">
        <f>4.6661 * CHOOSE(CONTROL!$C$26, $C$13, 100%, $E$13)</f>
        <v>4.6661000000000001</v>
      </c>
      <c r="F205" s="67">
        <f>4.6661 * CHOOSE(CONTROL!$C$26, $C$13, 100%, $E$13)</f>
        <v>4.6661000000000001</v>
      </c>
      <c r="G205" s="67">
        <f>4.6728 * CHOOSE(CONTROL!$C$26, $C$13, 100%, $E$13)</f>
        <v>4.6727999999999996</v>
      </c>
      <c r="H205" s="67">
        <f>8.7252* CHOOSE(CONTROL!$C$26, $C$13, 100%, $E$13)</f>
        <v>8.7251999999999992</v>
      </c>
      <c r="I205" s="67">
        <f>8.7319 * CHOOSE(CONTROL!$C$26, $C$13, 100%, $E$13)</f>
        <v>8.7318999999999996</v>
      </c>
      <c r="J205" s="67">
        <f>4.6661 * CHOOSE(CONTROL!$C$26, $C$13, 100%, $E$13)</f>
        <v>4.6661000000000001</v>
      </c>
      <c r="K205" s="67">
        <f>4.6728 * CHOOSE(CONTROL!$C$26, $C$13, 100%, $E$13)</f>
        <v>4.6727999999999996</v>
      </c>
    </row>
    <row r="206" spans="1:11" ht="15">
      <c r="A206" s="13">
        <v>47392</v>
      </c>
      <c r="B206" s="66">
        <f>3.9325 * CHOOSE(CONTROL!$C$26, $C$13, 100%, $E$13)</f>
        <v>3.9325000000000001</v>
      </c>
      <c r="C206" s="66">
        <f>3.9325 * CHOOSE(CONTROL!$C$26, $C$13, 100%, $E$13)</f>
        <v>3.9325000000000001</v>
      </c>
      <c r="D206" s="66">
        <f>3.9363 * CHOOSE(CONTROL!$C$26, $C$13, 100%, $E$13)</f>
        <v>3.9363000000000001</v>
      </c>
      <c r="E206" s="67">
        <f>4.6838 * CHOOSE(CONTROL!$C$26, $C$13, 100%, $E$13)</f>
        <v>4.6837999999999997</v>
      </c>
      <c r="F206" s="67">
        <f>4.6838 * CHOOSE(CONTROL!$C$26, $C$13, 100%, $E$13)</f>
        <v>4.6837999999999997</v>
      </c>
      <c r="G206" s="67">
        <f>4.6886 * CHOOSE(CONTROL!$C$26, $C$13, 100%, $E$13)</f>
        <v>4.6886000000000001</v>
      </c>
      <c r="H206" s="67">
        <f>8.7433* CHOOSE(CONTROL!$C$26, $C$13, 100%, $E$13)</f>
        <v>8.7432999999999996</v>
      </c>
      <c r="I206" s="67">
        <f>8.7481 * CHOOSE(CONTROL!$C$26, $C$13, 100%, $E$13)</f>
        <v>8.7481000000000009</v>
      </c>
      <c r="J206" s="67">
        <f>4.6838 * CHOOSE(CONTROL!$C$26, $C$13, 100%, $E$13)</f>
        <v>4.6837999999999997</v>
      </c>
      <c r="K206" s="67">
        <f>4.6886 * CHOOSE(CONTROL!$C$26, $C$13, 100%, $E$13)</f>
        <v>4.6886000000000001</v>
      </c>
    </row>
    <row r="207" spans="1:11" ht="15">
      <c r="A207" s="13">
        <v>47423</v>
      </c>
      <c r="B207" s="66">
        <f>3.9355 * CHOOSE(CONTROL!$C$26, $C$13, 100%, $E$13)</f>
        <v>3.9355000000000002</v>
      </c>
      <c r="C207" s="66">
        <f>3.9355 * CHOOSE(CONTROL!$C$26, $C$13, 100%, $E$13)</f>
        <v>3.9355000000000002</v>
      </c>
      <c r="D207" s="66">
        <f>3.9394 * CHOOSE(CONTROL!$C$26, $C$13, 100%, $E$13)</f>
        <v>3.9394</v>
      </c>
      <c r="E207" s="67">
        <f>4.7015 * CHOOSE(CONTROL!$C$26, $C$13, 100%, $E$13)</f>
        <v>4.7015000000000002</v>
      </c>
      <c r="F207" s="67">
        <f>4.7015 * CHOOSE(CONTROL!$C$26, $C$13, 100%, $E$13)</f>
        <v>4.7015000000000002</v>
      </c>
      <c r="G207" s="67">
        <f>4.7063 * CHOOSE(CONTROL!$C$26, $C$13, 100%, $E$13)</f>
        <v>4.7062999999999997</v>
      </c>
      <c r="H207" s="67">
        <f>8.7616* CHOOSE(CONTROL!$C$26, $C$13, 100%, $E$13)</f>
        <v>8.7615999999999996</v>
      </c>
      <c r="I207" s="67">
        <f>8.7663 * CHOOSE(CONTROL!$C$26, $C$13, 100%, $E$13)</f>
        <v>8.7662999999999993</v>
      </c>
      <c r="J207" s="67">
        <f>4.7015 * CHOOSE(CONTROL!$C$26, $C$13, 100%, $E$13)</f>
        <v>4.7015000000000002</v>
      </c>
      <c r="K207" s="67">
        <f>4.7063 * CHOOSE(CONTROL!$C$26, $C$13, 100%, $E$13)</f>
        <v>4.7062999999999997</v>
      </c>
    </row>
    <row r="208" spans="1:11" ht="15">
      <c r="A208" s="13">
        <v>47453</v>
      </c>
      <c r="B208" s="66">
        <f>3.9355 * CHOOSE(CONTROL!$C$26, $C$13, 100%, $E$13)</f>
        <v>3.9355000000000002</v>
      </c>
      <c r="C208" s="66">
        <f>3.9355 * CHOOSE(CONTROL!$C$26, $C$13, 100%, $E$13)</f>
        <v>3.9355000000000002</v>
      </c>
      <c r="D208" s="66">
        <f>3.9394 * CHOOSE(CONTROL!$C$26, $C$13, 100%, $E$13)</f>
        <v>3.9394</v>
      </c>
      <c r="E208" s="67">
        <f>4.6626 * CHOOSE(CONTROL!$C$26, $C$13, 100%, $E$13)</f>
        <v>4.6626000000000003</v>
      </c>
      <c r="F208" s="67">
        <f>4.6626 * CHOOSE(CONTROL!$C$26, $C$13, 100%, $E$13)</f>
        <v>4.6626000000000003</v>
      </c>
      <c r="G208" s="67">
        <f>4.6674 * CHOOSE(CONTROL!$C$26, $C$13, 100%, $E$13)</f>
        <v>4.6673999999999998</v>
      </c>
      <c r="H208" s="67">
        <f>8.7798* CHOOSE(CONTROL!$C$26, $C$13, 100%, $E$13)</f>
        <v>8.7797999999999998</v>
      </c>
      <c r="I208" s="67">
        <f>8.7846 * CHOOSE(CONTROL!$C$26, $C$13, 100%, $E$13)</f>
        <v>8.7845999999999993</v>
      </c>
      <c r="J208" s="67">
        <f>4.6626 * CHOOSE(CONTROL!$C$26, $C$13, 100%, $E$13)</f>
        <v>4.6626000000000003</v>
      </c>
      <c r="K208" s="67">
        <f>4.6674 * CHOOSE(CONTROL!$C$26, $C$13, 100%, $E$13)</f>
        <v>4.6673999999999998</v>
      </c>
    </row>
    <row r="209" spans="1:11" ht="15">
      <c r="A209" s="13">
        <v>47484</v>
      </c>
      <c r="B209" s="66">
        <f>3.9695 * CHOOSE(CONTROL!$C$26, $C$13, 100%, $E$13)</f>
        <v>3.9695</v>
      </c>
      <c r="C209" s="66">
        <f>3.9695 * CHOOSE(CONTROL!$C$26, $C$13, 100%, $E$13)</f>
        <v>3.9695</v>
      </c>
      <c r="D209" s="66">
        <f>3.9734 * CHOOSE(CONTROL!$C$26, $C$13, 100%, $E$13)</f>
        <v>3.9733999999999998</v>
      </c>
      <c r="E209" s="67">
        <f>4.7284 * CHOOSE(CONTROL!$C$26, $C$13, 100%, $E$13)</f>
        <v>4.7283999999999997</v>
      </c>
      <c r="F209" s="67">
        <f>4.7284 * CHOOSE(CONTROL!$C$26, $C$13, 100%, $E$13)</f>
        <v>4.7283999999999997</v>
      </c>
      <c r="G209" s="67">
        <f>4.7332 * CHOOSE(CONTROL!$C$26, $C$13, 100%, $E$13)</f>
        <v>4.7332000000000001</v>
      </c>
      <c r="H209" s="67">
        <f>8.7981* CHOOSE(CONTROL!$C$26, $C$13, 100%, $E$13)</f>
        <v>8.7980999999999998</v>
      </c>
      <c r="I209" s="67">
        <f>8.8029 * CHOOSE(CONTROL!$C$26, $C$13, 100%, $E$13)</f>
        <v>8.8028999999999993</v>
      </c>
      <c r="J209" s="67">
        <f>4.7284 * CHOOSE(CONTROL!$C$26, $C$13, 100%, $E$13)</f>
        <v>4.7283999999999997</v>
      </c>
      <c r="K209" s="67">
        <f>4.7332 * CHOOSE(CONTROL!$C$26, $C$13, 100%, $E$13)</f>
        <v>4.7332000000000001</v>
      </c>
    </row>
    <row r="210" spans="1:11" ht="15">
      <c r="A210" s="13">
        <v>47515</v>
      </c>
      <c r="B210" s="66">
        <f>3.9664 * CHOOSE(CONTROL!$C$26, $C$13, 100%, $E$13)</f>
        <v>3.9664000000000001</v>
      </c>
      <c r="C210" s="66">
        <f>3.9664 * CHOOSE(CONTROL!$C$26, $C$13, 100%, $E$13)</f>
        <v>3.9664000000000001</v>
      </c>
      <c r="D210" s="66">
        <f>3.9703 * CHOOSE(CONTROL!$C$26, $C$13, 100%, $E$13)</f>
        <v>3.9702999999999999</v>
      </c>
      <c r="E210" s="67">
        <f>4.6508 * CHOOSE(CONTROL!$C$26, $C$13, 100%, $E$13)</f>
        <v>4.6508000000000003</v>
      </c>
      <c r="F210" s="67">
        <f>4.6508 * CHOOSE(CONTROL!$C$26, $C$13, 100%, $E$13)</f>
        <v>4.6508000000000003</v>
      </c>
      <c r="G210" s="67">
        <f>4.6556 * CHOOSE(CONTROL!$C$26, $C$13, 100%, $E$13)</f>
        <v>4.6555999999999997</v>
      </c>
      <c r="H210" s="67">
        <f>8.8164* CHOOSE(CONTROL!$C$26, $C$13, 100%, $E$13)</f>
        <v>8.8163999999999998</v>
      </c>
      <c r="I210" s="67">
        <f>8.8212 * CHOOSE(CONTROL!$C$26, $C$13, 100%, $E$13)</f>
        <v>8.8211999999999993</v>
      </c>
      <c r="J210" s="67">
        <f>4.6508 * CHOOSE(CONTROL!$C$26, $C$13, 100%, $E$13)</f>
        <v>4.6508000000000003</v>
      </c>
      <c r="K210" s="67">
        <f>4.6556 * CHOOSE(CONTROL!$C$26, $C$13, 100%, $E$13)</f>
        <v>4.6555999999999997</v>
      </c>
    </row>
    <row r="211" spans="1:11" ht="15">
      <c r="A211" s="13">
        <v>47543</v>
      </c>
      <c r="B211" s="66">
        <f>3.9634 * CHOOSE(CONTROL!$C$26, $C$13, 100%, $E$13)</f>
        <v>3.9634</v>
      </c>
      <c r="C211" s="66">
        <f>3.9634 * CHOOSE(CONTROL!$C$26, $C$13, 100%, $E$13)</f>
        <v>3.9634</v>
      </c>
      <c r="D211" s="66">
        <f>3.9673 * CHOOSE(CONTROL!$C$26, $C$13, 100%, $E$13)</f>
        <v>3.9672999999999998</v>
      </c>
      <c r="E211" s="67">
        <f>4.7082 * CHOOSE(CONTROL!$C$26, $C$13, 100%, $E$13)</f>
        <v>4.7081999999999997</v>
      </c>
      <c r="F211" s="67">
        <f>4.7082 * CHOOSE(CONTROL!$C$26, $C$13, 100%, $E$13)</f>
        <v>4.7081999999999997</v>
      </c>
      <c r="G211" s="67">
        <f>4.713 * CHOOSE(CONTROL!$C$26, $C$13, 100%, $E$13)</f>
        <v>4.7130000000000001</v>
      </c>
      <c r="H211" s="67">
        <f>8.8348* CHOOSE(CONTROL!$C$26, $C$13, 100%, $E$13)</f>
        <v>8.8347999999999995</v>
      </c>
      <c r="I211" s="67">
        <f>8.8396 * CHOOSE(CONTROL!$C$26, $C$13, 100%, $E$13)</f>
        <v>8.8396000000000008</v>
      </c>
      <c r="J211" s="67">
        <f>4.7082 * CHOOSE(CONTROL!$C$26, $C$13, 100%, $E$13)</f>
        <v>4.7081999999999997</v>
      </c>
      <c r="K211" s="67">
        <f>4.713 * CHOOSE(CONTROL!$C$26, $C$13, 100%, $E$13)</f>
        <v>4.7130000000000001</v>
      </c>
    </row>
    <row r="212" spans="1:11" ht="15">
      <c r="A212" s="13">
        <v>47574</v>
      </c>
      <c r="B212" s="66">
        <f>3.961 * CHOOSE(CONTROL!$C$26, $C$13, 100%, $E$13)</f>
        <v>3.9609999999999999</v>
      </c>
      <c r="C212" s="66">
        <f>3.961 * CHOOSE(CONTROL!$C$26, $C$13, 100%, $E$13)</f>
        <v>3.9609999999999999</v>
      </c>
      <c r="D212" s="66">
        <f>3.9649 * CHOOSE(CONTROL!$C$26, $C$13, 100%, $E$13)</f>
        <v>3.9649000000000001</v>
      </c>
      <c r="E212" s="67">
        <f>4.7679 * CHOOSE(CONTROL!$C$26, $C$13, 100%, $E$13)</f>
        <v>4.7679</v>
      </c>
      <c r="F212" s="67">
        <f>4.7679 * CHOOSE(CONTROL!$C$26, $C$13, 100%, $E$13)</f>
        <v>4.7679</v>
      </c>
      <c r="G212" s="67">
        <f>4.7726 * CHOOSE(CONTROL!$C$26, $C$13, 100%, $E$13)</f>
        <v>4.7725999999999997</v>
      </c>
      <c r="H212" s="67">
        <f>8.8532* CHOOSE(CONTROL!$C$26, $C$13, 100%, $E$13)</f>
        <v>8.8531999999999993</v>
      </c>
      <c r="I212" s="67">
        <f>8.858 * CHOOSE(CONTROL!$C$26, $C$13, 100%, $E$13)</f>
        <v>8.8580000000000005</v>
      </c>
      <c r="J212" s="67">
        <f>4.7679 * CHOOSE(CONTROL!$C$26, $C$13, 100%, $E$13)</f>
        <v>4.7679</v>
      </c>
      <c r="K212" s="67">
        <f>4.7726 * CHOOSE(CONTROL!$C$26, $C$13, 100%, $E$13)</f>
        <v>4.7725999999999997</v>
      </c>
    </row>
    <row r="213" spans="1:11" ht="15">
      <c r="A213" s="13">
        <v>47604</v>
      </c>
      <c r="B213" s="66">
        <f>3.961 * CHOOSE(CONTROL!$C$26, $C$13, 100%, $E$13)</f>
        <v>3.9609999999999999</v>
      </c>
      <c r="C213" s="66">
        <f>3.961 * CHOOSE(CONTROL!$C$26, $C$13, 100%, $E$13)</f>
        <v>3.9609999999999999</v>
      </c>
      <c r="D213" s="66">
        <f>3.9665 * CHOOSE(CONTROL!$C$26, $C$13, 100%, $E$13)</f>
        <v>3.9664999999999999</v>
      </c>
      <c r="E213" s="67">
        <f>4.7918 * CHOOSE(CONTROL!$C$26, $C$13, 100%, $E$13)</f>
        <v>4.7918000000000003</v>
      </c>
      <c r="F213" s="67">
        <f>4.7918 * CHOOSE(CONTROL!$C$26, $C$13, 100%, $E$13)</f>
        <v>4.7918000000000003</v>
      </c>
      <c r="G213" s="67">
        <f>4.7986 * CHOOSE(CONTROL!$C$26, $C$13, 100%, $E$13)</f>
        <v>4.7986000000000004</v>
      </c>
      <c r="H213" s="67">
        <f>8.8717* CHOOSE(CONTROL!$C$26, $C$13, 100%, $E$13)</f>
        <v>8.8717000000000006</v>
      </c>
      <c r="I213" s="67">
        <f>8.8784 * CHOOSE(CONTROL!$C$26, $C$13, 100%, $E$13)</f>
        <v>8.8783999999999992</v>
      </c>
      <c r="J213" s="67">
        <f>4.7918 * CHOOSE(CONTROL!$C$26, $C$13, 100%, $E$13)</f>
        <v>4.7918000000000003</v>
      </c>
      <c r="K213" s="67">
        <f>4.7986 * CHOOSE(CONTROL!$C$26, $C$13, 100%, $E$13)</f>
        <v>4.7986000000000004</v>
      </c>
    </row>
    <row r="214" spans="1:11" ht="15">
      <c r="A214" s="13">
        <v>47635</v>
      </c>
      <c r="B214" s="66">
        <f>3.9671 * CHOOSE(CONTROL!$C$26, $C$13, 100%, $E$13)</f>
        <v>3.9670999999999998</v>
      </c>
      <c r="C214" s="66">
        <f>3.9671 * CHOOSE(CONTROL!$C$26, $C$13, 100%, $E$13)</f>
        <v>3.9670999999999998</v>
      </c>
      <c r="D214" s="66">
        <f>3.9726 * CHOOSE(CONTROL!$C$26, $C$13, 100%, $E$13)</f>
        <v>3.9725999999999999</v>
      </c>
      <c r="E214" s="67">
        <f>4.7721 * CHOOSE(CONTROL!$C$26, $C$13, 100%, $E$13)</f>
        <v>4.7721</v>
      </c>
      <c r="F214" s="67">
        <f>4.7721 * CHOOSE(CONTROL!$C$26, $C$13, 100%, $E$13)</f>
        <v>4.7721</v>
      </c>
      <c r="G214" s="67">
        <f>4.7789 * CHOOSE(CONTROL!$C$26, $C$13, 100%, $E$13)</f>
        <v>4.7789000000000001</v>
      </c>
      <c r="H214" s="67">
        <f>8.8901* CHOOSE(CONTROL!$C$26, $C$13, 100%, $E$13)</f>
        <v>8.8901000000000003</v>
      </c>
      <c r="I214" s="67">
        <f>8.8969 * CHOOSE(CONTROL!$C$26, $C$13, 100%, $E$13)</f>
        <v>8.8969000000000005</v>
      </c>
      <c r="J214" s="67">
        <f>4.7721 * CHOOSE(CONTROL!$C$26, $C$13, 100%, $E$13)</f>
        <v>4.7721</v>
      </c>
      <c r="K214" s="67">
        <f>4.7789 * CHOOSE(CONTROL!$C$26, $C$13, 100%, $E$13)</f>
        <v>4.7789000000000001</v>
      </c>
    </row>
    <row r="215" spans="1:11" ht="15">
      <c r="A215" s="13">
        <v>47665</v>
      </c>
      <c r="B215" s="66">
        <f>4.0298 * CHOOSE(CONTROL!$C$26, $C$13, 100%, $E$13)</f>
        <v>4.0297999999999998</v>
      </c>
      <c r="C215" s="66">
        <f>4.0298 * CHOOSE(CONTROL!$C$26, $C$13, 100%, $E$13)</f>
        <v>4.0297999999999998</v>
      </c>
      <c r="D215" s="66">
        <f>4.0353 * CHOOSE(CONTROL!$C$26, $C$13, 100%, $E$13)</f>
        <v>4.0353000000000003</v>
      </c>
      <c r="E215" s="67">
        <f>4.8562 * CHOOSE(CONTROL!$C$26, $C$13, 100%, $E$13)</f>
        <v>4.8562000000000003</v>
      </c>
      <c r="F215" s="67">
        <f>4.8562 * CHOOSE(CONTROL!$C$26, $C$13, 100%, $E$13)</f>
        <v>4.8562000000000003</v>
      </c>
      <c r="G215" s="67">
        <f>4.8629 * CHOOSE(CONTROL!$C$26, $C$13, 100%, $E$13)</f>
        <v>4.8628999999999998</v>
      </c>
      <c r="H215" s="67">
        <f>8.9087* CHOOSE(CONTROL!$C$26, $C$13, 100%, $E$13)</f>
        <v>8.9086999999999996</v>
      </c>
      <c r="I215" s="67">
        <f>8.9154 * CHOOSE(CONTROL!$C$26, $C$13, 100%, $E$13)</f>
        <v>8.9154</v>
      </c>
      <c r="J215" s="67">
        <f>4.8562 * CHOOSE(CONTROL!$C$26, $C$13, 100%, $E$13)</f>
        <v>4.8562000000000003</v>
      </c>
      <c r="K215" s="67">
        <f>4.8629 * CHOOSE(CONTROL!$C$26, $C$13, 100%, $E$13)</f>
        <v>4.8628999999999998</v>
      </c>
    </row>
    <row r="216" spans="1:11" ht="15">
      <c r="A216" s="13">
        <v>47696</v>
      </c>
      <c r="B216" s="66">
        <f>4.0365 * CHOOSE(CONTROL!$C$26, $C$13, 100%, $E$13)</f>
        <v>4.0365000000000002</v>
      </c>
      <c r="C216" s="66">
        <f>4.0365 * CHOOSE(CONTROL!$C$26, $C$13, 100%, $E$13)</f>
        <v>4.0365000000000002</v>
      </c>
      <c r="D216" s="66">
        <f>4.042 * CHOOSE(CONTROL!$C$26, $C$13, 100%, $E$13)</f>
        <v>4.0419999999999998</v>
      </c>
      <c r="E216" s="67">
        <f>4.7889 * CHOOSE(CONTROL!$C$26, $C$13, 100%, $E$13)</f>
        <v>4.7888999999999999</v>
      </c>
      <c r="F216" s="67">
        <f>4.7889 * CHOOSE(CONTROL!$C$26, $C$13, 100%, $E$13)</f>
        <v>4.7888999999999999</v>
      </c>
      <c r="G216" s="67">
        <f>4.7957 * CHOOSE(CONTROL!$C$26, $C$13, 100%, $E$13)</f>
        <v>4.7957000000000001</v>
      </c>
      <c r="H216" s="67">
        <f>8.9272* CHOOSE(CONTROL!$C$26, $C$13, 100%, $E$13)</f>
        <v>8.9271999999999991</v>
      </c>
      <c r="I216" s="67">
        <f>8.934 * CHOOSE(CONTROL!$C$26, $C$13, 100%, $E$13)</f>
        <v>8.9339999999999993</v>
      </c>
      <c r="J216" s="67">
        <f>4.7889 * CHOOSE(CONTROL!$C$26, $C$13, 100%, $E$13)</f>
        <v>4.7888999999999999</v>
      </c>
      <c r="K216" s="67">
        <f>4.7957 * CHOOSE(CONTROL!$C$26, $C$13, 100%, $E$13)</f>
        <v>4.7957000000000001</v>
      </c>
    </row>
    <row r="217" spans="1:11" ht="15">
      <c r="A217" s="13">
        <v>47727</v>
      </c>
      <c r="B217" s="66">
        <f>4.0334 * CHOOSE(CONTROL!$C$26, $C$13, 100%, $E$13)</f>
        <v>4.0334000000000003</v>
      </c>
      <c r="C217" s="66">
        <f>4.0334 * CHOOSE(CONTROL!$C$26, $C$13, 100%, $E$13)</f>
        <v>4.0334000000000003</v>
      </c>
      <c r="D217" s="66">
        <f>4.0389 * CHOOSE(CONTROL!$C$26, $C$13, 100%, $E$13)</f>
        <v>4.0388999999999999</v>
      </c>
      <c r="E217" s="67">
        <f>4.7788 * CHOOSE(CONTROL!$C$26, $C$13, 100%, $E$13)</f>
        <v>4.7788000000000004</v>
      </c>
      <c r="F217" s="67">
        <f>4.7788 * CHOOSE(CONTROL!$C$26, $C$13, 100%, $E$13)</f>
        <v>4.7788000000000004</v>
      </c>
      <c r="G217" s="67">
        <f>4.7856 * CHOOSE(CONTROL!$C$26, $C$13, 100%, $E$13)</f>
        <v>4.7855999999999996</v>
      </c>
      <c r="H217" s="67">
        <f>8.9458* CHOOSE(CONTROL!$C$26, $C$13, 100%, $E$13)</f>
        <v>8.9458000000000002</v>
      </c>
      <c r="I217" s="67">
        <f>8.9526 * CHOOSE(CONTROL!$C$26, $C$13, 100%, $E$13)</f>
        <v>8.9526000000000003</v>
      </c>
      <c r="J217" s="67">
        <f>4.7788 * CHOOSE(CONTROL!$C$26, $C$13, 100%, $E$13)</f>
        <v>4.7788000000000004</v>
      </c>
      <c r="K217" s="67">
        <f>4.7856 * CHOOSE(CONTROL!$C$26, $C$13, 100%, $E$13)</f>
        <v>4.7855999999999996</v>
      </c>
    </row>
    <row r="218" spans="1:11" ht="15">
      <c r="A218" s="13">
        <v>47757</v>
      </c>
      <c r="B218" s="66">
        <f>4.0286 * CHOOSE(CONTROL!$C$26, $C$13, 100%, $E$13)</f>
        <v>4.0286</v>
      </c>
      <c r="C218" s="66">
        <f>4.0286 * CHOOSE(CONTROL!$C$26, $C$13, 100%, $E$13)</f>
        <v>4.0286</v>
      </c>
      <c r="D218" s="66">
        <f>4.0324 * CHOOSE(CONTROL!$C$26, $C$13, 100%, $E$13)</f>
        <v>4.0324</v>
      </c>
      <c r="E218" s="67">
        <f>4.7974 * CHOOSE(CONTROL!$C$26, $C$13, 100%, $E$13)</f>
        <v>4.7973999999999997</v>
      </c>
      <c r="F218" s="67">
        <f>4.7974 * CHOOSE(CONTROL!$C$26, $C$13, 100%, $E$13)</f>
        <v>4.7973999999999997</v>
      </c>
      <c r="G218" s="67">
        <f>4.8021 * CHOOSE(CONTROL!$C$26, $C$13, 100%, $E$13)</f>
        <v>4.8021000000000003</v>
      </c>
      <c r="H218" s="67">
        <f>8.9645* CHOOSE(CONTROL!$C$26, $C$13, 100%, $E$13)</f>
        <v>8.9644999999999992</v>
      </c>
      <c r="I218" s="67">
        <f>8.9692 * CHOOSE(CONTROL!$C$26, $C$13, 100%, $E$13)</f>
        <v>8.9692000000000007</v>
      </c>
      <c r="J218" s="67">
        <f>4.7974 * CHOOSE(CONTROL!$C$26, $C$13, 100%, $E$13)</f>
        <v>4.7973999999999997</v>
      </c>
      <c r="K218" s="67">
        <f>4.8021 * CHOOSE(CONTROL!$C$26, $C$13, 100%, $E$13)</f>
        <v>4.8021000000000003</v>
      </c>
    </row>
    <row r="219" spans="1:11" ht="15">
      <c r="A219" s="13">
        <v>47788</v>
      </c>
      <c r="B219" s="66">
        <f>4.0316 * CHOOSE(CONTROL!$C$26, $C$13, 100%, $E$13)</f>
        <v>4.0316000000000001</v>
      </c>
      <c r="C219" s="66">
        <f>4.0316 * CHOOSE(CONTROL!$C$26, $C$13, 100%, $E$13)</f>
        <v>4.0316000000000001</v>
      </c>
      <c r="D219" s="66">
        <f>4.0355 * CHOOSE(CONTROL!$C$26, $C$13, 100%, $E$13)</f>
        <v>4.0354999999999999</v>
      </c>
      <c r="E219" s="67">
        <f>4.8155 * CHOOSE(CONTROL!$C$26, $C$13, 100%, $E$13)</f>
        <v>4.8155000000000001</v>
      </c>
      <c r="F219" s="67">
        <f>4.8155 * CHOOSE(CONTROL!$C$26, $C$13, 100%, $E$13)</f>
        <v>4.8155000000000001</v>
      </c>
      <c r="G219" s="67">
        <f>4.8202 * CHOOSE(CONTROL!$C$26, $C$13, 100%, $E$13)</f>
        <v>4.8201999999999998</v>
      </c>
      <c r="H219" s="67">
        <f>8.9831* CHOOSE(CONTROL!$C$26, $C$13, 100%, $E$13)</f>
        <v>8.9831000000000003</v>
      </c>
      <c r="I219" s="67">
        <f>8.9879 * CHOOSE(CONTROL!$C$26, $C$13, 100%, $E$13)</f>
        <v>8.9878999999999998</v>
      </c>
      <c r="J219" s="67">
        <f>4.8155 * CHOOSE(CONTROL!$C$26, $C$13, 100%, $E$13)</f>
        <v>4.8155000000000001</v>
      </c>
      <c r="K219" s="67">
        <f>4.8202 * CHOOSE(CONTROL!$C$26, $C$13, 100%, $E$13)</f>
        <v>4.8201999999999998</v>
      </c>
    </row>
    <row r="220" spans="1:11" ht="15">
      <c r="A220" s="13">
        <v>47818</v>
      </c>
      <c r="B220" s="66">
        <f>4.0316 * CHOOSE(CONTROL!$C$26, $C$13, 100%, $E$13)</f>
        <v>4.0316000000000001</v>
      </c>
      <c r="C220" s="66">
        <f>4.0316 * CHOOSE(CONTROL!$C$26, $C$13, 100%, $E$13)</f>
        <v>4.0316000000000001</v>
      </c>
      <c r="D220" s="66">
        <f>4.0355 * CHOOSE(CONTROL!$C$26, $C$13, 100%, $E$13)</f>
        <v>4.0354999999999999</v>
      </c>
      <c r="E220" s="67">
        <f>4.7755 * CHOOSE(CONTROL!$C$26, $C$13, 100%, $E$13)</f>
        <v>4.7755000000000001</v>
      </c>
      <c r="F220" s="67">
        <f>4.7755 * CHOOSE(CONTROL!$C$26, $C$13, 100%, $E$13)</f>
        <v>4.7755000000000001</v>
      </c>
      <c r="G220" s="67">
        <f>4.7803 * CHOOSE(CONTROL!$C$26, $C$13, 100%, $E$13)</f>
        <v>4.7803000000000004</v>
      </c>
      <c r="H220" s="67">
        <f>9.0018* CHOOSE(CONTROL!$C$26, $C$13, 100%, $E$13)</f>
        <v>9.0017999999999994</v>
      </c>
      <c r="I220" s="67">
        <f>9.0066 * CHOOSE(CONTROL!$C$26, $C$13, 100%, $E$13)</f>
        <v>9.0066000000000006</v>
      </c>
      <c r="J220" s="67">
        <f>4.7755 * CHOOSE(CONTROL!$C$26, $C$13, 100%, $E$13)</f>
        <v>4.7755000000000001</v>
      </c>
      <c r="K220" s="67">
        <f>4.7803 * CHOOSE(CONTROL!$C$26, $C$13, 100%, $E$13)</f>
        <v>4.7803000000000004</v>
      </c>
    </row>
    <row r="221" spans="1:11" ht="15">
      <c r="A221" s="13">
        <v>47849</v>
      </c>
      <c r="B221" s="66">
        <f>4.065 * CHOOSE(CONTROL!$C$26, $C$13, 100%, $E$13)</f>
        <v>4.0650000000000004</v>
      </c>
      <c r="C221" s="66">
        <f>4.065 * CHOOSE(CONTROL!$C$26, $C$13, 100%, $E$13)</f>
        <v>4.0650000000000004</v>
      </c>
      <c r="D221" s="66">
        <f>4.0689 * CHOOSE(CONTROL!$C$26, $C$13, 100%, $E$13)</f>
        <v>4.0689000000000002</v>
      </c>
      <c r="E221" s="67">
        <f>4.8568 * CHOOSE(CONTROL!$C$26, $C$13, 100%, $E$13)</f>
        <v>4.8567999999999998</v>
      </c>
      <c r="F221" s="67">
        <f>4.8568 * CHOOSE(CONTROL!$C$26, $C$13, 100%, $E$13)</f>
        <v>4.8567999999999998</v>
      </c>
      <c r="G221" s="67">
        <f>4.8616 * CHOOSE(CONTROL!$C$26, $C$13, 100%, $E$13)</f>
        <v>4.8616000000000001</v>
      </c>
      <c r="H221" s="67">
        <f>9.0206* CHOOSE(CONTROL!$C$26, $C$13, 100%, $E$13)</f>
        <v>9.0206</v>
      </c>
      <c r="I221" s="67">
        <f>9.0254 * CHOOSE(CONTROL!$C$26, $C$13, 100%, $E$13)</f>
        <v>9.0253999999999994</v>
      </c>
      <c r="J221" s="67">
        <f>4.8568 * CHOOSE(CONTROL!$C$26, $C$13, 100%, $E$13)</f>
        <v>4.8567999999999998</v>
      </c>
      <c r="K221" s="67">
        <f>4.8616 * CHOOSE(CONTROL!$C$26, $C$13, 100%, $E$13)</f>
        <v>4.8616000000000001</v>
      </c>
    </row>
    <row r="222" spans="1:11" ht="15">
      <c r="A222" s="13">
        <v>47880</v>
      </c>
      <c r="B222" s="66">
        <f>4.062 * CHOOSE(CONTROL!$C$26, $C$13, 100%, $E$13)</f>
        <v>4.0620000000000003</v>
      </c>
      <c r="C222" s="66">
        <f>4.062 * CHOOSE(CONTROL!$C$26, $C$13, 100%, $E$13)</f>
        <v>4.0620000000000003</v>
      </c>
      <c r="D222" s="66">
        <f>4.0659 * CHOOSE(CONTROL!$C$26, $C$13, 100%, $E$13)</f>
        <v>4.0659000000000001</v>
      </c>
      <c r="E222" s="67">
        <f>4.7772 * CHOOSE(CONTROL!$C$26, $C$13, 100%, $E$13)</f>
        <v>4.7771999999999997</v>
      </c>
      <c r="F222" s="67">
        <f>4.7772 * CHOOSE(CONTROL!$C$26, $C$13, 100%, $E$13)</f>
        <v>4.7771999999999997</v>
      </c>
      <c r="G222" s="67">
        <f>4.782 * CHOOSE(CONTROL!$C$26, $C$13, 100%, $E$13)</f>
        <v>4.782</v>
      </c>
      <c r="H222" s="67">
        <f>9.0394* CHOOSE(CONTROL!$C$26, $C$13, 100%, $E$13)</f>
        <v>9.0394000000000005</v>
      </c>
      <c r="I222" s="67">
        <f>9.0442 * CHOOSE(CONTROL!$C$26, $C$13, 100%, $E$13)</f>
        <v>9.0442</v>
      </c>
      <c r="J222" s="67">
        <f>4.7772 * CHOOSE(CONTROL!$C$26, $C$13, 100%, $E$13)</f>
        <v>4.7771999999999997</v>
      </c>
      <c r="K222" s="67">
        <f>4.782 * CHOOSE(CONTROL!$C$26, $C$13, 100%, $E$13)</f>
        <v>4.782</v>
      </c>
    </row>
    <row r="223" spans="1:11" ht="15">
      <c r="A223" s="13">
        <v>47908</v>
      </c>
      <c r="B223" s="66">
        <f>4.059 * CHOOSE(CONTROL!$C$26, $C$13, 100%, $E$13)</f>
        <v>4.0590000000000002</v>
      </c>
      <c r="C223" s="66">
        <f>4.059 * CHOOSE(CONTROL!$C$26, $C$13, 100%, $E$13)</f>
        <v>4.0590000000000002</v>
      </c>
      <c r="D223" s="66">
        <f>4.0628 * CHOOSE(CONTROL!$C$26, $C$13, 100%, $E$13)</f>
        <v>4.0628000000000002</v>
      </c>
      <c r="E223" s="67">
        <f>4.8362 * CHOOSE(CONTROL!$C$26, $C$13, 100%, $E$13)</f>
        <v>4.8361999999999998</v>
      </c>
      <c r="F223" s="67">
        <f>4.8362 * CHOOSE(CONTROL!$C$26, $C$13, 100%, $E$13)</f>
        <v>4.8361999999999998</v>
      </c>
      <c r="G223" s="67">
        <f>4.8409 * CHOOSE(CONTROL!$C$26, $C$13, 100%, $E$13)</f>
        <v>4.8409000000000004</v>
      </c>
      <c r="H223" s="67">
        <f>9.0582* CHOOSE(CONTROL!$C$26, $C$13, 100%, $E$13)</f>
        <v>9.0581999999999994</v>
      </c>
      <c r="I223" s="67">
        <f>9.063 * CHOOSE(CONTROL!$C$26, $C$13, 100%, $E$13)</f>
        <v>9.0630000000000006</v>
      </c>
      <c r="J223" s="67">
        <f>4.8362 * CHOOSE(CONTROL!$C$26, $C$13, 100%, $E$13)</f>
        <v>4.8361999999999998</v>
      </c>
      <c r="K223" s="67">
        <f>4.8409 * CHOOSE(CONTROL!$C$26, $C$13, 100%, $E$13)</f>
        <v>4.8409000000000004</v>
      </c>
    </row>
    <row r="224" spans="1:11" ht="15">
      <c r="A224" s="13">
        <v>47939</v>
      </c>
      <c r="B224" s="66">
        <f>4.0567 * CHOOSE(CONTROL!$C$26, $C$13, 100%, $E$13)</f>
        <v>4.0567000000000002</v>
      </c>
      <c r="C224" s="66">
        <f>4.0567 * CHOOSE(CONTROL!$C$26, $C$13, 100%, $E$13)</f>
        <v>4.0567000000000002</v>
      </c>
      <c r="D224" s="66">
        <f>4.0605 * CHOOSE(CONTROL!$C$26, $C$13, 100%, $E$13)</f>
        <v>4.0605000000000002</v>
      </c>
      <c r="E224" s="67">
        <f>4.8975 * CHOOSE(CONTROL!$C$26, $C$13, 100%, $E$13)</f>
        <v>4.8975</v>
      </c>
      <c r="F224" s="67">
        <f>4.8975 * CHOOSE(CONTROL!$C$26, $C$13, 100%, $E$13)</f>
        <v>4.8975</v>
      </c>
      <c r="G224" s="67">
        <f>4.9022 * CHOOSE(CONTROL!$C$26, $C$13, 100%, $E$13)</f>
        <v>4.9021999999999997</v>
      </c>
      <c r="H224" s="67">
        <f>9.0771* CHOOSE(CONTROL!$C$26, $C$13, 100%, $E$13)</f>
        <v>9.0770999999999997</v>
      </c>
      <c r="I224" s="67">
        <f>9.0819 * CHOOSE(CONTROL!$C$26, $C$13, 100%, $E$13)</f>
        <v>9.0818999999999992</v>
      </c>
      <c r="J224" s="67">
        <f>4.8975 * CHOOSE(CONTROL!$C$26, $C$13, 100%, $E$13)</f>
        <v>4.8975</v>
      </c>
      <c r="K224" s="67">
        <f>4.9022 * CHOOSE(CONTROL!$C$26, $C$13, 100%, $E$13)</f>
        <v>4.9021999999999997</v>
      </c>
    </row>
    <row r="225" spans="1:11" ht="15">
      <c r="A225" s="13">
        <v>47969</v>
      </c>
      <c r="B225" s="66">
        <f>4.0567 * CHOOSE(CONTROL!$C$26, $C$13, 100%, $E$13)</f>
        <v>4.0567000000000002</v>
      </c>
      <c r="C225" s="66">
        <f>4.0567 * CHOOSE(CONTROL!$C$26, $C$13, 100%, $E$13)</f>
        <v>4.0567000000000002</v>
      </c>
      <c r="D225" s="66">
        <f>4.0622 * CHOOSE(CONTROL!$C$26, $C$13, 100%, $E$13)</f>
        <v>4.0621999999999998</v>
      </c>
      <c r="E225" s="67">
        <f>4.9221 * CHOOSE(CONTROL!$C$26, $C$13, 100%, $E$13)</f>
        <v>4.9221000000000004</v>
      </c>
      <c r="F225" s="67">
        <f>4.9221 * CHOOSE(CONTROL!$C$26, $C$13, 100%, $E$13)</f>
        <v>4.9221000000000004</v>
      </c>
      <c r="G225" s="67">
        <f>4.9288 * CHOOSE(CONTROL!$C$26, $C$13, 100%, $E$13)</f>
        <v>4.9287999999999998</v>
      </c>
      <c r="H225" s="67">
        <f>9.096* CHOOSE(CONTROL!$C$26, $C$13, 100%, $E$13)</f>
        <v>9.0960000000000001</v>
      </c>
      <c r="I225" s="67">
        <f>9.1027 * CHOOSE(CONTROL!$C$26, $C$13, 100%, $E$13)</f>
        <v>9.1027000000000005</v>
      </c>
      <c r="J225" s="67">
        <f>4.9221 * CHOOSE(CONTROL!$C$26, $C$13, 100%, $E$13)</f>
        <v>4.9221000000000004</v>
      </c>
      <c r="K225" s="67">
        <f>4.9288 * CHOOSE(CONTROL!$C$26, $C$13, 100%, $E$13)</f>
        <v>4.9287999999999998</v>
      </c>
    </row>
    <row r="226" spans="1:11" ht="15">
      <c r="A226" s="13">
        <v>48000</v>
      </c>
      <c r="B226" s="66">
        <f>4.0627 * CHOOSE(CONTROL!$C$26, $C$13, 100%, $E$13)</f>
        <v>4.0627000000000004</v>
      </c>
      <c r="C226" s="66">
        <f>4.0627 * CHOOSE(CONTROL!$C$26, $C$13, 100%, $E$13)</f>
        <v>4.0627000000000004</v>
      </c>
      <c r="D226" s="66">
        <f>4.0682 * CHOOSE(CONTROL!$C$26, $C$13, 100%, $E$13)</f>
        <v>4.0682</v>
      </c>
      <c r="E226" s="67">
        <f>4.9017 * CHOOSE(CONTROL!$C$26, $C$13, 100%, $E$13)</f>
        <v>4.9016999999999999</v>
      </c>
      <c r="F226" s="67">
        <f>4.9017 * CHOOSE(CONTROL!$C$26, $C$13, 100%, $E$13)</f>
        <v>4.9016999999999999</v>
      </c>
      <c r="G226" s="67">
        <f>4.9085 * CHOOSE(CONTROL!$C$26, $C$13, 100%, $E$13)</f>
        <v>4.9085000000000001</v>
      </c>
      <c r="H226" s="67">
        <f>9.115* CHOOSE(CONTROL!$C$26, $C$13, 100%, $E$13)</f>
        <v>9.1150000000000002</v>
      </c>
      <c r="I226" s="67">
        <f>9.1217 * CHOOSE(CONTROL!$C$26, $C$13, 100%, $E$13)</f>
        <v>9.1217000000000006</v>
      </c>
      <c r="J226" s="67">
        <f>4.9017 * CHOOSE(CONTROL!$C$26, $C$13, 100%, $E$13)</f>
        <v>4.9016999999999999</v>
      </c>
      <c r="K226" s="67">
        <f>4.9085 * CHOOSE(CONTROL!$C$26, $C$13, 100%, $E$13)</f>
        <v>4.9085000000000001</v>
      </c>
    </row>
    <row r="227" spans="1:11" ht="15">
      <c r="A227" s="13">
        <v>48030</v>
      </c>
      <c r="B227" s="66">
        <f>4.1241 * CHOOSE(CONTROL!$C$26, $C$13, 100%, $E$13)</f>
        <v>4.1241000000000003</v>
      </c>
      <c r="C227" s="66">
        <f>4.1241 * CHOOSE(CONTROL!$C$26, $C$13, 100%, $E$13)</f>
        <v>4.1241000000000003</v>
      </c>
      <c r="D227" s="66">
        <f>4.1296 * CHOOSE(CONTROL!$C$26, $C$13, 100%, $E$13)</f>
        <v>4.1295999999999999</v>
      </c>
      <c r="E227" s="67">
        <f>5.0209 * CHOOSE(CONTROL!$C$26, $C$13, 100%, $E$13)</f>
        <v>5.0209000000000001</v>
      </c>
      <c r="F227" s="67">
        <f>5.0209 * CHOOSE(CONTROL!$C$26, $C$13, 100%, $E$13)</f>
        <v>5.0209000000000001</v>
      </c>
      <c r="G227" s="67">
        <f>5.0277 * CHOOSE(CONTROL!$C$26, $C$13, 100%, $E$13)</f>
        <v>5.0277000000000003</v>
      </c>
      <c r="H227" s="67">
        <f>9.1339* CHOOSE(CONTROL!$C$26, $C$13, 100%, $E$13)</f>
        <v>9.1339000000000006</v>
      </c>
      <c r="I227" s="67">
        <f>9.1407 * CHOOSE(CONTROL!$C$26, $C$13, 100%, $E$13)</f>
        <v>9.1407000000000007</v>
      </c>
      <c r="J227" s="67">
        <f>5.0209 * CHOOSE(CONTROL!$C$26, $C$13, 100%, $E$13)</f>
        <v>5.0209000000000001</v>
      </c>
      <c r="K227" s="67">
        <f>5.0277 * CHOOSE(CONTROL!$C$26, $C$13, 100%, $E$13)</f>
        <v>5.0277000000000003</v>
      </c>
    </row>
    <row r="228" spans="1:11" ht="15">
      <c r="A228" s="13">
        <v>48061</v>
      </c>
      <c r="B228" s="66">
        <f>4.1308 * CHOOSE(CONTROL!$C$26, $C$13, 100%, $E$13)</f>
        <v>4.1307999999999998</v>
      </c>
      <c r="C228" s="66">
        <f>4.1308 * CHOOSE(CONTROL!$C$26, $C$13, 100%, $E$13)</f>
        <v>4.1307999999999998</v>
      </c>
      <c r="D228" s="66">
        <f>4.1363 * CHOOSE(CONTROL!$C$26, $C$13, 100%, $E$13)</f>
        <v>4.1363000000000003</v>
      </c>
      <c r="E228" s="67">
        <f>4.9519 * CHOOSE(CONTROL!$C$26, $C$13, 100%, $E$13)</f>
        <v>4.9519000000000002</v>
      </c>
      <c r="F228" s="67">
        <f>4.9519 * CHOOSE(CONTROL!$C$26, $C$13, 100%, $E$13)</f>
        <v>4.9519000000000002</v>
      </c>
      <c r="G228" s="67">
        <f>4.9586 * CHOOSE(CONTROL!$C$26, $C$13, 100%, $E$13)</f>
        <v>4.9585999999999997</v>
      </c>
      <c r="H228" s="67">
        <f>9.153* CHOOSE(CONTROL!$C$26, $C$13, 100%, $E$13)</f>
        <v>9.1530000000000005</v>
      </c>
      <c r="I228" s="67">
        <f>9.1597 * CHOOSE(CONTROL!$C$26, $C$13, 100%, $E$13)</f>
        <v>9.1597000000000008</v>
      </c>
      <c r="J228" s="67">
        <f>4.9519 * CHOOSE(CONTROL!$C$26, $C$13, 100%, $E$13)</f>
        <v>4.9519000000000002</v>
      </c>
      <c r="K228" s="67">
        <f>4.9586 * CHOOSE(CONTROL!$C$26, $C$13, 100%, $E$13)</f>
        <v>4.9585999999999997</v>
      </c>
    </row>
    <row r="229" spans="1:11" ht="15">
      <c r="A229" s="13">
        <v>48092</v>
      </c>
      <c r="B229" s="66">
        <f>4.1278 * CHOOSE(CONTROL!$C$26, $C$13, 100%, $E$13)</f>
        <v>4.1277999999999997</v>
      </c>
      <c r="C229" s="66">
        <f>4.1278 * CHOOSE(CONTROL!$C$26, $C$13, 100%, $E$13)</f>
        <v>4.1277999999999997</v>
      </c>
      <c r="D229" s="66">
        <f>4.1333 * CHOOSE(CONTROL!$C$26, $C$13, 100%, $E$13)</f>
        <v>4.1333000000000002</v>
      </c>
      <c r="E229" s="67">
        <f>4.9415 * CHOOSE(CONTROL!$C$26, $C$13, 100%, $E$13)</f>
        <v>4.9414999999999996</v>
      </c>
      <c r="F229" s="67">
        <f>4.9415 * CHOOSE(CONTROL!$C$26, $C$13, 100%, $E$13)</f>
        <v>4.9414999999999996</v>
      </c>
      <c r="G229" s="67">
        <f>4.9483 * CHOOSE(CONTROL!$C$26, $C$13, 100%, $E$13)</f>
        <v>4.9482999999999997</v>
      </c>
      <c r="H229" s="67">
        <f>9.172* CHOOSE(CONTROL!$C$26, $C$13, 100%, $E$13)</f>
        <v>9.1720000000000006</v>
      </c>
      <c r="I229" s="67">
        <f>9.1788 * CHOOSE(CONTROL!$C$26, $C$13, 100%, $E$13)</f>
        <v>9.1788000000000007</v>
      </c>
      <c r="J229" s="67">
        <f>4.9415 * CHOOSE(CONTROL!$C$26, $C$13, 100%, $E$13)</f>
        <v>4.9414999999999996</v>
      </c>
      <c r="K229" s="67">
        <f>4.9483 * CHOOSE(CONTROL!$C$26, $C$13, 100%, $E$13)</f>
        <v>4.9482999999999997</v>
      </c>
    </row>
    <row r="230" spans="1:11" ht="15">
      <c r="A230" s="13">
        <v>48122</v>
      </c>
      <c r="B230" s="66">
        <f>4.1232 * CHOOSE(CONTROL!$C$26, $C$13, 100%, $E$13)</f>
        <v>4.1231999999999998</v>
      </c>
      <c r="C230" s="66">
        <f>4.1232 * CHOOSE(CONTROL!$C$26, $C$13, 100%, $E$13)</f>
        <v>4.1231999999999998</v>
      </c>
      <c r="D230" s="66">
        <f>4.1271 * CHOOSE(CONTROL!$C$26, $C$13, 100%, $E$13)</f>
        <v>4.1271000000000004</v>
      </c>
      <c r="E230" s="67">
        <f>4.9609 * CHOOSE(CONTROL!$C$26, $C$13, 100%, $E$13)</f>
        <v>4.9608999999999996</v>
      </c>
      <c r="F230" s="67">
        <f>4.9609 * CHOOSE(CONTROL!$C$26, $C$13, 100%, $E$13)</f>
        <v>4.9608999999999996</v>
      </c>
      <c r="G230" s="67">
        <f>4.9657 * CHOOSE(CONTROL!$C$26, $C$13, 100%, $E$13)</f>
        <v>4.9657</v>
      </c>
      <c r="H230" s="67">
        <f>9.1911* CHOOSE(CONTROL!$C$26, $C$13, 100%, $E$13)</f>
        <v>9.1911000000000005</v>
      </c>
      <c r="I230" s="67">
        <f>9.1959 * CHOOSE(CONTROL!$C$26, $C$13, 100%, $E$13)</f>
        <v>9.1959</v>
      </c>
      <c r="J230" s="67">
        <f>4.9609 * CHOOSE(CONTROL!$C$26, $C$13, 100%, $E$13)</f>
        <v>4.9608999999999996</v>
      </c>
      <c r="K230" s="67">
        <f>4.9657 * CHOOSE(CONTROL!$C$26, $C$13, 100%, $E$13)</f>
        <v>4.9657</v>
      </c>
    </row>
    <row r="231" spans="1:11" ht="15">
      <c r="A231" s="13">
        <v>48153</v>
      </c>
      <c r="B231" s="66">
        <f>4.1263 * CHOOSE(CONTROL!$C$26, $C$13, 100%, $E$13)</f>
        <v>4.1262999999999996</v>
      </c>
      <c r="C231" s="66">
        <f>4.1263 * CHOOSE(CONTROL!$C$26, $C$13, 100%, $E$13)</f>
        <v>4.1262999999999996</v>
      </c>
      <c r="D231" s="66">
        <f>4.1301 * CHOOSE(CONTROL!$C$26, $C$13, 100%, $E$13)</f>
        <v>4.1300999999999997</v>
      </c>
      <c r="E231" s="67">
        <f>4.9794 * CHOOSE(CONTROL!$C$26, $C$13, 100%, $E$13)</f>
        <v>4.9794</v>
      </c>
      <c r="F231" s="67">
        <f>4.9794 * CHOOSE(CONTROL!$C$26, $C$13, 100%, $E$13)</f>
        <v>4.9794</v>
      </c>
      <c r="G231" s="67">
        <f>4.9842 * CHOOSE(CONTROL!$C$26, $C$13, 100%, $E$13)</f>
        <v>4.9842000000000004</v>
      </c>
      <c r="H231" s="67">
        <f>9.2103* CHOOSE(CONTROL!$C$26, $C$13, 100%, $E$13)</f>
        <v>9.2103000000000002</v>
      </c>
      <c r="I231" s="67">
        <f>9.2151 * CHOOSE(CONTROL!$C$26, $C$13, 100%, $E$13)</f>
        <v>9.2150999999999996</v>
      </c>
      <c r="J231" s="67">
        <f>4.9794 * CHOOSE(CONTROL!$C$26, $C$13, 100%, $E$13)</f>
        <v>4.9794</v>
      </c>
      <c r="K231" s="67">
        <f>4.9842 * CHOOSE(CONTROL!$C$26, $C$13, 100%, $E$13)</f>
        <v>4.9842000000000004</v>
      </c>
    </row>
    <row r="232" spans="1:11" ht="15">
      <c r="A232" s="13">
        <v>48183</v>
      </c>
      <c r="B232" s="66">
        <f>4.1263 * CHOOSE(CONTROL!$C$26, $C$13, 100%, $E$13)</f>
        <v>4.1262999999999996</v>
      </c>
      <c r="C232" s="66">
        <f>4.1263 * CHOOSE(CONTROL!$C$26, $C$13, 100%, $E$13)</f>
        <v>4.1262999999999996</v>
      </c>
      <c r="D232" s="66">
        <f>4.1301 * CHOOSE(CONTROL!$C$26, $C$13, 100%, $E$13)</f>
        <v>4.1300999999999997</v>
      </c>
      <c r="E232" s="67">
        <f>4.9384 * CHOOSE(CONTROL!$C$26, $C$13, 100%, $E$13)</f>
        <v>4.9383999999999997</v>
      </c>
      <c r="F232" s="67">
        <f>4.9384 * CHOOSE(CONTROL!$C$26, $C$13, 100%, $E$13)</f>
        <v>4.9383999999999997</v>
      </c>
      <c r="G232" s="67">
        <f>4.9432 * CHOOSE(CONTROL!$C$26, $C$13, 100%, $E$13)</f>
        <v>4.9432</v>
      </c>
      <c r="H232" s="67">
        <f>9.2295* CHOOSE(CONTROL!$C$26, $C$13, 100%, $E$13)</f>
        <v>9.2294999999999998</v>
      </c>
      <c r="I232" s="67">
        <f>9.2343 * CHOOSE(CONTROL!$C$26, $C$13, 100%, $E$13)</f>
        <v>9.2342999999999993</v>
      </c>
      <c r="J232" s="67">
        <f>4.9384 * CHOOSE(CONTROL!$C$26, $C$13, 100%, $E$13)</f>
        <v>4.9383999999999997</v>
      </c>
      <c r="K232" s="67">
        <f>4.9432 * CHOOSE(CONTROL!$C$26, $C$13, 100%, $E$13)</f>
        <v>4.9432</v>
      </c>
    </row>
    <row r="233" spans="1:11" ht="15">
      <c r="A233" s="13">
        <v>48214</v>
      </c>
      <c r="B233" s="66">
        <f>4.1645 * CHOOSE(CONTROL!$C$26, $C$13, 100%, $E$13)</f>
        <v>4.1645000000000003</v>
      </c>
      <c r="C233" s="66">
        <f>4.1645 * CHOOSE(CONTROL!$C$26, $C$13, 100%, $E$13)</f>
        <v>4.1645000000000003</v>
      </c>
      <c r="D233" s="66">
        <f>4.1683 * CHOOSE(CONTROL!$C$26, $C$13, 100%, $E$13)</f>
        <v>4.1683000000000003</v>
      </c>
      <c r="E233" s="67">
        <f>5.0152 * CHOOSE(CONTROL!$C$26, $C$13, 100%, $E$13)</f>
        <v>5.0152000000000001</v>
      </c>
      <c r="F233" s="67">
        <f>5.0152 * CHOOSE(CONTROL!$C$26, $C$13, 100%, $E$13)</f>
        <v>5.0152000000000001</v>
      </c>
      <c r="G233" s="67">
        <f>5.02 * CHOOSE(CONTROL!$C$26, $C$13, 100%, $E$13)</f>
        <v>5.0199999999999996</v>
      </c>
      <c r="H233" s="67">
        <f>9.2487* CHOOSE(CONTROL!$C$26, $C$13, 100%, $E$13)</f>
        <v>9.2486999999999995</v>
      </c>
      <c r="I233" s="67">
        <f>9.2535 * CHOOSE(CONTROL!$C$26, $C$13, 100%, $E$13)</f>
        <v>9.2535000000000007</v>
      </c>
      <c r="J233" s="67">
        <f>5.0152 * CHOOSE(CONTROL!$C$26, $C$13, 100%, $E$13)</f>
        <v>5.0152000000000001</v>
      </c>
      <c r="K233" s="67">
        <f>5.02 * CHOOSE(CONTROL!$C$26, $C$13, 100%, $E$13)</f>
        <v>5.0199999999999996</v>
      </c>
    </row>
    <row r="234" spans="1:11" ht="15">
      <c r="A234" s="13">
        <v>48245</v>
      </c>
      <c r="B234" s="66">
        <f>4.1614 * CHOOSE(CONTROL!$C$26, $C$13, 100%, $E$13)</f>
        <v>4.1614000000000004</v>
      </c>
      <c r="C234" s="66">
        <f>4.1614 * CHOOSE(CONTROL!$C$26, $C$13, 100%, $E$13)</f>
        <v>4.1614000000000004</v>
      </c>
      <c r="D234" s="66">
        <f>4.1653 * CHOOSE(CONTROL!$C$26, $C$13, 100%, $E$13)</f>
        <v>4.1653000000000002</v>
      </c>
      <c r="E234" s="67">
        <f>4.9336 * CHOOSE(CONTROL!$C$26, $C$13, 100%, $E$13)</f>
        <v>4.9336000000000002</v>
      </c>
      <c r="F234" s="67">
        <f>4.9336 * CHOOSE(CONTROL!$C$26, $C$13, 100%, $E$13)</f>
        <v>4.9336000000000002</v>
      </c>
      <c r="G234" s="67">
        <f>4.9384 * CHOOSE(CONTROL!$C$26, $C$13, 100%, $E$13)</f>
        <v>4.9383999999999997</v>
      </c>
      <c r="H234" s="67">
        <f>9.268* CHOOSE(CONTROL!$C$26, $C$13, 100%, $E$13)</f>
        <v>9.2680000000000007</v>
      </c>
      <c r="I234" s="67">
        <f>9.2727 * CHOOSE(CONTROL!$C$26, $C$13, 100%, $E$13)</f>
        <v>9.2727000000000004</v>
      </c>
      <c r="J234" s="67">
        <f>4.9336 * CHOOSE(CONTROL!$C$26, $C$13, 100%, $E$13)</f>
        <v>4.9336000000000002</v>
      </c>
      <c r="K234" s="67">
        <f>4.9384 * CHOOSE(CONTROL!$C$26, $C$13, 100%, $E$13)</f>
        <v>4.9383999999999997</v>
      </c>
    </row>
    <row r="235" spans="1:11" ht="15">
      <c r="A235" s="13">
        <v>48274</v>
      </c>
      <c r="B235" s="66">
        <f>4.1584 * CHOOSE(CONTROL!$C$26, $C$13, 100%, $E$13)</f>
        <v>4.1584000000000003</v>
      </c>
      <c r="C235" s="66">
        <f>4.1584 * CHOOSE(CONTROL!$C$26, $C$13, 100%, $E$13)</f>
        <v>4.1584000000000003</v>
      </c>
      <c r="D235" s="66">
        <f>4.1623 * CHOOSE(CONTROL!$C$26, $C$13, 100%, $E$13)</f>
        <v>4.1623000000000001</v>
      </c>
      <c r="E235" s="67">
        <f>4.9942 * CHOOSE(CONTROL!$C$26, $C$13, 100%, $E$13)</f>
        <v>4.9942000000000002</v>
      </c>
      <c r="F235" s="67">
        <f>4.9942 * CHOOSE(CONTROL!$C$26, $C$13, 100%, $E$13)</f>
        <v>4.9942000000000002</v>
      </c>
      <c r="G235" s="67">
        <f>4.9989 * CHOOSE(CONTROL!$C$26, $C$13, 100%, $E$13)</f>
        <v>4.9988999999999999</v>
      </c>
      <c r="H235" s="67">
        <f>9.2873* CHOOSE(CONTROL!$C$26, $C$13, 100%, $E$13)</f>
        <v>9.2873000000000001</v>
      </c>
      <c r="I235" s="67">
        <f>9.2921 * CHOOSE(CONTROL!$C$26, $C$13, 100%, $E$13)</f>
        <v>9.2920999999999996</v>
      </c>
      <c r="J235" s="67">
        <f>4.9942 * CHOOSE(CONTROL!$C$26, $C$13, 100%, $E$13)</f>
        <v>4.9942000000000002</v>
      </c>
      <c r="K235" s="67">
        <f>4.9989 * CHOOSE(CONTROL!$C$26, $C$13, 100%, $E$13)</f>
        <v>4.9988999999999999</v>
      </c>
    </row>
    <row r="236" spans="1:11" ht="15">
      <c r="A236" s="13">
        <v>48305</v>
      </c>
      <c r="B236" s="66">
        <f>4.1562 * CHOOSE(CONTROL!$C$26, $C$13, 100%, $E$13)</f>
        <v>4.1562000000000001</v>
      </c>
      <c r="C236" s="66">
        <f>4.1562 * CHOOSE(CONTROL!$C$26, $C$13, 100%, $E$13)</f>
        <v>4.1562000000000001</v>
      </c>
      <c r="D236" s="66">
        <f>4.1601 * CHOOSE(CONTROL!$C$26, $C$13, 100%, $E$13)</f>
        <v>4.1600999999999999</v>
      </c>
      <c r="E236" s="67">
        <f>5.0572 * CHOOSE(CONTROL!$C$26, $C$13, 100%, $E$13)</f>
        <v>5.0571999999999999</v>
      </c>
      <c r="F236" s="67">
        <f>5.0572 * CHOOSE(CONTROL!$C$26, $C$13, 100%, $E$13)</f>
        <v>5.0571999999999999</v>
      </c>
      <c r="G236" s="67">
        <f>5.062 * CHOOSE(CONTROL!$C$26, $C$13, 100%, $E$13)</f>
        <v>5.0620000000000003</v>
      </c>
      <c r="H236" s="67">
        <f>9.3066* CHOOSE(CONTROL!$C$26, $C$13, 100%, $E$13)</f>
        <v>9.3065999999999995</v>
      </c>
      <c r="I236" s="67">
        <f>9.3114 * CHOOSE(CONTROL!$C$26, $C$13, 100%, $E$13)</f>
        <v>9.3114000000000008</v>
      </c>
      <c r="J236" s="67">
        <f>5.0572 * CHOOSE(CONTROL!$C$26, $C$13, 100%, $E$13)</f>
        <v>5.0571999999999999</v>
      </c>
      <c r="K236" s="67">
        <f>5.062 * CHOOSE(CONTROL!$C$26, $C$13, 100%, $E$13)</f>
        <v>5.0620000000000003</v>
      </c>
    </row>
    <row r="237" spans="1:11" ht="15">
      <c r="A237" s="13">
        <v>48335</v>
      </c>
      <c r="B237" s="66">
        <f>4.1562 * CHOOSE(CONTROL!$C$26, $C$13, 100%, $E$13)</f>
        <v>4.1562000000000001</v>
      </c>
      <c r="C237" s="66">
        <f>4.1562 * CHOOSE(CONTROL!$C$26, $C$13, 100%, $E$13)</f>
        <v>4.1562000000000001</v>
      </c>
      <c r="D237" s="66">
        <f>4.1617 * CHOOSE(CONTROL!$C$26, $C$13, 100%, $E$13)</f>
        <v>4.1616999999999997</v>
      </c>
      <c r="E237" s="67">
        <f>5.0825 * CHOOSE(CONTROL!$C$26, $C$13, 100%, $E$13)</f>
        <v>5.0824999999999996</v>
      </c>
      <c r="F237" s="67">
        <f>5.0825 * CHOOSE(CONTROL!$C$26, $C$13, 100%, $E$13)</f>
        <v>5.0824999999999996</v>
      </c>
      <c r="G237" s="67">
        <f>5.0892 * CHOOSE(CONTROL!$C$26, $C$13, 100%, $E$13)</f>
        <v>5.0891999999999999</v>
      </c>
      <c r="H237" s="67">
        <f>9.326* CHOOSE(CONTROL!$C$26, $C$13, 100%, $E$13)</f>
        <v>9.3260000000000005</v>
      </c>
      <c r="I237" s="67">
        <f>9.3328 * CHOOSE(CONTROL!$C$26, $C$13, 100%, $E$13)</f>
        <v>9.3328000000000007</v>
      </c>
      <c r="J237" s="67">
        <f>5.0825 * CHOOSE(CONTROL!$C$26, $C$13, 100%, $E$13)</f>
        <v>5.0824999999999996</v>
      </c>
      <c r="K237" s="67">
        <f>5.0892 * CHOOSE(CONTROL!$C$26, $C$13, 100%, $E$13)</f>
        <v>5.0891999999999999</v>
      </c>
    </row>
    <row r="238" spans="1:11" ht="15">
      <c r="A238" s="13">
        <v>48366</v>
      </c>
      <c r="B238" s="66">
        <f>4.1623 * CHOOSE(CONTROL!$C$26, $C$13, 100%, $E$13)</f>
        <v>4.1623000000000001</v>
      </c>
      <c r="C238" s="66">
        <f>4.1623 * CHOOSE(CONTROL!$C$26, $C$13, 100%, $E$13)</f>
        <v>4.1623000000000001</v>
      </c>
      <c r="D238" s="66">
        <f>4.1678 * CHOOSE(CONTROL!$C$26, $C$13, 100%, $E$13)</f>
        <v>4.1677999999999997</v>
      </c>
      <c r="E238" s="67">
        <f>5.0615 * CHOOSE(CONTROL!$C$26, $C$13, 100%, $E$13)</f>
        <v>5.0614999999999997</v>
      </c>
      <c r="F238" s="67">
        <f>5.0615 * CHOOSE(CONTROL!$C$26, $C$13, 100%, $E$13)</f>
        <v>5.0614999999999997</v>
      </c>
      <c r="G238" s="67">
        <f>5.0682 * CHOOSE(CONTROL!$C$26, $C$13, 100%, $E$13)</f>
        <v>5.0682</v>
      </c>
      <c r="H238" s="67">
        <f>9.3455* CHOOSE(CONTROL!$C$26, $C$13, 100%, $E$13)</f>
        <v>9.3454999999999995</v>
      </c>
      <c r="I238" s="67">
        <f>9.3522 * CHOOSE(CONTROL!$C$26, $C$13, 100%, $E$13)</f>
        <v>9.3521999999999998</v>
      </c>
      <c r="J238" s="67">
        <f>5.0615 * CHOOSE(CONTROL!$C$26, $C$13, 100%, $E$13)</f>
        <v>5.0614999999999997</v>
      </c>
      <c r="K238" s="67">
        <f>5.0682 * CHOOSE(CONTROL!$C$26, $C$13, 100%, $E$13)</f>
        <v>5.0682</v>
      </c>
    </row>
    <row r="239" spans="1:11" ht="15">
      <c r="A239" s="13">
        <v>48396</v>
      </c>
      <c r="B239" s="66">
        <f>4.2341 * CHOOSE(CONTROL!$C$26, $C$13, 100%, $E$13)</f>
        <v>4.2340999999999998</v>
      </c>
      <c r="C239" s="66">
        <f>4.2341 * CHOOSE(CONTROL!$C$26, $C$13, 100%, $E$13)</f>
        <v>4.2340999999999998</v>
      </c>
      <c r="D239" s="66">
        <f>4.2396 * CHOOSE(CONTROL!$C$26, $C$13, 100%, $E$13)</f>
        <v>4.2396000000000003</v>
      </c>
      <c r="E239" s="67">
        <f>5.166 * CHOOSE(CONTROL!$C$26, $C$13, 100%, $E$13)</f>
        <v>5.1660000000000004</v>
      </c>
      <c r="F239" s="67">
        <f>5.166 * CHOOSE(CONTROL!$C$26, $C$13, 100%, $E$13)</f>
        <v>5.1660000000000004</v>
      </c>
      <c r="G239" s="67">
        <f>5.1728 * CHOOSE(CONTROL!$C$26, $C$13, 100%, $E$13)</f>
        <v>5.1727999999999996</v>
      </c>
      <c r="H239" s="67">
        <f>9.3649* CHOOSE(CONTROL!$C$26, $C$13, 100%, $E$13)</f>
        <v>9.3649000000000004</v>
      </c>
      <c r="I239" s="67">
        <f>9.3717 * CHOOSE(CONTROL!$C$26, $C$13, 100%, $E$13)</f>
        <v>9.3717000000000006</v>
      </c>
      <c r="J239" s="67">
        <f>5.166 * CHOOSE(CONTROL!$C$26, $C$13, 100%, $E$13)</f>
        <v>5.1660000000000004</v>
      </c>
      <c r="K239" s="67">
        <f>5.1728 * CHOOSE(CONTROL!$C$26, $C$13, 100%, $E$13)</f>
        <v>5.1727999999999996</v>
      </c>
    </row>
    <row r="240" spans="1:11" ht="15">
      <c r="A240" s="13">
        <v>48427</v>
      </c>
      <c r="B240" s="66">
        <f>4.2408 * CHOOSE(CONTROL!$C$26, $C$13, 100%, $E$13)</f>
        <v>4.2408000000000001</v>
      </c>
      <c r="C240" s="66">
        <f>4.2408 * CHOOSE(CONTROL!$C$26, $C$13, 100%, $E$13)</f>
        <v>4.2408000000000001</v>
      </c>
      <c r="D240" s="66">
        <f>4.2463 * CHOOSE(CONTROL!$C$26, $C$13, 100%, $E$13)</f>
        <v>4.2462999999999997</v>
      </c>
      <c r="E240" s="67">
        <f>5.095 * CHOOSE(CONTROL!$C$26, $C$13, 100%, $E$13)</f>
        <v>5.0949999999999998</v>
      </c>
      <c r="F240" s="67">
        <f>5.095 * CHOOSE(CONTROL!$C$26, $C$13, 100%, $E$13)</f>
        <v>5.0949999999999998</v>
      </c>
      <c r="G240" s="67">
        <f>5.1017 * CHOOSE(CONTROL!$C$26, $C$13, 100%, $E$13)</f>
        <v>5.1017000000000001</v>
      </c>
      <c r="H240" s="67">
        <f>9.3844* CHOOSE(CONTROL!$C$26, $C$13, 100%, $E$13)</f>
        <v>9.3843999999999994</v>
      </c>
      <c r="I240" s="67">
        <f>9.3912 * CHOOSE(CONTROL!$C$26, $C$13, 100%, $E$13)</f>
        <v>9.3911999999999995</v>
      </c>
      <c r="J240" s="67">
        <f>5.095 * CHOOSE(CONTROL!$C$26, $C$13, 100%, $E$13)</f>
        <v>5.0949999999999998</v>
      </c>
      <c r="K240" s="67">
        <f>5.1017 * CHOOSE(CONTROL!$C$26, $C$13, 100%, $E$13)</f>
        <v>5.1017000000000001</v>
      </c>
    </row>
    <row r="241" spans="1:11" ht="15">
      <c r="A241" s="13">
        <v>48458</v>
      </c>
      <c r="B241" s="66">
        <f>4.2378 * CHOOSE(CONTROL!$C$26, $C$13, 100%, $E$13)</f>
        <v>4.2378</v>
      </c>
      <c r="C241" s="66">
        <f>4.2378 * CHOOSE(CONTROL!$C$26, $C$13, 100%, $E$13)</f>
        <v>4.2378</v>
      </c>
      <c r="D241" s="66">
        <f>4.2433 * CHOOSE(CONTROL!$C$26, $C$13, 100%, $E$13)</f>
        <v>4.2432999999999996</v>
      </c>
      <c r="E241" s="67">
        <f>5.0844 * CHOOSE(CONTROL!$C$26, $C$13, 100%, $E$13)</f>
        <v>5.0843999999999996</v>
      </c>
      <c r="F241" s="67">
        <f>5.0844 * CHOOSE(CONTROL!$C$26, $C$13, 100%, $E$13)</f>
        <v>5.0843999999999996</v>
      </c>
      <c r="G241" s="67">
        <f>5.0912 * CHOOSE(CONTROL!$C$26, $C$13, 100%, $E$13)</f>
        <v>5.0911999999999997</v>
      </c>
      <c r="H241" s="67">
        <f>9.404* CHOOSE(CONTROL!$C$26, $C$13, 100%, $E$13)</f>
        <v>9.4039999999999999</v>
      </c>
      <c r="I241" s="67">
        <f>9.4107 * CHOOSE(CONTROL!$C$26, $C$13, 100%, $E$13)</f>
        <v>9.4107000000000003</v>
      </c>
      <c r="J241" s="67">
        <f>5.0844 * CHOOSE(CONTROL!$C$26, $C$13, 100%, $E$13)</f>
        <v>5.0843999999999996</v>
      </c>
      <c r="K241" s="67">
        <f>5.0912 * CHOOSE(CONTROL!$C$26, $C$13, 100%, $E$13)</f>
        <v>5.0911999999999997</v>
      </c>
    </row>
    <row r="242" spans="1:11" ht="15">
      <c r="A242" s="13">
        <v>48488</v>
      </c>
      <c r="B242" s="66">
        <f>4.2336 * CHOOSE(CONTROL!$C$26, $C$13, 100%, $E$13)</f>
        <v>4.2336</v>
      </c>
      <c r="C242" s="66">
        <f>4.2336 * CHOOSE(CONTROL!$C$26, $C$13, 100%, $E$13)</f>
        <v>4.2336</v>
      </c>
      <c r="D242" s="66">
        <f>4.2375 * CHOOSE(CONTROL!$C$26, $C$13, 100%, $E$13)</f>
        <v>4.2374999999999998</v>
      </c>
      <c r="E242" s="67">
        <f>5.1047 * CHOOSE(CONTROL!$C$26, $C$13, 100%, $E$13)</f>
        <v>5.1047000000000002</v>
      </c>
      <c r="F242" s="67">
        <f>5.1047 * CHOOSE(CONTROL!$C$26, $C$13, 100%, $E$13)</f>
        <v>5.1047000000000002</v>
      </c>
      <c r="G242" s="67">
        <f>5.1094 * CHOOSE(CONTROL!$C$26, $C$13, 100%, $E$13)</f>
        <v>5.1093999999999999</v>
      </c>
      <c r="H242" s="67">
        <f>9.4236* CHOOSE(CONTROL!$C$26, $C$13, 100%, $E$13)</f>
        <v>9.4236000000000004</v>
      </c>
      <c r="I242" s="67">
        <f>9.4283 * CHOOSE(CONTROL!$C$26, $C$13, 100%, $E$13)</f>
        <v>9.4283000000000001</v>
      </c>
      <c r="J242" s="67">
        <f>5.1047 * CHOOSE(CONTROL!$C$26, $C$13, 100%, $E$13)</f>
        <v>5.1047000000000002</v>
      </c>
      <c r="K242" s="67">
        <f>5.1094 * CHOOSE(CONTROL!$C$26, $C$13, 100%, $E$13)</f>
        <v>5.1093999999999999</v>
      </c>
    </row>
    <row r="243" spans="1:11" ht="15">
      <c r="A243" s="13">
        <v>48519</v>
      </c>
      <c r="B243" s="66">
        <f>4.2367 * CHOOSE(CONTROL!$C$26, $C$13, 100%, $E$13)</f>
        <v>4.2366999999999999</v>
      </c>
      <c r="C243" s="66">
        <f>4.2367 * CHOOSE(CONTROL!$C$26, $C$13, 100%, $E$13)</f>
        <v>4.2366999999999999</v>
      </c>
      <c r="D243" s="66">
        <f>4.2405 * CHOOSE(CONTROL!$C$26, $C$13, 100%, $E$13)</f>
        <v>4.2404999999999999</v>
      </c>
      <c r="E243" s="67">
        <f>5.1236 * CHOOSE(CONTROL!$C$26, $C$13, 100%, $E$13)</f>
        <v>5.1235999999999997</v>
      </c>
      <c r="F243" s="67">
        <f>5.1236 * CHOOSE(CONTROL!$C$26, $C$13, 100%, $E$13)</f>
        <v>5.1235999999999997</v>
      </c>
      <c r="G243" s="67">
        <f>5.1284 * CHOOSE(CONTROL!$C$26, $C$13, 100%, $E$13)</f>
        <v>5.1284000000000001</v>
      </c>
      <c r="H243" s="67">
        <f>9.4432* CHOOSE(CONTROL!$C$26, $C$13, 100%, $E$13)</f>
        <v>9.4431999999999992</v>
      </c>
      <c r="I243" s="67">
        <f>9.448 * CHOOSE(CONTROL!$C$26, $C$13, 100%, $E$13)</f>
        <v>9.4480000000000004</v>
      </c>
      <c r="J243" s="67">
        <f>5.1236 * CHOOSE(CONTROL!$C$26, $C$13, 100%, $E$13)</f>
        <v>5.1235999999999997</v>
      </c>
      <c r="K243" s="67">
        <f>5.1284 * CHOOSE(CONTROL!$C$26, $C$13, 100%, $E$13)</f>
        <v>5.1284000000000001</v>
      </c>
    </row>
    <row r="244" spans="1:11" ht="15">
      <c r="A244" s="13">
        <v>48549</v>
      </c>
      <c r="B244" s="66">
        <f>4.2367 * CHOOSE(CONTROL!$C$26, $C$13, 100%, $E$13)</f>
        <v>4.2366999999999999</v>
      </c>
      <c r="C244" s="66">
        <f>4.2367 * CHOOSE(CONTROL!$C$26, $C$13, 100%, $E$13)</f>
        <v>4.2366999999999999</v>
      </c>
      <c r="D244" s="66">
        <f>4.2405 * CHOOSE(CONTROL!$C$26, $C$13, 100%, $E$13)</f>
        <v>4.2404999999999999</v>
      </c>
      <c r="E244" s="67">
        <f>5.0815 * CHOOSE(CONTROL!$C$26, $C$13, 100%, $E$13)</f>
        <v>5.0815000000000001</v>
      </c>
      <c r="F244" s="67">
        <f>5.0815 * CHOOSE(CONTROL!$C$26, $C$13, 100%, $E$13)</f>
        <v>5.0815000000000001</v>
      </c>
      <c r="G244" s="67">
        <f>5.0863 * CHOOSE(CONTROL!$C$26, $C$13, 100%, $E$13)</f>
        <v>5.0862999999999996</v>
      </c>
      <c r="H244" s="67">
        <f>9.4629* CHOOSE(CONTROL!$C$26, $C$13, 100%, $E$13)</f>
        <v>9.4628999999999994</v>
      </c>
      <c r="I244" s="67">
        <f>9.4677 * CHOOSE(CONTROL!$C$26, $C$13, 100%, $E$13)</f>
        <v>9.4677000000000007</v>
      </c>
      <c r="J244" s="67">
        <f>5.0815 * CHOOSE(CONTROL!$C$26, $C$13, 100%, $E$13)</f>
        <v>5.0815000000000001</v>
      </c>
      <c r="K244" s="67">
        <f>5.0863 * CHOOSE(CONTROL!$C$26, $C$13, 100%, $E$13)</f>
        <v>5.0862999999999996</v>
      </c>
    </row>
    <row r="245" spans="1:11" ht="15">
      <c r="A245" s="13">
        <v>48580</v>
      </c>
      <c r="B245" s="66">
        <f>4.2764 * CHOOSE(CONTROL!$C$26, $C$13, 100%, $E$13)</f>
        <v>4.2763999999999998</v>
      </c>
      <c r="C245" s="66">
        <f>4.2764 * CHOOSE(CONTROL!$C$26, $C$13, 100%, $E$13)</f>
        <v>4.2763999999999998</v>
      </c>
      <c r="D245" s="66">
        <f>4.2803 * CHOOSE(CONTROL!$C$26, $C$13, 100%, $E$13)</f>
        <v>4.2803000000000004</v>
      </c>
      <c r="E245" s="67">
        <f>5.1642 * CHOOSE(CONTROL!$C$26, $C$13, 100%, $E$13)</f>
        <v>5.1642000000000001</v>
      </c>
      <c r="F245" s="67">
        <f>5.1642 * CHOOSE(CONTROL!$C$26, $C$13, 100%, $E$13)</f>
        <v>5.1642000000000001</v>
      </c>
      <c r="G245" s="67">
        <f>5.169 * CHOOSE(CONTROL!$C$26, $C$13, 100%, $E$13)</f>
        <v>5.1689999999999996</v>
      </c>
      <c r="H245" s="67">
        <f>9.4826* CHOOSE(CONTROL!$C$26, $C$13, 100%, $E$13)</f>
        <v>9.4825999999999997</v>
      </c>
      <c r="I245" s="67">
        <f>9.4874 * CHOOSE(CONTROL!$C$26, $C$13, 100%, $E$13)</f>
        <v>9.4873999999999992</v>
      </c>
      <c r="J245" s="67">
        <f>5.1642 * CHOOSE(CONTROL!$C$26, $C$13, 100%, $E$13)</f>
        <v>5.1642000000000001</v>
      </c>
      <c r="K245" s="67">
        <f>5.169 * CHOOSE(CONTROL!$C$26, $C$13, 100%, $E$13)</f>
        <v>5.1689999999999996</v>
      </c>
    </row>
    <row r="246" spans="1:11" ht="15">
      <c r="A246" s="13">
        <v>48611</v>
      </c>
      <c r="B246" s="66">
        <f>4.2734 * CHOOSE(CONTROL!$C$26, $C$13, 100%, $E$13)</f>
        <v>4.2733999999999996</v>
      </c>
      <c r="C246" s="66">
        <f>4.2734 * CHOOSE(CONTROL!$C$26, $C$13, 100%, $E$13)</f>
        <v>4.2733999999999996</v>
      </c>
      <c r="D246" s="66">
        <f>4.2772 * CHOOSE(CONTROL!$C$26, $C$13, 100%, $E$13)</f>
        <v>4.2771999999999997</v>
      </c>
      <c r="E246" s="67">
        <f>5.0805 * CHOOSE(CONTROL!$C$26, $C$13, 100%, $E$13)</f>
        <v>5.0804999999999998</v>
      </c>
      <c r="F246" s="67">
        <f>5.0805 * CHOOSE(CONTROL!$C$26, $C$13, 100%, $E$13)</f>
        <v>5.0804999999999998</v>
      </c>
      <c r="G246" s="67">
        <f>5.0853 * CHOOSE(CONTROL!$C$26, $C$13, 100%, $E$13)</f>
        <v>5.0853000000000002</v>
      </c>
      <c r="H246" s="67">
        <f>9.5024* CHOOSE(CONTROL!$C$26, $C$13, 100%, $E$13)</f>
        <v>9.5023999999999997</v>
      </c>
      <c r="I246" s="67">
        <f>9.5071 * CHOOSE(CONTROL!$C$26, $C$13, 100%, $E$13)</f>
        <v>9.5070999999999994</v>
      </c>
      <c r="J246" s="67">
        <f>5.0805 * CHOOSE(CONTROL!$C$26, $C$13, 100%, $E$13)</f>
        <v>5.0804999999999998</v>
      </c>
      <c r="K246" s="67">
        <f>5.0853 * CHOOSE(CONTROL!$C$26, $C$13, 100%, $E$13)</f>
        <v>5.0853000000000002</v>
      </c>
    </row>
    <row r="247" spans="1:11" ht="15">
      <c r="A247" s="13">
        <v>48639</v>
      </c>
      <c r="B247" s="66">
        <f>4.2703 * CHOOSE(CONTROL!$C$26, $C$13, 100%, $E$13)</f>
        <v>4.2702999999999998</v>
      </c>
      <c r="C247" s="66">
        <f>4.2703 * CHOOSE(CONTROL!$C$26, $C$13, 100%, $E$13)</f>
        <v>4.2702999999999998</v>
      </c>
      <c r="D247" s="66">
        <f>4.2742 * CHOOSE(CONTROL!$C$26, $C$13, 100%, $E$13)</f>
        <v>4.2742000000000004</v>
      </c>
      <c r="E247" s="67">
        <f>5.1427 * CHOOSE(CONTROL!$C$26, $C$13, 100%, $E$13)</f>
        <v>5.1426999999999996</v>
      </c>
      <c r="F247" s="67">
        <f>5.1427 * CHOOSE(CONTROL!$C$26, $C$13, 100%, $E$13)</f>
        <v>5.1426999999999996</v>
      </c>
      <c r="G247" s="67">
        <f>5.1475 * CHOOSE(CONTROL!$C$26, $C$13, 100%, $E$13)</f>
        <v>5.1475</v>
      </c>
      <c r="H247" s="67">
        <f>9.5221* CHOOSE(CONTROL!$C$26, $C$13, 100%, $E$13)</f>
        <v>9.5221</v>
      </c>
      <c r="I247" s="67">
        <f>9.5269 * CHOOSE(CONTROL!$C$26, $C$13, 100%, $E$13)</f>
        <v>9.5268999999999995</v>
      </c>
      <c r="J247" s="67">
        <f>5.1427 * CHOOSE(CONTROL!$C$26, $C$13, 100%, $E$13)</f>
        <v>5.1426999999999996</v>
      </c>
      <c r="K247" s="67">
        <f>5.1475 * CHOOSE(CONTROL!$C$26, $C$13, 100%, $E$13)</f>
        <v>5.1475</v>
      </c>
    </row>
    <row r="248" spans="1:11" ht="15">
      <c r="A248" s="13">
        <v>48670</v>
      </c>
      <c r="B248" s="66">
        <f>4.2682 * CHOOSE(CONTROL!$C$26, $C$13, 100%, $E$13)</f>
        <v>4.2682000000000002</v>
      </c>
      <c r="C248" s="66">
        <f>4.2682 * CHOOSE(CONTROL!$C$26, $C$13, 100%, $E$13)</f>
        <v>4.2682000000000002</v>
      </c>
      <c r="D248" s="66">
        <f>4.2721 * CHOOSE(CONTROL!$C$26, $C$13, 100%, $E$13)</f>
        <v>4.2721</v>
      </c>
      <c r="E248" s="67">
        <f>5.2076 * CHOOSE(CONTROL!$C$26, $C$13, 100%, $E$13)</f>
        <v>5.2076000000000002</v>
      </c>
      <c r="F248" s="67">
        <f>5.2076 * CHOOSE(CONTROL!$C$26, $C$13, 100%, $E$13)</f>
        <v>5.2076000000000002</v>
      </c>
      <c r="G248" s="67">
        <f>5.2123 * CHOOSE(CONTROL!$C$26, $C$13, 100%, $E$13)</f>
        <v>5.2122999999999999</v>
      </c>
      <c r="H248" s="67">
        <f>9.542* CHOOSE(CONTROL!$C$26, $C$13, 100%, $E$13)</f>
        <v>9.5419999999999998</v>
      </c>
      <c r="I248" s="67">
        <f>9.5468 * CHOOSE(CONTROL!$C$26, $C$13, 100%, $E$13)</f>
        <v>9.5467999999999993</v>
      </c>
      <c r="J248" s="67">
        <f>5.2076 * CHOOSE(CONTROL!$C$26, $C$13, 100%, $E$13)</f>
        <v>5.2076000000000002</v>
      </c>
      <c r="K248" s="67">
        <f>5.2123 * CHOOSE(CONTROL!$C$26, $C$13, 100%, $E$13)</f>
        <v>5.2122999999999999</v>
      </c>
    </row>
    <row r="249" spans="1:11" ht="15">
      <c r="A249" s="13">
        <v>48700</v>
      </c>
      <c r="B249" s="66">
        <f>4.2682 * CHOOSE(CONTROL!$C$26, $C$13, 100%, $E$13)</f>
        <v>4.2682000000000002</v>
      </c>
      <c r="C249" s="66">
        <f>4.2682 * CHOOSE(CONTROL!$C$26, $C$13, 100%, $E$13)</f>
        <v>4.2682000000000002</v>
      </c>
      <c r="D249" s="66">
        <f>4.2737 * CHOOSE(CONTROL!$C$26, $C$13, 100%, $E$13)</f>
        <v>4.2736999999999998</v>
      </c>
      <c r="E249" s="67">
        <f>5.2335 * CHOOSE(CONTROL!$C$26, $C$13, 100%, $E$13)</f>
        <v>5.2335000000000003</v>
      </c>
      <c r="F249" s="67">
        <f>5.2335 * CHOOSE(CONTROL!$C$26, $C$13, 100%, $E$13)</f>
        <v>5.2335000000000003</v>
      </c>
      <c r="G249" s="67">
        <f>5.2402 * CHOOSE(CONTROL!$C$26, $C$13, 100%, $E$13)</f>
        <v>5.2401999999999997</v>
      </c>
      <c r="H249" s="67">
        <f>9.5619* CHOOSE(CONTROL!$C$26, $C$13, 100%, $E$13)</f>
        <v>9.5618999999999996</v>
      </c>
      <c r="I249" s="67">
        <f>9.5686 * CHOOSE(CONTROL!$C$26, $C$13, 100%, $E$13)</f>
        <v>9.5686</v>
      </c>
      <c r="J249" s="67">
        <f>5.2335 * CHOOSE(CONTROL!$C$26, $C$13, 100%, $E$13)</f>
        <v>5.2335000000000003</v>
      </c>
      <c r="K249" s="67">
        <f>5.2402 * CHOOSE(CONTROL!$C$26, $C$13, 100%, $E$13)</f>
        <v>5.2401999999999997</v>
      </c>
    </row>
    <row r="250" spans="1:11" ht="15">
      <c r="A250" s="13">
        <v>48731</v>
      </c>
      <c r="B250" s="66">
        <f>4.2743 * CHOOSE(CONTROL!$C$26, $C$13, 100%, $E$13)</f>
        <v>4.2743000000000002</v>
      </c>
      <c r="C250" s="66">
        <f>4.2743 * CHOOSE(CONTROL!$C$26, $C$13, 100%, $E$13)</f>
        <v>4.2743000000000002</v>
      </c>
      <c r="D250" s="66">
        <f>4.2798 * CHOOSE(CONTROL!$C$26, $C$13, 100%, $E$13)</f>
        <v>4.2797999999999998</v>
      </c>
      <c r="E250" s="67">
        <f>5.2118 * CHOOSE(CONTROL!$C$26, $C$13, 100%, $E$13)</f>
        <v>5.2118000000000002</v>
      </c>
      <c r="F250" s="67">
        <f>5.2118 * CHOOSE(CONTROL!$C$26, $C$13, 100%, $E$13)</f>
        <v>5.2118000000000002</v>
      </c>
      <c r="G250" s="67">
        <f>5.2185 * CHOOSE(CONTROL!$C$26, $C$13, 100%, $E$13)</f>
        <v>5.2184999999999997</v>
      </c>
      <c r="H250" s="67">
        <f>9.5818* CHOOSE(CONTROL!$C$26, $C$13, 100%, $E$13)</f>
        <v>9.5817999999999994</v>
      </c>
      <c r="I250" s="67">
        <f>9.5885 * CHOOSE(CONTROL!$C$26, $C$13, 100%, $E$13)</f>
        <v>9.5884999999999998</v>
      </c>
      <c r="J250" s="67">
        <f>5.2118 * CHOOSE(CONTROL!$C$26, $C$13, 100%, $E$13)</f>
        <v>5.2118000000000002</v>
      </c>
      <c r="K250" s="67">
        <f>5.2185 * CHOOSE(CONTROL!$C$26, $C$13, 100%, $E$13)</f>
        <v>5.2184999999999997</v>
      </c>
    </row>
    <row r="251" spans="1:11" ht="15">
      <c r="A251" s="13">
        <v>48761</v>
      </c>
      <c r="B251" s="66">
        <f>4.3499 * CHOOSE(CONTROL!$C$26, $C$13, 100%, $E$13)</f>
        <v>4.3498999999999999</v>
      </c>
      <c r="C251" s="66">
        <f>4.3499 * CHOOSE(CONTROL!$C$26, $C$13, 100%, $E$13)</f>
        <v>4.3498999999999999</v>
      </c>
      <c r="D251" s="66">
        <f>4.3554 * CHOOSE(CONTROL!$C$26, $C$13, 100%, $E$13)</f>
        <v>4.3554000000000004</v>
      </c>
      <c r="E251" s="67">
        <f>5.3292 * CHOOSE(CONTROL!$C$26, $C$13, 100%, $E$13)</f>
        <v>5.3292000000000002</v>
      </c>
      <c r="F251" s="67">
        <f>5.3292 * CHOOSE(CONTROL!$C$26, $C$13, 100%, $E$13)</f>
        <v>5.3292000000000002</v>
      </c>
      <c r="G251" s="67">
        <f>5.336 * CHOOSE(CONTROL!$C$26, $C$13, 100%, $E$13)</f>
        <v>5.3360000000000003</v>
      </c>
      <c r="H251" s="67">
        <f>9.6017* CHOOSE(CONTROL!$C$26, $C$13, 100%, $E$13)</f>
        <v>9.6016999999999992</v>
      </c>
      <c r="I251" s="67">
        <f>9.6085 * CHOOSE(CONTROL!$C$26, $C$13, 100%, $E$13)</f>
        <v>9.6084999999999994</v>
      </c>
      <c r="J251" s="67">
        <f>5.3292 * CHOOSE(CONTROL!$C$26, $C$13, 100%, $E$13)</f>
        <v>5.3292000000000002</v>
      </c>
      <c r="K251" s="67">
        <f>5.336 * CHOOSE(CONTROL!$C$26, $C$13, 100%, $E$13)</f>
        <v>5.3360000000000003</v>
      </c>
    </row>
    <row r="252" spans="1:11" ht="15">
      <c r="A252" s="13">
        <v>48792</v>
      </c>
      <c r="B252" s="66">
        <f>4.3566 * CHOOSE(CONTROL!$C$26, $C$13, 100%, $E$13)</f>
        <v>4.3566000000000003</v>
      </c>
      <c r="C252" s="66">
        <f>4.3566 * CHOOSE(CONTROL!$C$26, $C$13, 100%, $E$13)</f>
        <v>4.3566000000000003</v>
      </c>
      <c r="D252" s="66">
        <f>4.3621 * CHOOSE(CONTROL!$C$26, $C$13, 100%, $E$13)</f>
        <v>4.3620999999999999</v>
      </c>
      <c r="E252" s="67">
        <f>5.2562 * CHOOSE(CONTROL!$C$26, $C$13, 100%, $E$13)</f>
        <v>5.2561999999999998</v>
      </c>
      <c r="F252" s="67">
        <f>5.2562 * CHOOSE(CONTROL!$C$26, $C$13, 100%, $E$13)</f>
        <v>5.2561999999999998</v>
      </c>
      <c r="G252" s="67">
        <f>5.2629 * CHOOSE(CONTROL!$C$26, $C$13, 100%, $E$13)</f>
        <v>5.2629000000000001</v>
      </c>
      <c r="H252" s="67">
        <f>9.6218* CHOOSE(CONTROL!$C$26, $C$13, 100%, $E$13)</f>
        <v>9.6218000000000004</v>
      </c>
      <c r="I252" s="67">
        <f>9.6285 * CHOOSE(CONTROL!$C$26, $C$13, 100%, $E$13)</f>
        <v>9.6285000000000007</v>
      </c>
      <c r="J252" s="67">
        <f>5.2562 * CHOOSE(CONTROL!$C$26, $C$13, 100%, $E$13)</f>
        <v>5.2561999999999998</v>
      </c>
      <c r="K252" s="67">
        <f>5.2629 * CHOOSE(CONTROL!$C$26, $C$13, 100%, $E$13)</f>
        <v>5.2629000000000001</v>
      </c>
    </row>
    <row r="253" spans="1:11" ht="15">
      <c r="A253" s="13">
        <v>48823</v>
      </c>
      <c r="B253" s="66">
        <f>4.3535 * CHOOSE(CONTROL!$C$26, $C$13, 100%, $E$13)</f>
        <v>4.3535000000000004</v>
      </c>
      <c r="C253" s="66">
        <f>4.3535 * CHOOSE(CONTROL!$C$26, $C$13, 100%, $E$13)</f>
        <v>4.3535000000000004</v>
      </c>
      <c r="D253" s="66">
        <f>4.359 * CHOOSE(CONTROL!$C$26, $C$13, 100%, $E$13)</f>
        <v>4.359</v>
      </c>
      <c r="E253" s="67">
        <f>5.2454 * CHOOSE(CONTROL!$C$26, $C$13, 100%, $E$13)</f>
        <v>5.2454000000000001</v>
      </c>
      <c r="F253" s="67">
        <f>5.2454 * CHOOSE(CONTROL!$C$26, $C$13, 100%, $E$13)</f>
        <v>5.2454000000000001</v>
      </c>
      <c r="G253" s="67">
        <f>5.2522 * CHOOSE(CONTROL!$C$26, $C$13, 100%, $E$13)</f>
        <v>5.2522000000000002</v>
      </c>
      <c r="H253" s="67">
        <f>9.6418* CHOOSE(CONTROL!$C$26, $C$13, 100%, $E$13)</f>
        <v>9.6417999999999999</v>
      </c>
      <c r="I253" s="67">
        <f>9.6485 * CHOOSE(CONTROL!$C$26, $C$13, 100%, $E$13)</f>
        <v>9.6485000000000003</v>
      </c>
      <c r="J253" s="67">
        <f>5.2454 * CHOOSE(CONTROL!$C$26, $C$13, 100%, $E$13)</f>
        <v>5.2454000000000001</v>
      </c>
      <c r="K253" s="67">
        <f>5.2522 * CHOOSE(CONTROL!$C$26, $C$13, 100%, $E$13)</f>
        <v>5.2522000000000002</v>
      </c>
    </row>
    <row r="254" spans="1:11" ht="15">
      <c r="A254" s="13">
        <v>48853</v>
      </c>
      <c r="B254" s="66">
        <f>4.3497 * CHOOSE(CONTROL!$C$26, $C$13, 100%, $E$13)</f>
        <v>4.3497000000000003</v>
      </c>
      <c r="C254" s="66">
        <f>4.3497 * CHOOSE(CONTROL!$C$26, $C$13, 100%, $E$13)</f>
        <v>4.3497000000000003</v>
      </c>
      <c r="D254" s="66">
        <f>4.3536 * CHOOSE(CONTROL!$C$26, $C$13, 100%, $E$13)</f>
        <v>4.3536000000000001</v>
      </c>
      <c r="E254" s="67">
        <f>5.2665 * CHOOSE(CONTROL!$C$26, $C$13, 100%, $E$13)</f>
        <v>5.2664999999999997</v>
      </c>
      <c r="F254" s="67">
        <f>5.2665 * CHOOSE(CONTROL!$C$26, $C$13, 100%, $E$13)</f>
        <v>5.2664999999999997</v>
      </c>
      <c r="G254" s="67">
        <f>5.2713 * CHOOSE(CONTROL!$C$26, $C$13, 100%, $E$13)</f>
        <v>5.2713000000000001</v>
      </c>
      <c r="H254" s="67">
        <f>9.6619* CHOOSE(CONTROL!$C$26, $C$13, 100%, $E$13)</f>
        <v>9.6618999999999993</v>
      </c>
      <c r="I254" s="67">
        <f>9.6667 * CHOOSE(CONTROL!$C$26, $C$13, 100%, $E$13)</f>
        <v>9.6667000000000005</v>
      </c>
      <c r="J254" s="67">
        <f>5.2665 * CHOOSE(CONTROL!$C$26, $C$13, 100%, $E$13)</f>
        <v>5.2664999999999997</v>
      </c>
      <c r="K254" s="67">
        <f>5.2713 * CHOOSE(CONTROL!$C$26, $C$13, 100%, $E$13)</f>
        <v>5.2713000000000001</v>
      </c>
    </row>
    <row r="255" spans="1:11" ht="15">
      <c r="A255" s="13">
        <v>48884</v>
      </c>
      <c r="B255" s="66">
        <f>4.3528 * CHOOSE(CONTROL!$C$26, $C$13, 100%, $E$13)</f>
        <v>4.3528000000000002</v>
      </c>
      <c r="C255" s="66">
        <f>4.3528 * CHOOSE(CONTROL!$C$26, $C$13, 100%, $E$13)</f>
        <v>4.3528000000000002</v>
      </c>
      <c r="D255" s="66">
        <f>4.3567 * CHOOSE(CONTROL!$C$26, $C$13, 100%, $E$13)</f>
        <v>4.3567</v>
      </c>
      <c r="E255" s="67">
        <f>5.2859 * CHOOSE(CONTROL!$C$26, $C$13, 100%, $E$13)</f>
        <v>5.2858999999999998</v>
      </c>
      <c r="F255" s="67">
        <f>5.2859 * CHOOSE(CONTROL!$C$26, $C$13, 100%, $E$13)</f>
        <v>5.2858999999999998</v>
      </c>
      <c r="G255" s="67">
        <f>5.2907 * CHOOSE(CONTROL!$C$26, $C$13, 100%, $E$13)</f>
        <v>5.2907000000000002</v>
      </c>
      <c r="H255" s="67">
        <f>9.682* CHOOSE(CONTROL!$C$26, $C$13, 100%, $E$13)</f>
        <v>9.6820000000000004</v>
      </c>
      <c r="I255" s="67">
        <f>9.6868 * CHOOSE(CONTROL!$C$26, $C$13, 100%, $E$13)</f>
        <v>9.6867999999999999</v>
      </c>
      <c r="J255" s="67">
        <f>5.2859 * CHOOSE(CONTROL!$C$26, $C$13, 100%, $E$13)</f>
        <v>5.2858999999999998</v>
      </c>
      <c r="K255" s="67">
        <f>5.2907 * CHOOSE(CONTROL!$C$26, $C$13, 100%, $E$13)</f>
        <v>5.2907000000000002</v>
      </c>
    </row>
    <row r="256" spans="1:11" ht="15">
      <c r="A256" s="13">
        <v>48914</v>
      </c>
      <c r="B256" s="66">
        <f>4.3528 * CHOOSE(CONTROL!$C$26, $C$13, 100%, $E$13)</f>
        <v>4.3528000000000002</v>
      </c>
      <c r="C256" s="66">
        <f>4.3528 * CHOOSE(CONTROL!$C$26, $C$13, 100%, $E$13)</f>
        <v>4.3528000000000002</v>
      </c>
      <c r="D256" s="66">
        <f>4.3567 * CHOOSE(CONTROL!$C$26, $C$13, 100%, $E$13)</f>
        <v>4.3567</v>
      </c>
      <c r="E256" s="67">
        <f>5.2427 * CHOOSE(CONTROL!$C$26, $C$13, 100%, $E$13)</f>
        <v>5.2427000000000001</v>
      </c>
      <c r="F256" s="67">
        <f>5.2427 * CHOOSE(CONTROL!$C$26, $C$13, 100%, $E$13)</f>
        <v>5.2427000000000001</v>
      </c>
      <c r="G256" s="67">
        <f>5.2475 * CHOOSE(CONTROL!$C$26, $C$13, 100%, $E$13)</f>
        <v>5.2474999999999996</v>
      </c>
      <c r="H256" s="67">
        <f>9.7022* CHOOSE(CONTROL!$C$26, $C$13, 100%, $E$13)</f>
        <v>9.7021999999999995</v>
      </c>
      <c r="I256" s="67">
        <f>9.707 * CHOOSE(CONTROL!$C$26, $C$13, 100%, $E$13)</f>
        <v>9.7070000000000007</v>
      </c>
      <c r="J256" s="67">
        <f>5.2427 * CHOOSE(CONTROL!$C$26, $C$13, 100%, $E$13)</f>
        <v>5.2427000000000001</v>
      </c>
      <c r="K256" s="67">
        <f>5.2475 * CHOOSE(CONTROL!$C$26, $C$13, 100%, $E$13)</f>
        <v>5.2474999999999996</v>
      </c>
    </row>
    <row r="257" spans="1:11" ht="15">
      <c r="A257" s="13">
        <v>48945</v>
      </c>
      <c r="B257" s="66">
        <f>4.3942 * CHOOSE(CONTROL!$C$26, $C$13, 100%, $E$13)</f>
        <v>4.3941999999999997</v>
      </c>
      <c r="C257" s="66">
        <f>4.3942 * CHOOSE(CONTROL!$C$26, $C$13, 100%, $E$13)</f>
        <v>4.3941999999999997</v>
      </c>
      <c r="D257" s="66">
        <f>4.398 * CHOOSE(CONTROL!$C$26, $C$13, 100%, $E$13)</f>
        <v>4.3979999999999997</v>
      </c>
      <c r="E257" s="67">
        <f>5.3259 * CHOOSE(CONTROL!$C$26, $C$13, 100%, $E$13)</f>
        <v>5.3258999999999999</v>
      </c>
      <c r="F257" s="67">
        <f>5.3259 * CHOOSE(CONTROL!$C$26, $C$13, 100%, $E$13)</f>
        <v>5.3258999999999999</v>
      </c>
      <c r="G257" s="67">
        <f>5.3307 * CHOOSE(CONTROL!$C$26, $C$13, 100%, $E$13)</f>
        <v>5.3307000000000002</v>
      </c>
      <c r="H257" s="67">
        <f>9.7224* CHOOSE(CONTROL!$C$26, $C$13, 100%, $E$13)</f>
        <v>9.7224000000000004</v>
      </c>
      <c r="I257" s="67">
        <f>9.7272 * CHOOSE(CONTROL!$C$26, $C$13, 100%, $E$13)</f>
        <v>9.7271999999999998</v>
      </c>
      <c r="J257" s="67">
        <f>5.3259 * CHOOSE(CONTROL!$C$26, $C$13, 100%, $E$13)</f>
        <v>5.3258999999999999</v>
      </c>
      <c r="K257" s="67">
        <f>5.3307 * CHOOSE(CONTROL!$C$26, $C$13, 100%, $E$13)</f>
        <v>5.3307000000000002</v>
      </c>
    </row>
    <row r="258" spans="1:11" ht="15">
      <c r="A258" s="13">
        <v>48976</v>
      </c>
      <c r="B258" s="66">
        <f>4.3911 * CHOOSE(CONTROL!$C$26, $C$13, 100%, $E$13)</f>
        <v>4.3910999999999998</v>
      </c>
      <c r="C258" s="66">
        <f>4.3911 * CHOOSE(CONTROL!$C$26, $C$13, 100%, $E$13)</f>
        <v>4.3910999999999998</v>
      </c>
      <c r="D258" s="66">
        <f>4.395 * CHOOSE(CONTROL!$C$26, $C$13, 100%, $E$13)</f>
        <v>4.3949999999999996</v>
      </c>
      <c r="E258" s="67">
        <f>5.24 * CHOOSE(CONTROL!$C$26, $C$13, 100%, $E$13)</f>
        <v>5.24</v>
      </c>
      <c r="F258" s="67">
        <f>5.24 * CHOOSE(CONTROL!$C$26, $C$13, 100%, $E$13)</f>
        <v>5.24</v>
      </c>
      <c r="G258" s="67">
        <f>5.2448 * CHOOSE(CONTROL!$C$26, $C$13, 100%, $E$13)</f>
        <v>5.2447999999999997</v>
      </c>
      <c r="H258" s="67">
        <f>9.7427* CHOOSE(CONTROL!$C$26, $C$13, 100%, $E$13)</f>
        <v>9.7426999999999992</v>
      </c>
      <c r="I258" s="67">
        <f>9.7474 * CHOOSE(CONTROL!$C$26, $C$13, 100%, $E$13)</f>
        <v>9.7474000000000007</v>
      </c>
      <c r="J258" s="67">
        <f>5.24 * CHOOSE(CONTROL!$C$26, $C$13, 100%, $E$13)</f>
        <v>5.24</v>
      </c>
      <c r="K258" s="67">
        <f>5.2448 * CHOOSE(CONTROL!$C$26, $C$13, 100%, $E$13)</f>
        <v>5.2447999999999997</v>
      </c>
    </row>
    <row r="259" spans="1:11" ht="15">
      <c r="A259" s="13">
        <v>49004</v>
      </c>
      <c r="B259" s="66">
        <f>4.3881 * CHOOSE(CONTROL!$C$26, $C$13, 100%, $E$13)</f>
        <v>4.3880999999999997</v>
      </c>
      <c r="C259" s="66">
        <f>4.3881 * CHOOSE(CONTROL!$C$26, $C$13, 100%, $E$13)</f>
        <v>4.3880999999999997</v>
      </c>
      <c r="D259" s="66">
        <f>4.3919 * CHOOSE(CONTROL!$C$26, $C$13, 100%, $E$13)</f>
        <v>4.3918999999999997</v>
      </c>
      <c r="E259" s="67">
        <f>5.304 * CHOOSE(CONTROL!$C$26, $C$13, 100%, $E$13)</f>
        <v>5.3040000000000003</v>
      </c>
      <c r="F259" s="67">
        <f>5.304 * CHOOSE(CONTROL!$C$26, $C$13, 100%, $E$13)</f>
        <v>5.3040000000000003</v>
      </c>
      <c r="G259" s="67">
        <f>5.3087 * CHOOSE(CONTROL!$C$26, $C$13, 100%, $E$13)</f>
        <v>5.3087</v>
      </c>
      <c r="H259" s="67">
        <f>9.7629* CHOOSE(CONTROL!$C$26, $C$13, 100%, $E$13)</f>
        <v>9.7629000000000001</v>
      </c>
      <c r="I259" s="67">
        <f>9.7677 * CHOOSE(CONTROL!$C$26, $C$13, 100%, $E$13)</f>
        <v>9.7676999999999996</v>
      </c>
      <c r="J259" s="67">
        <f>5.304 * CHOOSE(CONTROL!$C$26, $C$13, 100%, $E$13)</f>
        <v>5.3040000000000003</v>
      </c>
      <c r="K259" s="67">
        <f>5.3087 * CHOOSE(CONTROL!$C$26, $C$13, 100%, $E$13)</f>
        <v>5.3087</v>
      </c>
    </row>
    <row r="260" spans="1:11" ht="15">
      <c r="A260" s="13">
        <v>49035</v>
      </c>
      <c r="B260" s="66">
        <f>4.3861 * CHOOSE(CONTROL!$C$26, $C$13, 100%, $E$13)</f>
        <v>4.3860999999999999</v>
      </c>
      <c r="C260" s="66">
        <f>4.3861 * CHOOSE(CONTROL!$C$26, $C$13, 100%, $E$13)</f>
        <v>4.3860999999999999</v>
      </c>
      <c r="D260" s="66">
        <f>4.3899 * CHOOSE(CONTROL!$C$26, $C$13, 100%, $E$13)</f>
        <v>4.3898999999999999</v>
      </c>
      <c r="E260" s="67">
        <f>5.3707 * CHOOSE(CONTROL!$C$26, $C$13, 100%, $E$13)</f>
        <v>5.3707000000000003</v>
      </c>
      <c r="F260" s="67">
        <f>5.3707 * CHOOSE(CONTROL!$C$26, $C$13, 100%, $E$13)</f>
        <v>5.3707000000000003</v>
      </c>
      <c r="G260" s="67">
        <f>5.3754 * CHOOSE(CONTROL!$C$26, $C$13, 100%, $E$13)</f>
        <v>5.3754</v>
      </c>
      <c r="H260" s="67">
        <f>9.7833* CHOOSE(CONTROL!$C$26, $C$13, 100%, $E$13)</f>
        <v>9.7833000000000006</v>
      </c>
      <c r="I260" s="67">
        <f>9.7881 * CHOOSE(CONTROL!$C$26, $C$13, 100%, $E$13)</f>
        <v>9.7881</v>
      </c>
      <c r="J260" s="67">
        <f>5.3707 * CHOOSE(CONTROL!$C$26, $C$13, 100%, $E$13)</f>
        <v>5.3707000000000003</v>
      </c>
      <c r="K260" s="67">
        <f>5.3754 * CHOOSE(CONTROL!$C$26, $C$13, 100%, $E$13)</f>
        <v>5.3754</v>
      </c>
    </row>
    <row r="261" spans="1:11" ht="15">
      <c r="A261" s="13">
        <v>49065</v>
      </c>
      <c r="B261" s="66">
        <f>4.3861 * CHOOSE(CONTROL!$C$26, $C$13, 100%, $E$13)</f>
        <v>4.3860999999999999</v>
      </c>
      <c r="C261" s="66">
        <f>4.3861 * CHOOSE(CONTROL!$C$26, $C$13, 100%, $E$13)</f>
        <v>4.3860999999999999</v>
      </c>
      <c r="D261" s="66">
        <f>4.3916 * CHOOSE(CONTROL!$C$26, $C$13, 100%, $E$13)</f>
        <v>4.3916000000000004</v>
      </c>
      <c r="E261" s="67">
        <f>5.3973 * CHOOSE(CONTROL!$C$26, $C$13, 100%, $E$13)</f>
        <v>5.3973000000000004</v>
      </c>
      <c r="F261" s="67">
        <f>5.3973 * CHOOSE(CONTROL!$C$26, $C$13, 100%, $E$13)</f>
        <v>5.3973000000000004</v>
      </c>
      <c r="G261" s="67">
        <f>5.404 * CHOOSE(CONTROL!$C$26, $C$13, 100%, $E$13)</f>
        <v>5.4039999999999999</v>
      </c>
      <c r="H261" s="67">
        <f>9.8037* CHOOSE(CONTROL!$C$26, $C$13, 100%, $E$13)</f>
        <v>9.8036999999999992</v>
      </c>
      <c r="I261" s="67">
        <f>9.8104 * CHOOSE(CONTROL!$C$26, $C$13, 100%, $E$13)</f>
        <v>9.8103999999999996</v>
      </c>
      <c r="J261" s="67">
        <f>5.3973 * CHOOSE(CONTROL!$C$26, $C$13, 100%, $E$13)</f>
        <v>5.3973000000000004</v>
      </c>
      <c r="K261" s="67">
        <f>5.404 * CHOOSE(CONTROL!$C$26, $C$13, 100%, $E$13)</f>
        <v>5.4039999999999999</v>
      </c>
    </row>
    <row r="262" spans="1:11" ht="15">
      <c r="A262" s="13">
        <v>49096</v>
      </c>
      <c r="B262" s="66">
        <f>4.3921 * CHOOSE(CONTROL!$C$26, $C$13, 100%, $E$13)</f>
        <v>4.3921000000000001</v>
      </c>
      <c r="C262" s="66">
        <f>4.3921 * CHOOSE(CONTROL!$C$26, $C$13, 100%, $E$13)</f>
        <v>4.3921000000000001</v>
      </c>
      <c r="D262" s="66">
        <f>4.3976 * CHOOSE(CONTROL!$C$26, $C$13, 100%, $E$13)</f>
        <v>4.3975999999999997</v>
      </c>
      <c r="E262" s="67">
        <f>5.3749 * CHOOSE(CONTROL!$C$26, $C$13, 100%, $E$13)</f>
        <v>5.3749000000000002</v>
      </c>
      <c r="F262" s="67">
        <f>5.3749 * CHOOSE(CONTROL!$C$26, $C$13, 100%, $E$13)</f>
        <v>5.3749000000000002</v>
      </c>
      <c r="G262" s="67">
        <f>5.3816 * CHOOSE(CONTROL!$C$26, $C$13, 100%, $E$13)</f>
        <v>5.3815999999999997</v>
      </c>
      <c r="H262" s="67">
        <f>9.8241* CHOOSE(CONTROL!$C$26, $C$13, 100%, $E$13)</f>
        <v>9.8240999999999996</v>
      </c>
      <c r="I262" s="67">
        <f>9.8308 * CHOOSE(CONTROL!$C$26, $C$13, 100%, $E$13)</f>
        <v>9.8308</v>
      </c>
      <c r="J262" s="67">
        <f>5.3749 * CHOOSE(CONTROL!$C$26, $C$13, 100%, $E$13)</f>
        <v>5.3749000000000002</v>
      </c>
      <c r="K262" s="67">
        <f>5.3816 * CHOOSE(CONTROL!$C$26, $C$13, 100%, $E$13)</f>
        <v>5.3815999999999997</v>
      </c>
    </row>
    <row r="263" spans="1:11" ht="15">
      <c r="A263" s="13">
        <v>49126</v>
      </c>
      <c r="B263" s="66">
        <f>4.4705 * CHOOSE(CONTROL!$C$26, $C$13, 100%, $E$13)</f>
        <v>4.4705000000000004</v>
      </c>
      <c r="C263" s="66">
        <f>4.4705 * CHOOSE(CONTROL!$C$26, $C$13, 100%, $E$13)</f>
        <v>4.4705000000000004</v>
      </c>
      <c r="D263" s="66">
        <f>4.476 * CHOOSE(CONTROL!$C$26, $C$13, 100%, $E$13)</f>
        <v>4.476</v>
      </c>
      <c r="E263" s="67">
        <f>5.4902 * CHOOSE(CONTROL!$C$26, $C$13, 100%, $E$13)</f>
        <v>5.4901999999999997</v>
      </c>
      <c r="F263" s="67">
        <f>5.4902 * CHOOSE(CONTROL!$C$26, $C$13, 100%, $E$13)</f>
        <v>5.4901999999999997</v>
      </c>
      <c r="G263" s="67">
        <f>5.497 * CHOOSE(CONTROL!$C$26, $C$13, 100%, $E$13)</f>
        <v>5.4969999999999999</v>
      </c>
      <c r="H263" s="67">
        <f>9.8446* CHOOSE(CONTROL!$C$26, $C$13, 100%, $E$13)</f>
        <v>9.8445999999999998</v>
      </c>
      <c r="I263" s="67">
        <f>9.8513 * CHOOSE(CONTROL!$C$26, $C$13, 100%, $E$13)</f>
        <v>9.8513000000000002</v>
      </c>
      <c r="J263" s="67">
        <f>5.4902 * CHOOSE(CONTROL!$C$26, $C$13, 100%, $E$13)</f>
        <v>5.4901999999999997</v>
      </c>
      <c r="K263" s="67">
        <f>5.497 * CHOOSE(CONTROL!$C$26, $C$13, 100%, $E$13)</f>
        <v>5.4969999999999999</v>
      </c>
    </row>
    <row r="264" spans="1:11" ht="15">
      <c r="A264" s="13">
        <v>49157</v>
      </c>
      <c r="B264" s="66">
        <f>4.4771 * CHOOSE(CONTROL!$C$26, $C$13, 100%, $E$13)</f>
        <v>4.4771000000000001</v>
      </c>
      <c r="C264" s="66">
        <f>4.4771 * CHOOSE(CONTROL!$C$26, $C$13, 100%, $E$13)</f>
        <v>4.4771000000000001</v>
      </c>
      <c r="D264" s="66">
        <f>4.4826 * CHOOSE(CONTROL!$C$26, $C$13, 100%, $E$13)</f>
        <v>4.4825999999999997</v>
      </c>
      <c r="E264" s="67">
        <f>5.4151 * CHOOSE(CONTROL!$C$26, $C$13, 100%, $E$13)</f>
        <v>5.4150999999999998</v>
      </c>
      <c r="F264" s="67">
        <f>5.4151 * CHOOSE(CONTROL!$C$26, $C$13, 100%, $E$13)</f>
        <v>5.4150999999999998</v>
      </c>
      <c r="G264" s="67">
        <f>5.4218 * CHOOSE(CONTROL!$C$26, $C$13, 100%, $E$13)</f>
        <v>5.4218000000000002</v>
      </c>
      <c r="H264" s="67">
        <f>9.8651* CHOOSE(CONTROL!$C$26, $C$13, 100%, $E$13)</f>
        <v>9.8651</v>
      </c>
      <c r="I264" s="67">
        <f>9.8718 * CHOOSE(CONTROL!$C$26, $C$13, 100%, $E$13)</f>
        <v>9.8718000000000004</v>
      </c>
      <c r="J264" s="67">
        <f>5.4151 * CHOOSE(CONTROL!$C$26, $C$13, 100%, $E$13)</f>
        <v>5.4150999999999998</v>
      </c>
      <c r="K264" s="67">
        <f>5.4218 * CHOOSE(CONTROL!$C$26, $C$13, 100%, $E$13)</f>
        <v>5.4218000000000002</v>
      </c>
    </row>
    <row r="265" spans="1:11" ht="15">
      <c r="A265" s="13">
        <v>49188</v>
      </c>
      <c r="B265" s="66">
        <f>4.4741 * CHOOSE(CONTROL!$C$26, $C$13, 100%, $E$13)</f>
        <v>4.4741</v>
      </c>
      <c r="C265" s="66">
        <f>4.4741 * CHOOSE(CONTROL!$C$26, $C$13, 100%, $E$13)</f>
        <v>4.4741</v>
      </c>
      <c r="D265" s="66">
        <f>4.4796 * CHOOSE(CONTROL!$C$26, $C$13, 100%, $E$13)</f>
        <v>4.4795999999999996</v>
      </c>
      <c r="E265" s="67">
        <f>5.4041 * CHOOSE(CONTROL!$C$26, $C$13, 100%, $E$13)</f>
        <v>5.4040999999999997</v>
      </c>
      <c r="F265" s="67">
        <f>5.4041 * CHOOSE(CONTROL!$C$26, $C$13, 100%, $E$13)</f>
        <v>5.4040999999999997</v>
      </c>
      <c r="G265" s="67">
        <f>5.4108 * CHOOSE(CONTROL!$C$26, $C$13, 100%, $E$13)</f>
        <v>5.4108000000000001</v>
      </c>
      <c r="H265" s="67">
        <f>9.8856* CHOOSE(CONTROL!$C$26, $C$13, 100%, $E$13)</f>
        <v>9.8856000000000002</v>
      </c>
      <c r="I265" s="67">
        <f>9.8924 * CHOOSE(CONTROL!$C$26, $C$13, 100%, $E$13)</f>
        <v>9.8924000000000003</v>
      </c>
      <c r="J265" s="67">
        <f>5.4041 * CHOOSE(CONTROL!$C$26, $C$13, 100%, $E$13)</f>
        <v>5.4040999999999997</v>
      </c>
      <c r="K265" s="67">
        <f>5.4108 * CHOOSE(CONTROL!$C$26, $C$13, 100%, $E$13)</f>
        <v>5.4108000000000001</v>
      </c>
    </row>
    <row r="266" spans="1:11" ht="15">
      <c r="A266" s="13">
        <v>49218</v>
      </c>
      <c r="B266" s="66">
        <f>4.4707 * CHOOSE(CONTROL!$C$26, $C$13, 100%, $E$13)</f>
        <v>4.4706999999999999</v>
      </c>
      <c r="C266" s="66">
        <f>4.4707 * CHOOSE(CONTROL!$C$26, $C$13, 100%, $E$13)</f>
        <v>4.4706999999999999</v>
      </c>
      <c r="D266" s="66">
        <f>4.4746 * CHOOSE(CONTROL!$C$26, $C$13, 100%, $E$13)</f>
        <v>4.4745999999999997</v>
      </c>
      <c r="E266" s="67">
        <f>5.4261 * CHOOSE(CONTROL!$C$26, $C$13, 100%, $E$13)</f>
        <v>5.4260999999999999</v>
      </c>
      <c r="F266" s="67">
        <f>5.4261 * CHOOSE(CONTROL!$C$26, $C$13, 100%, $E$13)</f>
        <v>5.4260999999999999</v>
      </c>
      <c r="G266" s="67">
        <f>5.4309 * CHOOSE(CONTROL!$C$26, $C$13, 100%, $E$13)</f>
        <v>5.4309000000000003</v>
      </c>
      <c r="H266" s="67">
        <f>9.9062* CHOOSE(CONTROL!$C$26, $C$13, 100%, $E$13)</f>
        <v>9.9062000000000001</v>
      </c>
      <c r="I266" s="67">
        <f>9.911 * CHOOSE(CONTROL!$C$26, $C$13, 100%, $E$13)</f>
        <v>9.9109999999999996</v>
      </c>
      <c r="J266" s="67">
        <f>5.4261 * CHOOSE(CONTROL!$C$26, $C$13, 100%, $E$13)</f>
        <v>5.4260999999999999</v>
      </c>
      <c r="K266" s="67">
        <f>5.4309 * CHOOSE(CONTROL!$C$26, $C$13, 100%, $E$13)</f>
        <v>5.4309000000000003</v>
      </c>
    </row>
    <row r="267" spans="1:11" ht="15">
      <c r="A267" s="13">
        <v>49249</v>
      </c>
      <c r="B267" s="66">
        <f>4.4738 * CHOOSE(CONTROL!$C$26, $C$13, 100%, $E$13)</f>
        <v>4.4737999999999998</v>
      </c>
      <c r="C267" s="66">
        <f>4.4738 * CHOOSE(CONTROL!$C$26, $C$13, 100%, $E$13)</f>
        <v>4.4737999999999998</v>
      </c>
      <c r="D267" s="66">
        <f>4.4776 * CHOOSE(CONTROL!$C$26, $C$13, 100%, $E$13)</f>
        <v>4.4775999999999998</v>
      </c>
      <c r="E267" s="67">
        <f>5.446 * CHOOSE(CONTROL!$C$26, $C$13, 100%, $E$13)</f>
        <v>5.4459999999999997</v>
      </c>
      <c r="F267" s="67">
        <f>5.446 * CHOOSE(CONTROL!$C$26, $C$13, 100%, $E$13)</f>
        <v>5.4459999999999997</v>
      </c>
      <c r="G267" s="67">
        <f>5.4508 * CHOOSE(CONTROL!$C$26, $C$13, 100%, $E$13)</f>
        <v>5.4508000000000001</v>
      </c>
      <c r="H267" s="67">
        <f>9.9269* CHOOSE(CONTROL!$C$26, $C$13, 100%, $E$13)</f>
        <v>9.9268999999999998</v>
      </c>
      <c r="I267" s="67">
        <f>9.9316 * CHOOSE(CONTROL!$C$26, $C$13, 100%, $E$13)</f>
        <v>9.9315999999999995</v>
      </c>
      <c r="J267" s="67">
        <f>5.446 * CHOOSE(CONTROL!$C$26, $C$13, 100%, $E$13)</f>
        <v>5.4459999999999997</v>
      </c>
      <c r="K267" s="67">
        <f>5.4508 * CHOOSE(CONTROL!$C$26, $C$13, 100%, $E$13)</f>
        <v>5.4508000000000001</v>
      </c>
    </row>
    <row r="268" spans="1:11" ht="15">
      <c r="A268" s="13">
        <v>49279</v>
      </c>
      <c r="B268" s="66">
        <f>4.4738 * CHOOSE(CONTROL!$C$26, $C$13, 100%, $E$13)</f>
        <v>4.4737999999999998</v>
      </c>
      <c r="C268" s="66">
        <f>4.4738 * CHOOSE(CONTROL!$C$26, $C$13, 100%, $E$13)</f>
        <v>4.4737999999999998</v>
      </c>
      <c r="D268" s="66">
        <f>4.4776 * CHOOSE(CONTROL!$C$26, $C$13, 100%, $E$13)</f>
        <v>4.4775999999999998</v>
      </c>
      <c r="E268" s="67">
        <f>5.4016 * CHOOSE(CONTROL!$C$26, $C$13, 100%, $E$13)</f>
        <v>5.4016000000000002</v>
      </c>
      <c r="F268" s="67">
        <f>5.4016 * CHOOSE(CONTROL!$C$26, $C$13, 100%, $E$13)</f>
        <v>5.4016000000000002</v>
      </c>
      <c r="G268" s="67">
        <f>5.4064 * CHOOSE(CONTROL!$C$26, $C$13, 100%, $E$13)</f>
        <v>5.4063999999999997</v>
      </c>
      <c r="H268" s="67">
        <f>9.9475* CHOOSE(CONTROL!$C$26, $C$13, 100%, $E$13)</f>
        <v>9.9474999999999998</v>
      </c>
      <c r="I268" s="67">
        <f>9.9523 * CHOOSE(CONTROL!$C$26, $C$13, 100%, $E$13)</f>
        <v>9.9522999999999993</v>
      </c>
      <c r="J268" s="67">
        <f>5.4016 * CHOOSE(CONTROL!$C$26, $C$13, 100%, $E$13)</f>
        <v>5.4016000000000002</v>
      </c>
      <c r="K268" s="67">
        <f>5.4064 * CHOOSE(CONTROL!$C$26, $C$13, 100%, $E$13)</f>
        <v>5.4063999999999997</v>
      </c>
    </row>
    <row r="269" spans="1:11" ht="15">
      <c r="A269" s="13">
        <v>49310</v>
      </c>
      <c r="B269" s="66">
        <f>4.515 * CHOOSE(CONTROL!$C$26, $C$13, 100%, $E$13)</f>
        <v>4.5149999999999997</v>
      </c>
      <c r="C269" s="66">
        <f>4.515 * CHOOSE(CONTROL!$C$26, $C$13, 100%, $E$13)</f>
        <v>4.5149999999999997</v>
      </c>
      <c r="D269" s="66">
        <f>4.5188 * CHOOSE(CONTROL!$C$26, $C$13, 100%, $E$13)</f>
        <v>4.5187999999999997</v>
      </c>
      <c r="E269" s="67">
        <f>5.4889 * CHOOSE(CONTROL!$C$26, $C$13, 100%, $E$13)</f>
        <v>5.4889000000000001</v>
      </c>
      <c r="F269" s="67">
        <f>5.4889 * CHOOSE(CONTROL!$C$26, $C$13, 100%, $E$13)</f>
        <v>5.4889000000000001</v>
      </c>
      <c r="G269" s="67">
        <f>5.4936 * CHOOSE(CONTROL!$C$26, $C$13, 100%, $E$13)</f>
        <v>5.4935999999999998</v>
      </c>
      <c r="H269" s="67">
        <f>9.9683* CHOOSE(CONTROL!$C$26, $C$13, 100%, $E$13)</f>
        <v>9.9682999999999993</v>
      </c>
      <c r="I269" s="67">
        <f>9.973 * CHOOSE(CONTROL!$C$26, $C$13, 100%, $E$13)</f>
        <v>9.9730000000000008</v>
      </c>
      <c r="J269" s="67">
        <f>5.4889 * CHOOSE(CONTROL!$C$26, $C$13, 100%, $E$13)</f>
        <v>5.4889000000000001</v>
      </c>
      <c r="K269" s="67">
        <f>5.4936 * CHOOSE(CONTROL!$C$26, $C$13, 100%, $E$13)</f>
        <v>5.4935999999999998</v>
      </c>
    </row>
    <row r="270" spans="1:11" ht="15">
      <c r="A270" s="13">
        <v>49341</v>
      </c>
      <c r="B270" s="66">
        <f>4.5119 * CHOOSE(CONTROL!$C$26, $C$13, 100%, $E$13)</f>
        <v>4.5118999999999998</v>
      </c>
      <c r="C270" s="66">
        <f>4.5119 * CHOOSE(CONTROL!$C$26, $C$13, 100%, $E$13)</f>
        <v>4.5118999999999998</v>
      </c>
      <c r="D270" s="66">
        <f>4.5158 * CHOOSE(CONTROL!$C$26, $C$13, 100%, $E$13)</f>
        <v>4.5157999999999996</v>
      </c>
      <c r="E270" s="67">
        <f>5.4007 * CHOOSE(CONTROL!$C$26, $C$13, 100%, $E$13)</f>
        <v>5.4006999999999996</v>
      </c>
      <c r="F270" s="67">
        <f>5.4007 * CHOOSE(CONTROL!$C$26, $C$13, 100%, $E$13)</f>
        <v>5.4006999999999996</v>
      </c>
      <c r="G270" s="67">
        <f>5.4055 * CHOOSE(CONTROL!$C$26, $C$13, 100%, $E$13)</f>
        <v>5.4055</v>
      </c>
      <c r="H270" s="67">
        <f>9.989* CHOOSE(CONTROL!$C$26, $C$13, 100%, $E$13)</f>
        <v>9.9890000000000008</v>
      </c>
      <c r="I270" s="67">
        <f>9.9938 * CHOOSE(CONTROL!$C$26, $C$13, 100%, $E$13)</f>
        <v>9.9938000000000002</v>
      </c>
      <c r="J270" s="67">
        <f>5.4007 * CHOOSE(CONTROL!$C$26, $C$13, 100%, $E$13)</f>
        <v>5.4006999999999996</v>
      </c>
      <c r="K270" s="67">
        <f>5.4055 * CHOOSE(CONTROL!$C$26, $C$13, 100%, $E$13)</f>
        <v>5.4055</v>
      </c>
    </row>
    <row r="271" spans="1:11" ht="15">
      <c r="A271" s="13">
        <v>49369</v>
      </c>
      <c r="B271" s="66">
        <f>4.5089 * CHOOSE(CONTROL!$C$26, $C$13, 100%, $E$13)</f>
        <v>4.5088999999999997</v>
      </c>
      <c r="C271" s="66">
        <f>4.5089 * CHOOSE(CONTROL!$C$26, $C$13, 100%, $E$13)</f>
        <v>4.5088999999999997</v>
      </c>
      <c r="D271" s="66">
        <f>4.5128 * CHOOSE(CONTROL!$C$26, $C$13, 100%, $E$13)</f>
        <v>4.5128000000000004</v>
      </c>
      <c r="E271" s="67">
        <f>5.4664 * CHOOSE(CONTROL!$C$26, $C$13, 100%, $E$13)</f>
        <v>5.4664000000000001</v>
      </c>
      <c r="F271" s="67">
        <f>5.4664 * CHOOSE(CONTROL!$C$26, $C$13, 100%, $E$13)</f>
        <v>5.4664000000000001</v>
      </c>
      <c r="G271" s="67">
        <f>5.4712 * CHOOSE(CONTROL!$C$26, $C$13, 100%, $E$13)</f>
        <v>5.4711999999999996</v>
      </c>
      <c r="H271" s="67">
        <f>10.0098* CHOOSE(CONTROL!$C$26, $C$13, 100%, $E$13)</f>
        <v>10.0098</v>
      </c>
      <c r="I271" s="67">
        <f>10.0146 * CHOOSE(CONTROL!$C$26, $C$13, 100%, $E$13)</f>
        <v>10.0146</v>
      </c>
      <c r="J271" s="67">
        <f>5.4664 * CHOOSE(CONTROL!$C$26, $C$13, 100%, $E$13)</f>
        <v>5.4664000000000001</v>
      </c>
      <c r="K271" s="67">
        <f>5.4712 * CHOOSE(CONTROL!$C$26, $C$13, 100%, $E$13)</f>
        <v>5.4711999999999996</v>
      </c>
    </row>
    <row r="272" spans="1:11" ht="15">
      <c r="A272" s="13">
        <v>49400</v>
      </c>
      <c r="B272" s="66">
        <f>4.507 * CHOOSE(CONTROL!$C$26, $C$13, 100%, $E$13)</f>
        <v>4.5069999999999997</v>
      </c>
      <c r="C272" s="66">
        <f>4.507 * CHOOSE(CONTROL!$C$26, $C$13, 100%, $E$13)</f>
        <v>4.5069999999999997</v>
      </c>
      <c r="D272" s="66">
        <f>4.5108 * CHOOSE(CONTROL!$C$26, $C$13, 100%, $E$13)</f>
        <v>4.5107999999999997</v>
      </c>
      <c r="E272" s="67">
        <f>5.535 * CHOOSE(CONTROL!$C$26, $C$13, 100%, $E$13)</f>
        <v>5.5350000000000001</v>
      </c>
      <c r="F272" s="67">
        <f>5.535 * CHOOSE(CONTROL!$C$26, $C$13, 100%, $E$13)</f>
        <v>5.5350000000000001</v>
      </c>
      <c r="G272" s="67">
        <f>5.5398 * CHOOSE(CONTROL!$C$26, $C$13, 100%, $E$13)</f>
        <v>5.5397999999999996</v>
      </c>
      <c r="H272" s="67">
        <f>10.0307* CHOOSE(CONTROL!$C$26, $C$13, 100%, $E$13)</f>
        <v>10.0307</v>
      </c>
      <c r="I272" s="67">
        <f>10.0355 * CHOOSE(CONTROL!$C$26, $C$13, 100%, $E$13)</f>
        <v>10.035500000000001</v>
      </c>
      <c r="J272" s="67">
        <f>5.535 * CHOOSE(CONTROL!$C$26, $C$13, 100%, $E$13)</f>
        <v>5.5350000000000001</v>
      </c>
      <c r="K272" s="67">
        <f>5.5398 * CHOOSE(CONTROL!$C$26, $C$13, 100%, $E$13)</f>
        <v>5.5397999999999996</v>
      </c>
    </row>
    <row r="273" spans="1:11" ht="15">
      <c r="A273" s="13">
        <v>49430</v>
      </c>
      <c r="B273" s="66">
        <f>4.507 * CHOOSE(CONTROL!$C$26, $C$13, 100%, $E$13)</f>
        <v>4.5069999999999997</v>
      </c>
      <c r="C273" s="66">
        <f>4.507 * CHOOSE(CONTROL!$C$26, $C$13, 100%, $E$13)</f>
        <v>4.5069999999999997</v>
      </c>
      <c r="D273" s="66">
        <f>4.5125 * CHOOSE(CONTROL!$C$26, $C$13, 100%, $E$13)</f>
        <v>4.5125000000000002</v>
      </c>
      <c r="E273" s="67">
        <f>5.5623 * CHOOSE(CONTROL!$C$26, $C$13, 100%, $E$13)</f>
        <v>5.5622999999999996</v>
      </c>
      <c r="F273" s="67">
        <f>5.5623 * CHOOSE(CONTROL!$C$26, $C$13, 100%, $E$13)</f>
        <v>5.5622999999999996</v>
      </c>
      <c r="G273" s="67">
        <f>5.5691 * CHOOSE(CONTROL!$C$26, $C$13, 100%, $E$13)</f>
        <v>5.5690999999999997</v>
      </c>
      <c r="H273" s="67">
        <f>10.0516* CHOOSE(CONTROL!$C$26, $C$13, 100%, $E$13)</f>
        <v>10.051600000000001</v>
      </c>
      <c r="I273" s="67">
        <f>10.0583 * CHOOSE(CONTROL!$C$26, $C$13, 100%, $E$13)</f>
        <v>10.058299999999999</v>
      </c>
      <c r="J273" s="67">
        <f>5.5623 * CHOOSE(CONTROL!$C$26, $C$13, 100%, $E$13)</f>
        <v>5.5622999999999996</v>
      </c>
      <c r="K273" s="67">
        <f>5.5691 * CHOOSE(CONTROL!$C$26, $C$13, 100%, $E$13)</f>
        <v>5.5690999999999997</v>
      </c>
    </row>
    <row r="274" spans="1:11" ht="15">
      <c r="A274" s="13">
        <v>49461</v>
      </c>
      <c r="B274" s="66">
        <f>4.5131 * CHOOSE(CONTROL!$C$26, $C$13, 100%, $E$13)</f>
        <v>4.5130999999999997</v>
      </c>
      <c r="C274" s="66">
        <f>4.5131 * CHOOSE(CONTROL!$C$26, $C$13, 100%, $E$13)</f>
        <v>4.5130999999999997</v>
      </c>
      <c r="D274" s="66">
        <f>4.5186 * CHOOSE(CONTROL!$C$26, $C$13, 100%, $E$13)</f>
        <v>4.5186000000000002</v>
      </c>
      <c r="E274" s="67">
        <f>5.5393 * CHOOSE(CONTROL!$C$26, $C$13, 100%, $E$13)</f>
        <v>5.5392999999999999</v>
      </c>
      <c r="F274" s="67">
        <f>5.5393 * CHOOSE(CONTROL!$C$26, $C$13, 100%, $E$13)</f>
        <v>5.5392999999999999</v>
      </c>
      <c r="G274" s="67">
        <f>5.546 * CHOOSE(CONTROL!$C$26, $C$13, 100%, $E$13)</f>
        <v>5.5460000000000003</v>
      </c>
      <c r="H274" s="67">
        <f>10.0725* CHOOSE(CONTROL!$C$26, $C$13, 100%, $E$13)</f>
        <v>10.0725</v>
      </c>
      <c r="I274" s="67">
        <f>10.0793 * CHOOSE(CONTROL!$C$26, $C$13, 100%, $E$13)</f>
        <v>10.0793</v>
      </c>
      <c r="J274" s="67">
        <f>5.5393 * CHOOSE(CONTROL!$C$26, $C$13, 100%, $E$13)</f>
        <v>5.5392999999999999</v>
      </c>
      <c r="K274" s="67">
        <f>5.546 * CHOOSE(CONTROL!$C$26, $C$13, 100%, $E$13)</f>
        <v>5.5460000000000003</v>
      </c>
    </row>
    <row r="275" spans="1:11" ht="15">
      <c r="A275" s="13">
        <v>49491</v>
      </c>
      <c r="B275" s="66">
        <f>4.5909 * CHOOSE(CONTROL!$C$26, $C$13, 100%, $E$13)</f>
        <v>4.5909000000000004</v>
      </c>
      <c r="C275" s="66">
        <f>4.5909 * CHOOSE(CONTROL!$C$26, $C$13, 100%, $E$13)</f>
        <v>4.5909000000000004</v>
      </c>
      <c r="D275" s="66">
        <f>4.5964 * CHOOSE(CONTROL!$C$26, $C$13, 100%, $E$13)</f>
        <v>4.5964</v>
      </c>
      <c r="E275" s="67">
        <f>5.6624 * CHOOSE(CONTROL!$C$26, $C$13, 100%, $E$13)</f>
        <v>5.6623999999999999</v>
      </c>
      <c r="F275" s="67">
        <f>5.6624 * CHOOSE(CONTROL!$C$26, $C$13, 100%, $E$13)</f>
        <v>5.6623999999999999</v>
      </c>
      <c r="G275" s="67">
        <f>5.6691 * CHOOSE(CONTROL!$C$26, $C$13, 100%, $E$13)</f>
        <v>5.6691000000000003</v>
      </c>
      <c r="H275" s="67">
        <f>10.0935* CHOOSE(CONTROL!$C$26, $C$13, 100%, $E$13)</f>
        <v>10.093500000000001</v>
      </c>
      <c r="I275" s="67">
        <f>10.1003 * CHOOSE(CONTROL!$C$26, $C$13, 100%, $E$13)</f>
        <v>10.100300000000001</v>
      </c>
      <c r="J275" s="67">
        <f>5.6624 * CHOOSE(CONTROL!$C$26, $C$13, 100%, $E$13)</f>
        <v>5.6623999999999999</v>
      </c>
      <c r="K275" s="67">
        <f>5.6691 * CHOOSE(CONTROL!$C$26, $C$13, 100%, $E$13)</f>
        <v>5.6691000000000003</v>
      </c>
    </row>
    <row r="276" spans="1:11" ht="15">
      <c r="A276" s="13">
        <v>49522</v>
      </c>
      <c r="B276" s="66">
        <f>4.5975 * CHOOSE(CONTROL!$C$26, $C$13, 100%, $E$13)</f>
        <v>4.5975000000000001</v>
      </c>
      <c r="C276" s="66">
        <f>4.5975 * CHOOSE(CONTROL!$C$26, $C$13, 100%, $E$13)</f>
        <v>4.5975000000000001</v>
      </c>
      <c r="D276" s="66">
        <f>4.6031 * CHOOSE(CONTROL!$C$26, $C$13, 100%, $E$13)</f>
        <v>4.6031000000000004</v>
      </c>
      <c r="E276" s="67">
        <f>5.5851 * CHOOSE(CONTROL!$C$26, $C$13, 100%, $E$13)</f>
        <v>5.5850999999999997</v>
      </c>
      <c r="F276" s="67">
        <f>5.5851 * CHOOSE(CONTROL!$C$26, $C$13, 100%, $E$13)</f>
        <v>5.5850999999999997</v>
      </c>
      <c r="G276" s="67">
        <f>5.5918 * CHOOSE(CONTROL!$C$26, $C$13, 100%, $E$13)</f>
        <v>5.5918000000000001</v>
      </c>
      <c r="H276" s="67">
        <f>10.1145* CHOOSE(CONTROL!$C$26, $C$13, 100%, $E$13)</f>
        <v>10.1145</v>
      </c>
      <c r="I276" s="67">
        <f>10.1213 * CHOOSE(CONTROL!$C$26, $C$13, 100%, $E$13)</f>
        <v>10.1213</v>
      </c>
      <c r="J276" s="67">
        <f>5.5851 * CHOOSE(CONTROL!$C$26, $C$13, 100%, $E$13)</f>
        <v>5.5850999999999997</v>
      </c>
      <c r="K276" s="67">
        <f>5.5918 * CHOOSE(CONTROL!$C$26, $C$13, 100%, $E$13)</f>
        <v>5.5918000000000001</v>
      </c>
    </row>
    <row r="277" spans="1:11" ht="15">
      <c r="A277" s="13">
        <v>49553</v>
      </c>
      <c r="B277" s="66">
        <f>4.5945 * CHOOSE(CONTROL!$C$26, $C$13, 100%, $E$13)</f>
        <v>4.5945</v>
      </c>
      <c r="C277" s="66">
        <f>4.5945 * CHOOSE(CONTROL!$C$26, $C$13, 100%, $E$13)</f>
        <v>4.5945</v>
      </c>
      <c r="D277" s="66">
        <f>4.6 * CHOOSE(CONTROL!$C$26, $C$13, 100%, $E$13)</f>
        <v>4.5999999999999996</v>
      </c>
      <c r="E277" s="67">
        <f>5.5739 * CHOOSE(CONTROL!$C$26, $C$13, 100%, $E$13)</f>
        <v>5.5739000000000001</v>
      </c>
      <c r="F277" s="67">
        <f>5.5739 * CHOOSE(CONTROL!$C$26, $C$13, 100%, $E$13)</f>
        <v>5.5739000000000001</v>
      </c>
      <c r="G277" s="67">
        <f>5.5806 * CHOOSE(CONTROL!$C$26, $C$13, 100%, $E$13)</f>
        <v>5.5805999999999996</v>
      </c>
      <c r="H277" s="67">
        <f>10.1356* CHOOSE(CONTROL!$C$26, $C$13, 100%, $E$13)</f>
        <v>10.1356</v>
      </c>
      <c r="I277" s="67">
        <f>10.1424 * CHOOSE(CONTROL!$C$26, $C$13, 100%, $E$13)</f>
        <v>10.1424</v>
      </c>
      <c r="J277" s="67">
        <f>5.5739 * CHOOSE(CONTROL!$C$26, $C$13, 100%, $E$13)</f>
        <v>5.5739000000000001</v>
      </c>
      <c r="K277" s="67">
        <f>5.5806 * CHOOSE(CONTROL!$C$26, $C$13, 100%, $E$13)</f>
        <v>5.5805999999999996</v>
      </c>
    </row>
    <row r="278" spans="1:11" ht="15">
      <c r="A278" s="13">
        <v>49583</v>
      </c>
      <c r="B278" s="66">
        <f>4.5915 * CHOOSE(CONTROL!$C$26, $C$13, 100%, $E$13)</f>
        <v>4.5914999999999999</v>
      </c>
      <c r="C278" s="66">
        <f>4.5915 * CHOOSE(CONTROL!$C$26, $C$13, 100%, $E$13)</f>
        <v>4.5914999999999999</v>
      </c>
      <c r="D278" s="66">
        <f>4.5954 * CHOOSE(CONTROL!$C$26, $C$13, 100%, $E$13)</f>
        <v>4.5953999999999997</v>
      </c>
      <c r="E278" s="67">
        <f>5.5969 * CHOOSE(CONTROL!$C$26, $C$13, 100%, $E$13)</f>
        <v>5.5968999999999998</v>
      </c>
      <c r="F278" s="67">
        <f>5.5969 * CHOOSE(CONTROL!$C$26, $C$13, 100%, $E$13)</f>
        <v>5.5968999999999998</v>
      </c>
      <c r="G278" s="67">
        <f>5.6016 * CHOOSE(CONTROL!$C$26, $C$13, 100%, $E$13)</f>
        <v>5.6016000000000004</v>
      </c>
      <c r="H278" s="67">
        <f>10.1567* CHOOSE(CONTROL!$C$26, $C$13, 100%, $E$13)</f>
        <v>10.156700000000001</v>
      </c>
      <c r="I278" s="67">
        <f>10.1615 * CHOOSE(CONTROL!$C$26, $C$13, 100%, $E$13)</f>
        <v>10.1615</v>
      </c>
      <c r="J278" s="67">
        <f>5.5969 * CHOOSE(CONTROL!$C$26, $C$13, 100%, $E$13)</f>
        <v>5.5968999999999998</v>
      </c>
      <c r="K278" s="67">
        <f>5.6016 * CHOOSE(CONTROL!$C$26, $C$13, 100%, $E$13)</f>
        <v>5.6016000000000004</v>
      </c>
    </row>
    <row r="279" spans="1:11" ht="15">
      <c r="A279" s="13">
        <v>49614</v>
      </c>
      <c r="B279" s="66">
        <f>4.5946 * CHOOSE(CONTROL!$C$26, $C$13, 100%, $E$13)</f>
        <v>4.5945999999999998</v>
      </c>
      <c r="C279" s="66">
        <f>4.5946 * CHOOSE(CONTROL!$C$26, $C$13, 100%, $E$13)</f>
        <v>4.5945999999999998</v>
      </c>
      <c r="D279" s="66">
        <f>4.5984 * CHOOSE(CONTROL!$C$26, $C$13, 100%, $E$13)</f>
        <v>4.5983999999999998</v>
      </c>
      <c r="E279" s="67">
        <f>5.6172 * CHOOSE(CONTROL!$C$26, $C$13, 100%, $E$13)</f>
        <v>5.6172000000000004</v>
      </c>
      <c r="F279" s="67">
        <f>5.6172 * CHOOSE(CONTROL!$C$26, $C$13, 100%, $E$13)</f>
        <v>5.6172000000000004</v>
      </c>
      <c r="G279" s="67">
        <f>5.622 * CHOOSE(CONTROL!$C$26, $C$13, 100%, $E$13)</f>
        <v>5.6219999999999999</v>
      </c>
      <c r="H279" s="67">
        <f>10.1779* CHOOSE(CONTROL!$C$26, $C$13, 100%, $E$13)</f>
        <v>10.177899999999999</v>
      </c>
      <c r="I279" s="67">
        <f>10.1827 * CHOOSE(CONTROL!$C$26, $C$13, 100%, $E$13)</f>
        <v>10.182700000000001</v>
      </c>
      <c r="J279" s="67">
        <f>5.6172 * CHOOSE(CONTROL!$C$26, $C$13, 100%, $E$13)</f>
        <v>5.6172000000000004</v>
      </c>
      <c r="K279" s="67">
        <f>5.622 * CHOOSE(CONTROL!$C$26, $C$13, 100%, $E$13)</f>
        <v>5.6219999999999999</v>
      </c>
    </row>
    <row r="280" spans="1:11" ht="15">
      <c r="A280" s="13">
        <v>49644</v>
      </c>
      <c r="B280" s="66">
        <f>4.5946 * CHOOSE(CONTROL!$C$26, $C$13, 100%, $E$13)</f>
        <v>4.5945999999999998</v>
      </c>
      <c r="C280" s="66">
        <f>4.5946 * CHOOSE(CONTROL!$C$26, $C$13, 100%, $E$13)</f>
        <v>4.5945999999999998</v>
      </c>
      <c r="D280" s="66">
        <f>4.5984 * CHOOSE(CONTROL!$C$26, $C$13, 100%, $E$13)</f>
        <v>4.5983999999999998</v>
      </c>
      <c r="E280" s="67">
        <f>5.5717 * CHOOSE(CONTROL!$C$26, $C$13, 100%, $E$13)</f>
        <v>5.5716999999999999</v>
      </c>
      <c r="F280" s="67">
        <f>5.5717 * CHOOSE(CONTROL!$C$26, $C$13, 100%, $E$13)</f>
        <v>5.5716999999999999</v>
      </c>
      <c r="G280" s="67">
        <f>5.5764 * CHOOSE(CONTROL!$C$26, $C$13, 100%, $E$13)</f>
        <v>5.5763999999999996</v>
      </c>
      <c r="H280" s="67">
        <f>10.1991* CHOOSE(CONTROL!$C$26, $C$13, 100%, $E$13)</f>
        <v>10.1991</v>
      </c>
      <c r="I280" s="67">
        <f>10.2039 * CHOOSE(CONTROL!$C$26, $C$13, 100%, $E$13)</f>
        <v>10.203900000000001</v>
      </c>
      <c r="J280" s="67">
        <f>5.5717 * CHOOSE(CONTROL!$C$26, $C$13, 100%, $E$13)</f>
        <v>5.5716999999999999</v>
      </c>
      <c r="K280" s="67">
        <f>5.5764 * CHOOSE(CONTROL!$C$26, $C$13, 100%, $E$13)</f>
        <v>5.5763999999999996</v>
      </c>
    </row>
    <row r="281" spans="1:11" ht="15">
      <c r="A281" s="13">
        <v>49675</v>
      </c>
      <c r="B281" s="66">
        <f>4.6362 * CHOOSE(CONTROL!$C$26, $C$13, 100%, $E$13)</f>
        <v>4.6361999999999997</v>
      </c>
      <c r="C281" s="66">
        <f>4.6362 * CHOOSE(CONTROL!$C$26, $C$13, 100%, $E$13)</f>
        <v>4.6361999999999997</v>
      </c>
      <c r="D281" s="66">
        <f>4.6401 * CHOOSE(CONTROL!$C$26, $C$13, 100%, $E$13)</f>
        <v>4.6401000000000003</v>
      </c>
      <c r="E281" s="67">
        <f>5.6558 * CHOOSE(CONTROL!$C$26, $C$13, 100%, $E$13)</f>
        <v>5.6558000000000002</v>
      </c>
      <c r="F281" s="67">
        <f>5.6558 * CHOOSE(CONTROL!$C$26, $C$13, 100%, $E$13)</f>
        <v>5.6558000000000002</v>
      </c>
      <c r="G281" s="67">
        <f>5.6606 * CHOOSE(CONTROL!$C$26, $C$13, 100%, $E$13)</f>
        <v>5.6605999999999996</v>
      </c>
      <c r="H281" s="67">
        <f>10.2203* CHOOSE(CONTROL!$C$26, $C$13, 100%, $E$13)</f>
        <v>10.2203</v>
      </c>
      <c r="I281" s="67">
        <f>10.2251 * CHOOSE(CONTROL!$C$26, $C$13, 100%, $E$13)</f>
        <v>10.225099999999999</v>
      </c>
      <c r="J281" s="67">
        <f>5.6558 * CHOOSE(CONTROL!$C$26, $C$13, 100%, $E$13)</f>
        <v>5.6558000000000002</v>
      </c>
      <c r="K281" s="67">
        <f>5.6606 * CHOOSE(CONTROL!$C$26, $C$13, 100%, $E$13)</f>
        <v>5.6605999999999996</v>
      </c>
    </row>
    <row r="282" spans="1:11" ht="15">
      <c r="A282" s="13">
        <v>49706</v>
      </c>
      <c r="B282" s="66">
        <f>4.6332 * CHOOSE(CONTROL!$C$26, $C$13, 100%, $E$13)</f>
        <v>4.6332000000000004</v>
      </c>
      <c r="C282" s="66">
        <f>4.6332 * CHOOSE(CONTROL!$C$26, $C$13, 100%, $E$13)</f>
        <v>4.6332000000000004</v>
      </c>
      <c r="D282" s="66">
        <f>4.637 * CHOOSE(CONTROL!$C$26, $C$13, 100%, $E$13)</f>
        <v>4.6369999999999996</v>
      </c>
      <c r="E282" s="67">
        <f>5.5653 * CHOOSE(CONTROL!$C$26, $C$13, 100%, $E$13)</f>
        <v>5.5652999999999997</v>
      </c>
      <c r="F282" s="67">
        <f>5.5653 * CHOOSE(CONTROL!$C$26, $C$13, 100%, $E$13)</f>
        <v>5.5652999999999997</v>
      </c>
      <c r="G282" s="67">
        <f>5.5701 * CHOOSE(CONTROL!$C$26, $C$13, 100%, $E$13)</f>
        <v>5.5701000000000001</v>
      </c>
      <c r="H282" s="67">
        <f>10.2416* CHOOSE(CONTROL!$C$26, $C$13, 100%, $E$13)</f>
        <v>10.2416</v>
      </c>
      <c r="I282" s="67">
        <f>10.2464 * CHOOSE(CONTROL!$C$26, $C$13, 100%, $E$13)</f>
        <v>10.2464</v>
      </c>
      <c r="J282" s="67">
        <f>5.5653 * CHOOSE(CONTROL!$C$26, $C$13, 100%, $E$13)</f>
        <v>5.5652999999999997</v>
      </c>
      <c r="K282" s="67">
        <f>5.5701 * CHOOSE(CONTROL!$C$26, $C$13, 100%, $E$13)</f>
        <v>5.5701000000000001</v>
      </c>
    </row>
    <row r="283" spans="1:11" ht="15">
      <c r="A283" s="13">
        <v>49735</v>
      </c>
      <c r="B283" s="66">
        <f>4.6301 * CHOOSE(CONTROL!$C$26, $C$13, 100%, $E$13)</f>
        <v>4.6300999999999997</v>
      </c>
      <c r="C283" s="66">
        <f>4.6301 * CHOOSE(CONTROL!$C$26, $C$13, 100%, $E$13)</f>
        <v>4.6300999999999997</v>
      </c>
      <c r="D283" s="66">
        <f>4.634 * CHOOSE(CONTROL!$C$26, $C$13, 100%, $E$13)</f>
        <v>4.6340000000000003</v>
      </c>
      <c r="E283" s="67">
        <f>5.6329 * CHOOSE(CONTROL!$C$26, $C$13, 100%, $E$13)</f>
        <v>5.6329000000000002</v>
      </c>
      <c r="F283" s="67">
        <f>5.6329 * CHOOSE(CONTROL!$C$26, $C$13, 100%, $E$13)</f>
        <v>5.6329000000000002</v>
      </c>
      <c r="G283" s="67">
        <f>5.6377 * CHOOSE(CONTROL!$C$26, $C$13, 100%, $E$13)</f>
        <v>5.6376999999999997</v>
      </c>
      <c r="H283" s="67">
        <f>10.263* CHOOSE(CONTROL!$C$26, $C$13, 100%, $E$13)</f>
        <v>10.263</v>
      </c>
      <c r="I283" s="67">
        <f>10.2677 * CHOOSE(CONTROL!$C$26, $C$13, 100%, $E$13)</f>
        <v>10.2677</v>
      </c>
      <c r="J283" s="67">
        <f>5.6329 * CHOOSE(CONTROL!$C$26, $C$13, 100%, $E$13)</f>
        <v>5.6329000000000002</v>
      </c>
      <c r="K283" s="67">
        <f>5.6377 * CHOOSE(CONTROL!$C$26, $C$13, 100%, $E$13)</f>
        <v>5.6376999999999997</v>
      </c>
    </row>
    <row r="284" spans="1:11" ht="15">
      <c r="A284" s="13">
        <v>49766</v>
      </c>
      <c r="B284" s="66">
        <f>4.6283 * CHOOSE(CONTROL!$C$26, $C$13, 100%, $E$13)</f>
        <v>4.6283000000000003</v>
      </c>
      <c r="C284" s="66">
        <f>4.6283 * CHOOSE(CONTROL!$C$26, $C$13, 100%, $E$13)</f>
        <v>4.6283000000000003</v>
      </c>
      <c r="D284" s="66">
        <f>4.6322 * CHOOSE(CONTROL!$C$26, $C$13, 100%, $E$13)</f>
        <v>4.6322000000000001</v>
      </c>
      <c r="E284" s="67">
        <f>5.7035 * CHOOSE(CONTROL!$C$26, $C$13, 100%, $E$13)</f>
        <v>5.7035</v>
      </c>
      <c r="F284" s="67">
        <f>5.7035 * CHOOSE(CONTROL!$C$26, $C$13, 100%, $E$13)</f>
        <v>5.7035</v>
      </c>
      <c r="G284" s="67">
        <f>5.7082 * CHOOSE(CONTROL!$C$26, $C$13, 100%, $E$13)</f>
        <v>5.7081999999999997</v>
      </c>
      <c r="H284" s="67">
        <f>10.2844* CHOOSE(CONTROL!$C$26, $C$13, 100%, $E$13)</f>
        <v>10.2844</v>
      </c>
      <c r="I284" s="67">
        <f>10.2891 * CHOOSE(CONTROL!$C$26, $C$13, 100%, $E$13)</f>
        <v>10.289099999999999</v>
      </c>
      <c r="J284" s="67">
        <f>5.7035 * CHOOSE(CONTROL!$C$26, $C$13, 100%, $E$13)</f>
        <v>5.7035</v>
      </c>
      <c r="K284" s="67">
        <f>5.7082 * CHOOSE(CONTROL!$C$26, $C$13, 100%, $E$13)</f>
        <v>5.7081999999999997</v>
      </c>
    </row>
    <row r="285" spans="1:11" ht="15">
      <c r="A285" s="13">
        <v>49796</v>
      </c>
      <c r="B285" s="66">
        <f>4.6283 * CHOOSE(CONTROL!$C$26, $C$13, 100%, $E$13)</f>
        <v>4.6283000000000003</v>
      </c>
      <c r="C285" s="66">
        <f>4.6283 * CHOOSE(CONTROL!$C$26, $C$13, 100%, $E$13)</f>
        <v>4.6283000000000003</v>
      </c>
      <c r="D285" s="66">
        <f>4.6338 * CHOOSE(CONTROL!$C$26, $C$13, 100%, $E$13)</f>
        <v>4.6337999999999999</v>
      </c>
      <c r="E285" s="67">
        <f>5.7315 * CHOOSE(CONTROL!$C$26, $C$13, 100%, $E$13)</f>
        <v>5.7314999999999996</v>
      </c>
      <c r="F285" s="67">
        <f>5.7315 * CHOOSE(CONTROL!$C$26, $C$13, 100%, $E$13)</f>
        <v>5.7314999999999996</v>
      </c>
      <c r="G285" s="67">
        <f>5.7383 * CHOOSE(CONTROL!$C$26, $C$13, 100%, $E$13)</f>
        <v>5.7382999999999997</v>
      </c>
      <c r="H285" s="67">
        <f>10.3058* CHOOSE(CONTROL!$C$26, $C$13, 100%, $E$13)</f>
        <v>10.3058</v>
      </c>
      <c r="I285" s="67">
        <f>10.3125 * CHOOSE(CONTROL!$C$26, $C$13, 100%, $E$13)</f>
        <v>10.3125</v>
      </c>
      <c r="J285" s="67">
        <f>5.7315 * CHOOSE(CONTROL!$C$26, $C$13, 100%, $E$13)</f>
        <v>5.7314999999999996</v>
      </c>
      <c r="K285" s="67">
        <f>5.7383 * CHOOSE(CONTROL!$C$26, $C$13, 100%, $E$13)</f>
        <v>5.7382999999999997</v>
      </c>
    </row>
    <row r="286" spans="1:11" ht="15">
      <c r="A286" s="13">
        <v>49827</v>
      </c>
      <c r="B286" s="66">
        <f>4.6344 * CHOOSE(CONTROL!$C$26, $C$13, 100%, $E$13)</f>
        <v>4.6344000000000003</v>
      </c>
      <c r="C286" s="66">
        <f>4.6344 * CHOOSE(CONTROL!$C$26, $C$13, 100%, $E$13)</f>
        <v>4.6344000000000003</v>
      </c>
      <c r="D286" s="66">
        <f>4.6399 * CHOOSE(CONTROL!$C$26, $C$13, 100%, $E$13)</f>
        <v>4.6398999999999999</v>
      </c>
      <c r="E286" s="67">
        <f>5.7077 * CHOOSE(CONTROL!$C$26, $C$13, 100%, $E$13)</f>
        <v>5.7077</v>
      </c>
      <c r="F286" s="67">
        <f>5.7077 * CHOOSE(CONTROL!$C$26, $C$13, 100%, $E$13)</f>
        <v>5.7077</v>
      </c>
      <c r="G286" s="67">
        <f>5.7144 * CHOOSE(CONTROL!$C$26, $C$13, 100%, $E$13)</f>
        <v>5.7144000000000004</v>
      </c>
      <c r="H286" s="67">
        <f>10.3273* CHOOSE(CONTROL!$C$26, $C$13, 100%, $E$13)</f>
        <v>10.327299999999999</v>
      </c>
      <c r="I286" s="67">
        <f>10.334 * CHOOSE(CONTROL!$C$26, $C$13, 100%, $E$13)</f>
        <v>10.334</v>
      </c>
      <c r="J286" s="67">
        <f>5.7077 * CHOOSE(CONTROL!$C$26, $C$13, 100%, $E$13)</f>
        <v>5.7077</v>
      </c>
      <c r="K286" s="67">
        <f>5.7144 * CHOOSE(CONTROL!$C$26, $C$13, 100%, $E$13)</f>
        <v>5.7144000000000004</v>
      </c>
    </row>
    <row r="287" spans="1:11" ht="15">
      <c r="A287" s="13">
        <v>49857</v>
      </c>
      <c r="B287" s="66">
        <f>4.7122 * CHOOSE(CONTROL!$C$26, $C$13, 100%, $E$13)</f>
        <v>4.7122000000000002</v>
      </c>
      <c r="C287" s="66">
        <f>4.7122 * CHOOSE(CONTROL!$C$26, $C$13, 100%, $E$13)</f>
        <v>4.7122000000000002</v>
      </c>
      <c r="D287" s="66">
        <f>4.7177 * CHOOSE(CONTROL!$C$26, $C$13, 100%, $E$13)</f>
        <v>4.7176999999999998</v>
      </c>
      <c r="E287" s="67">
        <f>5.8199 * CHOOSE(CONTROL!$C$26, $C$13, 100%, $E$13)</f>
        <v>5.8198999999999996</v>
      </c>
      <c r="F287" s="67">
        <f>5.8199 * CHOOSE(CONTROL!$C$26, $C$13, 100%, $E$13)</f>
        <v>5.8198999999999996</v>
      </c>
      <c r="G287" s="67">
        <f>5.8266 * CHOOSE(CONTROL!$C$26, $C$13, 100%, $E$13)</f>
        <v>5.8266</v>
      </c>
      <c r="H287" s="67">
        <f>10.3488* CHOOSE(CONTROL!$C$26, $C$13, 100%, $E$13)</f>
        <v>10.348800000000001</v>
      </c>
      <c r="I287" s="67">
        <f>10.3555 * CHOOSE(CONTROL!$C$26, $C$13, 100%, $E$13)</f>
        <v>10.355499999999999</v>
      </c>
      <c r="J287" s="67">
        <f>5.8199 * CHOOSE(CONTROL!$C$26, $C$13, 100%, $E$13)</f>
        <v>5.8198999999999996</v>
      </c>
      <c r="K287" s="67">
        <f>5.8266 * CHOOSE(CONTROL!$C$26, $C$13, 100%, $E$13)</f>
        <v>5.8266</v>
      </c>
    </row>
    <row r="288" spans="1:11" ht="15">
      <c r="A288" s="13">
        <v>49888</v>
      </c>
      <c r="B288" s="66">
        <f>4.7188 * CHOOSE(CONTROL!$C$26, $C$13, 100%, $E$13)</f>
        <v>4.7187999999999999</v>
      </c>
      <c r="C288" s="66">
        <f>4.7188 * CHOOSE(CONTROL!$C$26, $C$13, 100%, $E$13)</f>
        <v>4.7187999999999999</v>
      </c>
      <c r="D288" s="66">
        <f>4.7243 * CHOOSE(CONTROL!$C$26, $C$13, 100%, $E$13)</f>
        <v>4.7243000000000004</v>
      </c>
      <c r="E288" s="67">
        <f>5.7404 * CHOOSE(CONTROL!$C$26, $C$13, 100%, $E$13)</f>
        <v>5.7404000000000002</v>
      </c>
      <c r="F288" s="67">
        <f>5.7404 * CHOOSE(CONTROL!$C$26, $C$13, 100%, $E$13)</f>
        <v>5.7404000000000002</v>
      </c>
      <c r="G288" s="67">
        <f>5.7471 * CHOOSE(CONTROL!$C$26, $C$13, 100%, $E$13)</f>
        <v>5.7470999999999997</v>
      </c>
      <c r="H288" s="67">
        <f>10.3703* CHOOSE(CONTROL!$C$26, $C$13, 100%, $E$13)</f>
        <v>10.3703</v>
      </c>
      <c r="I288" s="67">
        <f>10.3771 * CHOOSE(CONTROL!$C$26, $C$13, 100%, $E$13)</f>
        <v>10.3771</v>
      </c>
      <c r="J288" s="67">
        <f>5.7404 * CHOOSE(CONTROL!$C$26, $C$13, 100%, $E$13)</f>
        <v>5.7404000000000002</v>
      </c>
      <c r="K288" s="67">
        <f>5.7471 * CHOOSE(CONTROL!$C$26, $C$13, 100%, $E$13)</f>
        <v>5.7470999999999997</v>
      </c>
    </row>
    <row r="289" spans="1:11" ht="15">
      <c r="A289" s="13">
        <v>49919</v>
      </c>
      <c r="B289" s="66">
        <f>4.7158 * CHOOSE(CONTROL!$C$26, $C$13, 100%, $E$13)</f>
        <v>4.7157999999999998</v>
      </c>
      <c r="C289" s="66">
        <f>4.7158 * CHOOSE(CONTROL!$C$26, $C$13, 100%, $E$13)</f>
        <v>4.7157999999999998</v>
      </c>
      <c r="D289" s="66">
        <f>4.7213 * CHOOSE(CONTROL!$C$26, $C$13, 100%, $E$13)</f>
        <v>4.7213000000000003</v>
      </c>
      <c r="E289" s="67">
        <f>5.7289 * CHOOSE(CONTROL!$C$26, $C$13, 100%, $E$13)</f>
        <v>5.7289000000000003</v>
      </c>
      <c r="F289" s="67">
        <f>5.7289 * CHOOSE(CONTROL!$C$26, $C$13, 100%, $E$13)</f>
        <v>5.7289000000000003</v>
      </c>
      <c r="G289" s="67">
        <f>5.7356 * CHOOSE(CONTROL!$C$26, $C$13, 100%, $E$13)</f>
        <v>5.7355999999999998</v>
      </c>
      <c r="H289" s="67">
        <f>10.3919* CHOOSE(CONTROL!$C$26, $C$13, 100%, $E$13)</f>
        <v>10.3919</v>
      </c>
      <c r="I289" s="67">
        <f>10.3987 * CHOOSE(CONTROL!$C$26, $C$13, 100%, $E$13)</f>
        <v>10.3987</v>
      </c>
      <c r="J289" s="67">
        <f>5.7289 * CHOOSE(CONTROL!$C$26, $C$13, 100%, $E$13)</f>
        <v>5.7289000000000003</v>
      </c>
      <c r="K289" s="67">
        <f>5.7356 * CHOOSE(CONTROL!$C$26, $C$13, 100%, $E$13)</f>
        <v>5.7355999999999998</v>
      </c>
    </row>
    <row r="290" spans="1:11" ht="15">
      <c r="A290" s="13">
        <v>49949</v>
      </c>
      <c r="B290" s="66">
        <f>4.7132 * CHOOSE(CONTROL!$C$26, $C$13, 100%, $E$13)</f>
        <v>4.7131999999999996</v>
      </c>
      <c r="C290" s="66">
        <f>4.7132 * CHOOSE(CONTROL!$C$26, $C$13, 100%, $E$13)</f>
        <v>4.7131999999999996</v>
      </c>
      <c r="D290" s="66">
        <f>4.7171 * CHOOSE(CONTROL!$C$26, $C$13, 100%, $E$13)</f>
        <v>4.7171000000000003</v>
      </c>
      <c r="E290" s="67">
        <f>5.7529 * CHOOSE(CONTROL!$C$26, $C$13, 100%, $E$13)</f>
        <v>5.7529000000000003</v>
      </c>
      <c r="F290" s="67">
        <f>5.7529 * CHOOSE(CONTROL!$C$26, $C$13, 100%, $E$13)</f>
        <v>5.7529000000000003</v>
      </c>
      <c r="G290" s="67">
        <f>5.7576 * CHOOSE(CONTROL!$C$26, $C$13, 100%, $E$13)</f>
        <v>5.7576000000000001</v>
      </c>
      <c r="H290" s="67">
        <f>10.4136* CHOOSE(CONTROL!$C$26, $C$13, 100%, $E$13)</f>
        <v>10.413600000000001</v>
      </c>
      <c r="I290" s="67">
        <f>10.4183 * CHOOSE(CONTROL!$C$26, $C$13, 100%, $E$13)</f>
        <v>10.4183</v>
      </c>
      <c r="J290" s="67">
        <f>5.7529 * CHOOSE(CONTROL!$C$26, $C$13, 100%, $E$13)</f>
        <v>5.7529000000000003</v>
      </c>
      <c r="K290" s="67">
        <f>5.7576 * CHOOSE(CONTROL!$C$26, $C$13, 100%, $E$13)</f>
        <v>5.7576000000000001</v>
      </c>
    </row>
    <row r="291" spans="1:11" ht="15">
      <c r="A291" s="13">
        <v>49980</v>
      </c>
      <c r="B291" s="66">
        <f>4.7163 * CHOOSE(CONTROL!$C$26, $C$13, 100%, $E$13)</f>
        <v>4.7163000000000004</v>
      </c>
      <c r="C291" s="66">
        <f>4.7163 * CHOOSE(CONTROL!$C$26, $C$13, 100%, $E$13)</f>
        <v>4.7163000000000004</v>
      </c>
      <c r="D291" s="66">
        <f>4.7201 * CHOOSE(CONTROL!$C$26, $C$13, 100%, $E$13)</f>
        <v>4.7201000000000004</v>
      </c>
      <c r="E291" s="67">
        <f>5.7737 * CHOOSE(CONTROL!$C$26, $C$13, 100%, $E$13)</f>
        <v>5.7736999999999998</v>
      </c>
      <c r="F291" s="67">
        <f>5.7737 * CHOOSE(CONTROL!$C$26, $C$13, 100%, $E$13)</f>
        <v>5.7736999999999998</v>
      </c>
      <c r="G291" s="67">
        <f>5.7785 * CHOOSE(CONTROL!$C$26, $C$13, 100%, $E$13)</f>
        <v>5.7785000000000002</v>
      </c>
      <c r="H291" s="67">
        <f>10.4353* CHOOSE(CONTROL!$C$26, $C$13, 100%, $E$13)</f>
        <v>10.4353</v>
      </c>
      <c r="I291" s="67">
        <f>10.44 * CHOOSE(CONTROL!$C$26, $C$13, 100%, $E$13)</f>
        <v>10.44</v>
      </c>
      <c r="J291" s="67">
        <f>5.7737 * CHOOSE(CONTROL!$C$26, $C$13, 100%, $E$13)</f>
        <v>5.7736999999999998</v>
      </c>
      <c r="K291" s="67">
        <f>5.7785 * CHOOSE(CONTROL!$C$26, $C$13, 100%, $E$13)</f>
        <v>5.7785000000000002</v>
      </c>
    </row>
    <row r="292" spans="1:11" ht="15">
      <c r="A292" s="13">
        <v>50010</v>
      </c>
      <c r="B292" s="66">
        <f>4.7163 * CHOOSE(CONTROL!$C$26, $C$13, 100%, $E$13)</f>
        <v>4.7163000000000004</v>
      </c>
      <c r="C292" s="66">
        <f>4.7163 * CHOOSE(CONTROL!$C$26, $C$13, 100%, $E$13)</f>
        <v>4.7163000000000004</v>
      </c>
      <c r="D292" s="66">
        <f>4.7201 * CHOOSE(CONTROL!$C$26, $C$13, 100%, $E$13)</f>
        <v>4.7201000000000004</v>
      </c>
      <c r="E292" s="67">
        <f>5.7269 * CHOOSE(CONTROL!$C$26, $C$13, 100%, $E$13)</f>
        <v>5.7268999999999997</v>
      </c>
      <c r="F292" s="67">
        <f>5.7269 * CHOOSE(CONTROL!$C$26, $C$13, 100%, $E$13)</f>
        <v>5.7268999999999997</v>
      </c>
      <c r="G292" s="67">
        <f>5.7317 * CHOOSE(CONTROL!$C$26, $C$13, 100%, $E$13)</f>
        <v>5.7317</v>
      </c>
      <c r="H292" s="67">
        <f>10.457* CHOOSE(CONTROL!$C$26, $C$13, 100%, $E$13)</f>
        <v>10.457000000000001</v>
      </c>
      <c r="I292" s="67">
        <f>10.4618 * CHOOSE(CONTROL!$C$26, $C$13, 100%, $E$13)</f>
        <v>10.4618</v>
      </c>
      <c r="J292" s="67">
        <f>5.7269 * CHOOSE(CONTROL!$C$26, $C$13, 100%, $E$13)</f>
        <v>5.7268999999999997</v>
      </c>
      <c r="K292" s="67">
        <f>5.7317 * CHOOSE(CONTROL!$C$26, $C$13, 100%, $E$13)</f>
        <v>5.7317</v>
      </c>
    </row>
    <row r="293" spans="1:11" ht="15">
      <c r="A293" s="13">
        <v>50041</v>
      </c>
      <c r="B293" s="66">
        <f>4.7586 * CHOOSE(CONTROL!$C$26, $C$13, 100%, $E$13)</f>
        <v>4.7586000000000004</v>
      </c>
      <c r="C293" s="66">
        <f>4.7586 * CHOOSE(CONTROL!$C$26, $C$13, 100%, $E$13)</f>
        <v>4.7586000000000004</v>
      </c>
      <c r="D293" s="66">
        <f>4.7624 * CHOOSE(CONTROL!$C$26, $C$13, 100%, $E$13)</f>
        <v>4.7624000000000004</v>
      </c>
      <c r="E293" s="67">
        <f>5.8119 * CHOOSE(CONTROL!$C$26, $C$13, 100%, $E$13)</f>
        <v>5.8118999999999996</v>
      </c>
      <c r="F293" s="67">
        <f>5.8119 * CHOOSE(CONTROL!$C$26, $C$13, 100%, $E$13)</f>
        <v>5.8118999999999996</v>
      </c>
      <c r="G293" s="67">
        <f>5.8166 * CHOOSE(CONTROL!$C$26, $C$13, 100%, $E$13)</f>
        <v>5.8166000000000002</v>
      </c>
      <c r="H293" s="67">
        <f>10.4788* CHOOSE(CONTROL!$C$26, $C$13, 100%, $E$13)</f>
        <v>10.4788</v>
      </c>
      <c r="I293" s="67">
        <f>10.4836 * CHOOSE(CONTROL!$C$26, $C$13, 100%, $E$13)</f>
        <v>10.483599999999999</v>
      </c>
      <c r="J293" s="67">
        <f>5.8119 * CHOOSE(CONTROL!$C$26, $C$13, 100%, $E$13)</f>
        <v>5.8118999999999996</v>
      </c>
      <c r="K293" s="67">
        <f>5.8166 * CHOOSE(CONTROL!$C$26, $C$13, 100%, $E$13)</f>
        <v>5.8166000000000002</v>
      </c>
    </row>
    <row r="294" spans="1:11" ht="15">
      <c r="A294" s="13">
        <v>50072</v>
      </c>
      <c r="B294" s="66">
        <f>4.7555 * CHOOSE(CONTROL!$C$26, $C$13, 100%, $E$13)</f>
        <v>4.7554999999999996</v>
      </c>
      <c r="C294" s="66">
        <f>4.7555 * CHOOSE(CONTROL!$C$26, $C$13, 100%, $E$13)</f>
        <v>4.7554999999999996</v>
      </c>
      <c r="D294" s="66">
        <f>4.7594 * CHOOSE(CONTROL!$C$26, $C$13, 100%, $E$13)</f>
        <v>4.7594000000000003</v>
      </c>
      <c r="E294" s="67">
        <f>5.719 * CHOOSE(CONTROL!$C$26, $C$13, 100%, $E$13)</f>
        <v>5.7190000000000003</v>
      </c>
      <c r="F294" s="67">
        <f>5.719 * CHOOSE(CONTROL!$C$26, $C$13, 100%, $E$13)</f>
        <v>5.7190000000000003</v>
      </c>
      <c r="G294" s="67">
        <f>5.7238 * CHOOSE(CONTROL!$C$26, $C$13, 100%, $E$13)</f>
        <v>5.7237999999999998</v>
      </c>
      <c r="H294" s="67">
        <f>10.5006* CHOOSE(CONTROL!$C$26, $C$13, 100%, $E$13)</f>
        <v>10.5006</v>
      </c>
      <c r="I294" s="67">
        <f>10.5054 * CHOOSE(CONTROL!$C$26, $C$13, 100%, $E$13)</f>
        <v>10.5054</v>
      </c>
      <c r="J294" s="67">
        <f>5.719 * CHOOSE(CONTROL!$C$26, $C$13, 100%, $E$13)</f>
        <v>5.7190000000000003</v>
      </c>
      <c r="K294" s="67">
        <f>5.7238 * CHOOSE(CONTROL!$C$26, $C$13, 100%, $E$13)</f>
        <v>5.7237999999999998</v>
      </c>
    </row>
    <row r="295" spans="1:11" ht="15">
      <c r="A295" s="13">
        <v>50100</v>
      </c>
      <c r="B295" s="66">
        <f>4.7525 * CHOOSE(CONTROL!$C$26, $C$13, 100%, $E$13)</f>
        <v>4.7525000000000004</v>
      </c>
      <c r="C295" s="66">
        <f>4.7525 * CHOOSE(CONTROL!$C$26, $C$13, 100%, $E$13)</f>
        <v>4.7525000000000004</v>
      </c>
      <c r="D295" s="66">
        <f>4.7563 * CHOOSE(CONTROL!$C$26, $C$13, 100%, $E$13)</f>
        <v>4.7563000000000004</v>
      </c>
      <c r="E295" s="67">
        <f>5.7884 * CHOOSE(CONTROL!$C$26, $C$13, 100%, $E$13)</f>
        <v>5.7884000000000002</v>
      </c>
      <c r="F295" s="67">
        <f>5.7884 * CHOOSE(CONTROL!$C$26, $C$13, 100%, $E$13)</f>
        <v>5.7884000000000002</v>
      </c>
      <c r="G295" s="67">
        <f>5.7932 * CHOOSE(CONTROL!$C$26, $C$13, 100%, $E$13)</f>
        <v>5.7931999999999997</v>
      </c>
      <c r="H295" s="67">
        <f>10.5225* CHOOSE(CONTROL!$C$26, $C$13, 100%, $E$13)</f>
        <v>10.522500000000001</v>
      </c>
      <c r="I295" s="67">
        <f>10.5273 * CHOOSE(CONTROL!$C$26, $C$13, 100%, $E$13)</f>
        <v>10.5273</v>
      </c>
      <c r="J295" s="67">
        <f>5.7884 * CHOOSE(CONTROL!$C$26, $C$13, 100%, $E$13)</f>
        <v>5.7884000000000002</v>
      </c>
      <c r="K295" s="67">
        <f>5.7932 * CHOOSE(CONTROL!$C$26, $C$13, 100%, $E$13)</f>
        <v>5.7931999999999997</v>
      </c>
    </row>
    <row r="296" spans="1:11" ht="15">
      <c r="A296" s="13">
        <v>50131</v>
      </c>
      <c r="B296" s="66">
        <f>4.7508 * CHOOSE(CONTROL!$C$26, $C$13, 100%, $E$13)</f>
        <v>4.7507999999999999</v>
      </c>
      <c r="C296" s="66">
        <f>4.7508 * CHOOSE(CONTROL!$C$26, $C$13, 100%, $E$13)</f>
        <v>4.7507999999999999</v>
      </c>
      <c r="D296" s="66">
        <f>4.7546 * CHOOSE(CONTROL!$C$26, $C$13, 100%, $E$13)</f>
        <v>4.7545999999999999</v>
      </c>
      <c r="E296" s="67">
        <f>5.861 * CHOOSE(CONTROL!$C$26, $C$13, 100%, $E$13)</f>
        <v>5.8609999999999998</v>
      </c>
      <c r="F296" s="67">
        <f>5.861 * CHOOSE(CONTROL!$C$26, $C$13, 100%, $E$13)</f>
        <v>5.8609999999999998</v>
      </c>
      <c r="G296" s="67">
        <f>5.8658 * CHOOSE(CONTROL!$C$26, $C$13, 100%, $E$13)</f>
        <v>5.8658000000000001</v>
      </c>
      <c r="H296" s="67">
        <f>10.5444* CHOOSE(CONTROL!$C$26, $C$13, 100%, $E$13)</f>
        <v>10.5444</v>
      </c>
      <c r="I296" s="67">
        <f>10.5492 * CHOOSE(CONTROL!$C$26, $C$13, 100%, $E$13)</f>
        <v>10.549200000000001</v>
      </c>
      <c r="J296" s="67">
        <f>5.861 * CHOOSE(CONTROL!$C$26, $C$13, 100%, $E$13)</f>
        <v>5.8609999999999998</v>
      </c>
      <c r="K296" s="67">
        <f>5.8658 * CHOOSE(CONTROL!$C$26, $C$13, 100%, $E$13)</f>
        <v>5.8658000000000001</v>
      </c>
    </row>
    <row r="297" spans="1:11" ht="15">
      <c r="A297" s="13">
        <v>50161</v>
      </c>
      <c r="B297" s="66">
        <f>4.7508 * CHOOSE(CONTROL!$C$26, $C$13, 100%, $E$13)</f>
        <v>4.7507999999999999</v>
      </c>
      <c r="C297" s="66">
        <f>4.7508 * CHOOSE(CONTROL!$C$26, $C$13, 100%, $E$13)</f>
        <v>4.7507999999999999</v>
      </c>
      <c r="D297" s="66">
        <f>4.7563 * CHOOSE(CONTROL!$C$26, $C$13, 100%, $E$13)</f>
        <v>4.7563000000000004</v>
      </c>
      <c r="E297" s="67">
        <f>5.8898 * CHOOSE(CONTROL!$C$26, $C$13, 100%, $E$13)</f>
        <v>5.8898000000000001</v>
      </c>
      <c r="F297" s="67">
        <f>5.8898 * CHOOSE(CONTROL!$C$26, $C$13, 100%, $E$13)</f>
        <v>5.8898000000000001</v>
      </c>
      <c r="G297" s="67">
        <f>5.8966 * CHOOSE(CONTROL!$C$26, $C$13, 100%, $E$13)</f>
        <v>5.8966000000000003</v>
      </c>
      <c r="H297" s="67">
        <f>10.5664* CHOOSE(CONTROL!$C$26, $C$13, 100%, $E$13)</f>
        <v>10.5664</v>
      </c>
      <c r="I297" s="67">
        <f>10.5731 * CHOOSE(CONTROL!$C$26, $C$13, 100%, $E$13)</f>
        <v>10.5731</v>
      </c>
      <c r="J297" s="67">
        <f>5.8898 * CHOOSE(CONTROL!$C$26, $C$13, 100%, $E$13)</f>
        <v>5.8898000000000001</v>
      </c>
      <c r="K297" s="67">
        <f>5.8966 * CHOOSE(CONTROL!$C$26, $C$13, 100%, $E$13)</f>
        <v>5.8966000000000003</v>
      </c>
    </row>
    <row r="298" spans="1:11" ht="15">
      <c r="A298" s="13">
        <v>50192</v>
      </c>
      <c r="B298" s="66">
        <f>4.7569 * CHOOSE(CONTROL!$C$26, $C$13, 100%, $E$13)</f>
        <v>4.7568999999999999</v>
      </c>
      <c r="C298" s="66">
        <f>4.7569 * CHOOSE(CONTROL!$C$26, $C$13, 100%, $E$13)</f>
        <v>4.7568999999999999</v>
      </c>
      <c r="D298" s="66">
        <f>4.7624 * CHOOSE(CONTROL!$C$26, $C$13, 100%, $E$13)</f>
        <v>4.7624000000000004</v>
      </c>
      <c r="E298" s="67">
        <f>5.8653 * CHOOSE(CONTROL!$C$26, $C$13, 100%, $E$13)</f>
        <v>5.8653000000000004</v>
      </c>
      <c r="F298" s="67">
        <f>5.8653 * CHOOSE(CONTROL!$C$26, $C$13, 100%, $E$13)</f>
        <v>5.8653000000000004</v>
      </c>
      <c r="G298" s="67">
        <f>5.872 * CHOOSE(CONTROL!$C$26, $C$13, 100%, $E$13)</f>
        <v>5.8719999999999999</v>
      </c>
      <c r="H298" s="67">
        <f>10.5884* CHOOSE(CONTROL!$C$26, $C$13, 100%, $E$13)</f>
        <v>10.5884</v>
      </c>
      <c r="I298" s="67">
        <f>10.5951 * CHOOSE(CONTROL!$C$26, $C$13, 100%, $E$13)</f>
        <v>10.5951</v>
      </c>
      <c r="J298" s="67">
        <f>5.8653 * CHOOSE(CONTROL!$C$26, $C$13, 100%, $E$13)</f>
        <v>5.8653000000000004</v>
      </c>
      <c r="K298" s="67">
        <f>5.872 * CHOOSE(CONTROL!$C$26, $C$13, 100%, $E$13)</f>
        <v>5.8719999999999999</v>
      </c>
    </row>
    <row r="299" spans="1:11" ht="15">
      <c r="A299" s="13">
        <v>50222</v>
      </c>
      <c r="B299" s="66">
        <f>4.836 * CHOOSE(CONTROL!$C$26, $C$13, 100%, $E$13)</f>
        <v>4.8360000000000003</v>
      </c>
      <c r="C299" s="66">
        <f>4.836 * CHOOSE(CONTROL!$C$26, $C$13, 100%, $E$13)</f>
        <v>4.8360000000000003</v>
      </c>
      <c r="D299" s="66">
        <f>4.8415 * CHOOSE(CONTROL!$C$26, $C$13, 100%, $E$13)</f>
        <v>4.8414999999999999</v>
      </c>
      <c r="E299" s="67">
        <f>5.9773 * CHOOSE(CONTROL!$C$26, $C$13, 100%, $E$13)</f>
        <v>5.9772999999999996</v>
      </c>
      <c r="F299" s="67">
        <f>5.9773 * CHOOSE(CONTROL!$C$26, $C$13, 100%, $E$13)</f>
        <v>5.9772999999999996</v>
      </c>
      <c r="G299" s="67">
        <f>5.984 * CHOOSE(CONTROL!$C$26, $C$13, 100%, $E$13)</f>
        <v>5.984</v>
      </c>
      <c r="H299" s="67">
        <f>10.6105* CHOOSE(CONTROL!$C$26, $C$13, 100%, $E$13)</f>
        <v>10.6105</v>
      </c>
      <c r="I299" s="67">
        <f>10.6172 * CHOOSE(CONTROL!$C$26, $C$13, 100%, $E$13)</f>
        <v>10.6172</v>
      </c>
      <c r="J299" s="67">
        <f>5.9773 * CHOOSE(CONTROL!$C$26, $C$13, 100%, $E$13)</f>
        <v>5.9772999999999996</v>
      </c>
      <c r="K299" s="67">
        <f>5.984 * CHOOSE(CONTROL!$C$26, $C$13, 100%, $E$13)</f>
        <v>5.984</v>
      </c>
    </row>
    <row r="300" spans="1:11" ht="15">
      <c r="A300" s="13">
        <v>50253</v>
      </c>
      <c r="B300" s="66">
        <f>4.8427 * CHOOSE(CONTROL!$C$26, $C$13, 100%, $E$13)</f>
        <v>4.8426999999999998</v>
      </c>
      <c r="C300" s="66">
        <f>4.8427 * CHOOSE(CONTROL!$C$26, $C$13, 100%, $E$13)</f>
        <v>4.8426999999999998</v>
      </c>
      <c r="D300" s="66">
        <f>4.8482 * CHOOSE(CONTROL!$C$26, $C$13, 100%, $E$13)</f>
        <v>4.8482000000000003</v>
      </c>
      <c r="E300" s="67">
        <f>5.8955 * CHOOSE(CONTROL!$C$26, $C$13, 100%, $E$13)</f>
        <v>5.8955000000000002</v>
      </c>
      <c r="F300" s="67">
        <f>5.8955 * CHOOSE(CONTROL!$C$26, $C$13, 100%, $E$13)</f>
        <v>5.8955000000000002</v>
      </c>
      <c r="G300" s="67">
        <f>5.9022 * CHOOSE(CONTROL!$C$26, $C$13, 100%, $E$13)</f>
        <v>5.9021999999999997</v>
      </c>
      <c r="H300" s="67">
        <f>10.6326* CHOOSE(CONTROL!$C$26, $C$13, 100%, $E$13)</f>
        <v>10.6326</v>
      </c>
      <c r="I300" s="67">
        <f>10.6393 * CHOOSE(CONTROL!$C$26, $C$13, 100%, $E$13)</f>
        <v>10.6393</v>
      </c>
      <c r="J300" s="67">
        <f>5.8955 * CHOOSE(CONTROL!$C$26, $C$13, 100%, $E$13)</f>
        <v>5.8955000000000002</v>
      </c>
      <c r="K300" s="67">
        <f>5.9022 * CHOOSE(CONTROL!$C$26, $C$13, 100%, $E$13)</f>
        <v>5.9021999999999997</v>
      </c>
    </row>
    <row r="301" spans="1:11" ht="15">
      <c r="A301" s="13">
        <v>50284</v>
      </c>
      <c r="B301" s="66">
        <f>4.8396 * CHOOSE(CONTROL!$C$26, $C$13, 100%, $E$13)</f>
        <v>4.8395999999999999</v>
      </c>
      <c r="C301" s="66">
        <f>4.8396 * CHOOSE(CONTROL!$C$26, $C$13, 100%, $E$13)</f>
        <v>4.8395999999999999</v>
      </c>
      <c r="D301" s="66">
        <f>4.8451 * CHOOSE(CONTROL!$C$26, $C$13, 100%, $E$13)</f>
        <v>4.8451000000000004</v>
      </c>
      <c r="E301" s="67">
        <f>5.8837 * CHOOSE(CONTROL!$C$26, $C$13, 100%, $E$13)</f>
        <v>5.8837000000000002</v>
      </c>
      <c r="F301" s="67">
        <f>5.8837 * CHOOSE(CONTROL!$C$26, $C$13, 100%, $E$13)</f>
        <v>5.8837000000000002</v>
      </c>
      <c r="G301" s="67">
        <f>5.8905 * CHOOSE(CONTROL!$C$26, $C$13, 100%, $E$13)</f>
        <v>5.8905000000000003</v>
      </c>
      <c r="H301" s="67">
        <f>10.6547* CHOOSE(CONTROL!$C$26, $C$13, 100%, $E$13)</f>
        <v>10.6547</v>
      </c>
      <c r="I301" s="67">
        <f>10.6615 * CHOOSE(CONTROL!$C$26, $C$13, 100%, $E$13)</f>
        <v>10.6615</v>
      </c>
      <c r="J301" s="67">
        <f>5.8837 * CHOOSE(CONTROL!$C$26, $C$13, 100%, $E$13)</f>
        <v>5.8837000000000002</v>
      </c>
      <c r="K301" s="67">
        <f>5.8905 * CHOOSE(CONTROL!$C$26, $C$13, 100%, $E$13)</f>
        <v>5.8905000000000003</v>
      </c>
    </row>
    <row r="302" spans="1:11" ht="15">
      <c r="A302" s="13">
        <v>50314</v>
      </c>
      <c r="B302" s="66">
        <f>4.8375 * CHOOSE(CONTROL!$C$26, $C$13, 100%, $E$13)</f>
        <v>4.8375000000000004</v>
      </c>
      <c r="C302" s="66">
        <f>4.8375 * CHOOSE(CONTROL!$C$26, $C$13, 100%, $E$13)</f>
        <v>4.8375000000000004</v>
      </c>
      <c r="D302" s="66">
        <f>4.8413 * CHOOSE(CONTROL!$C$26, $C$13, 100%, $E$13)</f>
        <v>4.8413000000000004</v>
      </c>
      <c r="E302" s="67">
        <f>5.9087 * CHOOSE(CONTROL!$C$26, $C$13, 100%, $E$13)</f>
        <v>5.9086999999999996</v>
      </c>
      <c r="F302" s="67">
        <f>5.9087 * CHOOSE(CONTROL!$C$26, $C$13, 100%, $E$13)</f>
        <v>5.9086999999999996</v>
      </c>
      <c r="G302" s="67">
        <f>5.9135 * CHOOSE(CONTROL!$C$26, $C$13, 100%, $E$13)</f>
        <v>5.9135</v>
      </c>
      <c r="H302" s="67">
        <f>10.6769* CHOOSE(CONTROL!$C$26, $C$13, 100%, $E$13)</f>
        <v>10.6769</v>
      </c>
      <c r="I302" s="67">
        <f>10.6817 * CHOOSE(CONTROL!$C$26, $C$13, 100%, $E$13)</f>
        <v>10.681699999999999</v>
      </c>
      <c r="J302" s="67">
        <f>5.9087 * CHOOSE(CONTROL!$C$26, $C$13, 100%, $E$13)</f>
        <v>5.9086999999999996</v>
      </c>
      <c r="K302" s="67">
        <f>5.9135 * CHOOSE(CONTROL!$C$26, $C$13, 100%, $E$13)</f>
        <v>5.9135</v>
      </c>
    </row>
    <row r="303" spans="1:11" ht="15">
      <c r="A303" s="13">
        <v>50345</v>
      </c>
      <c r="B303" s="66">
        <f>4.8405 * CHOOSE(CONTROL!$C$26, $C$13, 100%, $E$13)</f>
        <v>4.8404999999999996</v>
      </c>
      <c r="C303" s="66">
        <f>4.8405 * CHOOSE(CONTROL!$C$26, $C$13, 100%, $E$13)</f>
        <v>4.8404999999999996</v>
      </c>
      <c r="D303" s="66">
        <f>4.8444 * CHOOSE(CONTROL!$C$26, $C$13, 100%, $E$13)</f>
        <v>4.8444000000000003</v>
      </c>
      <c r="E303" s="67">
        <f>5.9301 * CHOOSE(CONTROL!$C$26, $C$13, 100%, $E$13)</f>
        <v>5.9301000000000004</v>
      </c>
      <c r="F303" s="67">
        <f>5.9301 * CHOOSE(CONTROL!$C$26, $C$13, 100%, $E$13)</f>
        <v>5.9301000000000004</v>
      </c>
      <c r="G303" s="67">
        <f>5.9348 * CHOOSE(CONTROL!$C$26, $C$13, 100%, $E$13)</f>
        <v>5.9348000000000001</v>
      </c>
      <c r="H303" s="67">
        <f>10.6992* CHOOSE(CONTROL!$C$26, $C$13, 100%, $E$13)</f>
        <v>10.699199999999999</v>
      </c>
      <c r="I303" s="67">
        <f>10.7039 * CHOOSE(CONTROL!$C$26, $C$13, 100%, $E$13)</f>
        <v>10.703900000000001</v>
      </c>
      <c r="J303" s="67">
        <f>5.9301 * CHOOSE(CONTROL!$C$26, $C$13, 100%, $E$13)</f>
        <v>5.9301000000000004</v>
      </c>
      <c r="K303" s="67">
        <f>5.9348 * CHOOSE(CONTROL!$C$26, $C$13, 100%, $E$13)</f>
        <v>5.9348000000000001</v>
      </c>
    </row>
    <row r="304" spans="1:11" ht="15">
      <c r="A304" s="13">
        <v>50375</v>
      </c>
      <c r="B304" s="66">
        <f>4.8405 * CHOOSE(CONTROL!$C$26, $C$13, 100%, $E$13)</f>
        <v>4.8404999999999996</v>
      </c>
      <c r="C304" s="66">
        <f>4.8405 * CHOOSE(CONTROL!$C$26, $C$13, 100%, $E$13)</f>
        <v>4.8404999999999996</v>
      </c>
      <c r="D304" s="66">
        <f>4.8444 * CHOOSE(CONTROL!$C$26, $C$13, 100%, $E$13)</f>
        <v>4.8444000000000003</v>
      </c>
      <c r="E304" s="67">
        <f>5.8821 * CHOOSE(CONTROL!$C$26, $C$13, 100%, $E$13)</f>
        <v>5.8821000000000003</v>
      </c>
      <c r="F304" s="67">
        <f>5.8821 * CHOOSE(CONTROL!$C$26, $C$13, 100%, $E$13)</f>
        <v>5.8821000000000003</v>
      </c>
      <c r="G304" s="67">
        <f>5.8868 * CHOOSE(CONTROL!$C$26, $C$13, 100%, $E$13)</f>
        <v>5.8868</v>
      </c>
      <c r="H304" s="67">
        <f>10.7215* CHOOSE(CONTROL!$C$26, $C$13, 100%, $E$13)</f>
        <v>10.721500000000001</v>
      </c>
      <c r="I304" s="67">
        <f>10.7262 * CHOOSE(CONTROL!$C$26, $C$13, 100%, $E$13)</f>
        <v>10.7262</v>
      </c>
      <c r="J304" s="67">
        <f>5.8821 * CHOOSE(CONTROL!$C$26, $C$13, 100%, $E$13)</f>
        <v>5.8821000000000003</v>
      </c>
      <c r="K304" s="67">
        <f>5.8868 * CHOOSE(CONTROL!$C$26, $C$13, 100%, $E$13)</f>
        <v>5.8868</v>
      </c>
    </row>
    <row r="305" spans="1:11" ht="15">
      <c r="A305" s="13">
        <v>50406</v>
      </c>
      <c r="B305" s="66">
        <f>4.8843 * CHOOSE(CONTROL!$C$26, $C$13, 100%, $E$13)</f>
        <v>4.8842999999999996</v>
      </c>
      <c r="C305" s="66">
        <f>4.8843 * CHOOSE(CONTROL!$C$26, $C$13, 100%, $E$13)</f>
        <v>4.8842999999999996</v>
      </c>
      <c r="D305" s="66">
        <f>4.8882 * CHOOSE(CONTROL!$C$26, $C$13, 100%, $E$13)</f>
        <v>4.8882000000000003</v>
      </c>
      <c r="E305" s="67">
        <f>5.9668 * CHOOSE(CONTROL!$C$26, $C$13, 100%, $E$13)</f>
        <v>5.9668000000000001</v>
      </c>
      <c r="F305" s="67">
        <f>5.9668 * CHOOSE(CONTROL!$C$26, $C$13, 100%, $E$13)</f>
        <v>5.9668000000000001</v>
      </c>
      <c r="G305" s="67">
        <f>5.9716 * CHOOSE(CONTROL!$C$26, $C$13, 100%, $E$13)</f>
        <v>5.9715999999999996</v>
      </c>
      <c r="H305" s="67">
        <f>10.7438* CHOOSE(CONTROL!$C$26, $C$13, 100%, $E$13)</f>
        <v>10.7438</v>
      </c>
      <c r="I305" s="67">
        <f>10.7486 * CHOOSE(CONTROL!$C$26, $C$13, 100%, $E$13)</f>
        <v>10.7486</v>
      </c>
      <c r="J305" s="67">
        <f>5.9668 * CHOOSE(CONTROL!$C$26, $C$13, 100%, $E$13)</f>
        <v>5.9668000000000001</v>
      </c>
      <c r="K305" s="67">
        <f>5.9716 * CHOOSE(CONTROL!$C$26, $C$13, 100%, $E$13)</f>
        <v>5.9715999999999996</v>
      </c>
    </row>
    <row r="306" spans="1:11" ht="15">
      <c r="A306" s="13">
        <v>50437</v>
      </c>
      <c r="B306" s="66">
        <f>4.8813 * CHOOSE(CONTROL!$C$26, $C$13, 100%, $E$13)</f>
        <v>4.8813000000000004</v>
      </c>
      <c r="C306" s="66">
        <f>4.8813 * CHOOSE(CONTROL!$C$26, $C$13, 100%, $E$13)</f>
        <v>4.8813000000000004</v>
      </c>
      <c r="D306" s="66">
        <f>4.8852 * CHOOSE(CONTROL!$C$26, $C$13, 100%, $E$13)</f>
        <v>4.8852000000000002</v>
      </c>
      <c r="E306" s="67">
        <f>5.8715 * CHOOSE(CONTROL!$C$26, $C$13, 100%, $E$13)</f>
        <v>5.8715000000000002</v>
      </c>
      <c r="F306" s="67">
        <f>5.8715 * CHOOSE(CONTROL!$C$26, $C$13, 100%, $E$13)</f>
        <v>5.8715000000000002</v>
      </c>
      <c r="G306" s="67">
        <f>5.8763 * CHOOSE(CONTROL!$C$26, $C$13, 100%, $E$13)</f>
        <v>5.8762999999999996</v>
      </c>
      <c r="H306" s="67">
        <f>10.7662* CHOOSE(CONTROL!$C$26, $C$13, 100%, $E$13)</f>
        <v>10.7662</v>
      </c>
      <c r="I306" s="67">
        <f>10.7709 * CHOOSE(CONTROL!$C$26, $C$13, 100%, $E$13)</f>
        <v>10.770899999999999</v>
      </c>
      <c r="J306" s="67">
        <f>5.8715 * CHOOSE(CONTROL!$C$26, $C$13, 100%, $E$13)</f>
        <v>5.8715000000000002</v>
      </c>
      <c r="K306" s="67">
        <f>5.8763 * CHOOSE(CONTROL!$C$26, $C$13, 100%, $E$13)</f>
        <v>5.8762999999999996</v>
      </c>
    </row>
    <row r="307" spans="1:11" ht="15">
      <c r="A307" s="13">
        <v>50465</v>
      </c>
      <c r="B307" s="66">
        <f>4.8783 * CHOOSE(CONTROL!$C$26, $C$13, 100%, $E$13)</f>
        <v>4.8783000000000003</v>
      </c>
      <c r="C307" s="66">
        <f>4.8783 * CHOOSE(CONTROL!$C$26, $C$13, 100%, $E$13)</f>
        <v>4.8783000000000003</v>
      </c>
      <c r="D307" s="66">
        <f>4.8821 * CHOOSE(CONTROL!$C$26, $C$13, 100%, $E$13)</f>
        <v>4.8821000000000003</v>
      </c>
      <c r="E307" s="67">
        <f>5.9428 * CHOOSE(CONTROL!$C$26, $C$13, 100%, $E$13)</f>
        <v>5.9428000000000001</v>
      </c>
      <c r="F307" s="67">
        <f>5.9428 * CHOOSE(CONTROL!$C$26, $C$13, 100%, $E$13)</f>
        <v>5.9428000000000001</v>
      </c>
      <c r="G307" s="67">
        <f>5.9476 * CHOOSE(CONTROL!$C$26, $C$13, 100%, $E$13)</f>
        <v>5.9476000000000004</v>
      </c>
      <c r="H307" s="67">
        <f>10.7886* CHOOSE(CONTROL!$C$26, $C$13, 100%, $E$13)</f>
        <v>10.788600000000001</v>
      </c>
      <c r="I307" s="67">
        <f>10.7934 * CHOOSE(CONTROL!$C$26, $C$13, 100%, $E$13)</f>
        <v>10.7934</v>
      </c>
      <c r="J307" s="67">
        <f>5.9428 * CHOOSE(CONTROL!$C$26, $C$13, 100%, $E$13)</f>
        <v>5.9428000000000001</v>
      </c>
      <c r="K307" s="67">
        <f>5.9476 * CHOOSE(CONTROL!$C$26, $C$13, 100%, $E$13)</f>
        <v>5.9476000000000004</v>
      </c>
    </row>
    <row r="308" spans="1:11" ht="15">
      <c r="A308" s="13">
        <v>50496</v>
      </c>
      <c r="B308" s="66">
        <f>4.8767 * CHOOSE(CONTROL!$C$26, $C$13, 100%, $E$13)</f>
        <v>4.8766999999999996</v>
      </c>
      <c r="C308" s="66">
        <f>4.8767 * CHOOSE(CONTROL!$C$26, $C$13, 100%, $E$13)</f>
        <v>4.8766999999999996</v>
      </c>
      <c r="D308" s="66">
        <f>4.8805 * CHOOSE(CONTROL!$C$26, $C$13, 100%, $E$13)</f>
        <v>4.8804999999999996</v>
      </c>
      <c r="E308" s="67">
        <f>6.0175 * CHOOSE(CONTROL!$C$26, $C$13, 100%, $E$13)</f>
        <v>6.0175000000000001</v>
      </c>
      <c r="F308" s="67">
        <f>6.0175 * CHOOSE(CONTROL!$C$26, $C$13, 100%, $E$13)</f>
        <v>6.0175000000000001</v>
      </c>
      <c r="G308" s="67">
        <f>6.0222 * CHOOSE(CONTROL!$C$26, $C$13, 100%, $E$13)</f>
        <v>6.0221999999999998</v>
      </c>
      <c r="H308" s="67">
        <f>10.8111* CHOOSE(CONTROL!$C$26, $C$13, 100%, $E$13)</f>
        <v>10.8111</v>
      </c>
      <c r="I308" s="67">
        <f>10.8159 * CHOOSE(CONTROL!$C$26, $C$13, 100%, $E$13)</f>
        <v>10.815899999999999</v>
      </c>
      <c r="J308" s="67">
        <f>6.0175 * CHOOSE(CONTROL!$C$26, $C$13, 100%, $E$13)</f>
        <v>6.0175000000000001</v>
      </c>
      <c r="K308" s="67">
        <f>6.0222 * CHOOSE(CONTROL!$C$26, $C$13, 100%, $E$13)</f>
        <v>6.0221999999999998</v>
      </c>
    </row>
    <row r="309" spans="1:11" ht="15">
      <c r="A309" s="13">
        <v>50526</v>
      </c>
      <c r="B309" s="66">
        <f>4.8767 * CHOOSE(CONTROL!$C$26, $C$13, 100%, $E$13)</f>
        <v>4.8766999999999996</v>
      </c>
      <c r="C309" s="66">
        <f>4.8767 * CHOOSE(CONTROL!$C$26, $C$13, 100%, $E$13)</f>
        <v>4.8766999999999996</v>
      </c>
      <c r="D309" s="66">
        <f>4.8822 * CHOOSE(CONTROL!$C$26, $C$13, 100%, $E$13)</f>
        <v>4.8822000000000001</v>
      </c>
      <c r="E309" s="67">
        <f>6.047 * CHOOSE(CONTROL!$C$26, $C$13, 100%, $E$13)</f>
        <v>6.0469999999999997</v>
      </c>
      <c r="F309" s="67">
        <f>6.047 * CHOOSE(CONTROL!$C$26, $C$13, 100%, $E$13)</f>
        <v>6.0469999999999997</v>
      </c>
      <c r="G309" s="67">
        <f>6.0538 * CHOOSE(CONTROL!$C$26, $C$13, 100%, $E$13)</f>
        <v>6.0537999999999998</v>
      </c>
      <c r="H309" s="67">
        <f>10.8336* CHOOSE(CONTROL!$C$26, $C$13, 100%, $E$13)</f>
        <v>10.833600000000001</v>
      </c>
      <c r="I309" s="67">
        <f>10.8403 * CHOOSE(CONTROL!$C$26, $C$13, 100%, $E$13)</f>
        <v>10.840299999999999</v>
      </c>
      <c r="J309" s="67">
        <f>6.047 * CHOOSE(CONTROL!$C$26, $C$13, 100%, $E$13)</f>
        <v>6.0469999999999997</v>
      </c>
      <c r="K309" s="67">
        <f>6.0538 * CHOOSE(CONTROL!$C$26, $C$13, 100%, $E$13)</f>
        <v>6.0537999999999998</v>
      </c>
    </row>
    <row r="310" spans="1:11" ht="15">
      <c r="A310" s="13">
        <v>50557</v>
      </c>
      <c r="B310" s="66">
        <f>4.8827 * CHOOSE(CONTROL!$C$26, $C$13, 100%, $E$13)</f>
        <v>4.8826999999999998</v>
      </c>
      <c r="C310" s="66">
        <f>4.8827 * CHOOSE(CONTROL!$C$26, $C$13, 100%, $E$13)</f>
        <v>4.8826999999999998</v>
      </c>
      <c r="D310" s="66">
        <f>4.8883 * CHOOSE(CONTROL!$C$26, $C$13, 100%, $E$13)</f>
        <v>4.8883000000000001</v>
      </c>
      <c r="E310" s="67">
        <f>6.0217 * CHOOSE(CONTROL!$C$26, $C$13, 100%, $E$13)</f>
        <v>6.0217000000000001</v>
      </c>
      <c r="F310" s="67">
        <f>6.0217 * CHOOSE(CONTROL!$C$26, $C$13, 100%, $E$13)</f>
        <v>6.0217000000000001</v>
      </c>
      <c r="G310" s="67">
        <f>6.0284 * CHOOSE(CONTROL!$C$26, $C$13, 100%, $E$13)</f>
        <v>6.0284000000000004</v>
      </c>
      <c r="H310" s="67">
        <f>10.8562* CHOOSE(CONTROL!$C$26, $C$13, 100%, $E$13)</f>
        <v>10.856199999999999</v>
      </c>
      <c r="I310" s="67">
        <f>10.8629 * CHOOSE(CONTROL!$C$26, $C$13, 100%, $E$13)</f>
        <v>10.8629</v>
      </c>
      <c r="J310" s="67">
        <f>6.0217 * CHOOSE(CONTROL!$C$26, $C$13, 100%, $E$13)</f>
        <v>6.0217000000000001</v>
      </c>
      <c r="K310" s="67">
        <f>6.0284 * CHOOSE(CONTROL!$C$26, $C$13, 100%, $E$13)</f>
        <v>6.0284000000000004</v>
      </c>
    </row>
    <row r="311" spans="1:11" ht="15">
      <c r="A311" s="13">
        <v>50587</v>
      </c>
      <c r="B311" s="66">
        <f>4.9646 * CHOOSE(CONTROL!$C$26, $C$13, 100%, $E$13)</f>
        <v>4.9645999999999999</v>
      </c>
      <c r="C311" s="66">
        <f>4.9646 * CHOOSE(CONTROL!$C$26, $C$13, 100%, $E$13)</f>
        <v>4.9645999999999999</v>
      </c>
      <c r="D311" s="66">
        <f>4.9702 * CHOOSE(CONTROL!$C$26, $C$13, 100%, $E$13)</f>
        <v>4.9702000000000002</v>
      </c>
      <c r="E311" s="67">
        <f>6.1322 * CHOOSE(CONTROL!$C$26, $C$13, 100%, $E$13)</f>
        <v>6.1322000000000001</v>
      </c>
      <c r="F311" s="67">
        <f>6.1322 * CHOOSE(CONTROL!$C$26, $C$13, 100%, $E$13)</f>
        <v>6.1322000000000001</v>
      </c>
      <c r="G311" s="67">
        <f>6.1389 * CHOOSE(CONTROL!$C$26, $C$13, 100%, $E$13)</f>
        <v>6.1388999999999996</v>
      </c>
      <c r="H311" s="67">
        <f>10.8788* CHOOSE(CONTROL!$C$26, $C$13, 100%, $E$13)</f>
        <v>10.8788</v>
      </c>
      <c r="I311" s="67">
        <f>10.8855 * CHOOSE(CONTROL!$C$26, $C$13, 100%, $E$13)</f>
        <v>10.8855</v>
      </c>
      <c r="J311" s="67">
        <f>6.1322 * CHOOSE(CONTROL!$C$26, $C$13, 100%, $E$13)</f>
        <v>6.1322000000000001</v>
      </c>
      <c r="K311" s="67">
        <f>6.1389 * CHOOSE(CONTROL!$C$26, $C$13, 100%, $E$13)</f>
        <v>6.1388999999999996</v>
      </c>
    </row>
    <row r="312" spans="1:11" ht="15">
      <c r="A312" s="13">
        <v>50618</v>
      </c>
      <c r="B312" s="66">
        <f>4.9713 * CHOOSE(CONTROL!$C$26, $C$13, 100%, $E$13)</f>
        <v>4.9713000000000003</v>
      </c>
      <c r="C312" s="66">
        <f>4.9713 * CHOOSE(CONTROL!$C$26, $C$13, 100%, $E$13)</f>
        <v>4.9713000000000003</v>
      </c>
      <c r="D312" s="66">
        <f>4.9768 * CHOOSE(CONTROL!$C$26, $C$13, 100%, $E$13)</f>
        <v>4.9767999999999999</v>
      </c>
      <c r="E312" s="67">
        <f>6.0481 * CHOOSE(CONTROL!$C$26, $C$13, 100%, $E$13)</f>
        <v>6.0480999999999998</v>
      </c>
      <c r="F312" s="67">
        <f>6.0481 * CHOOSE(CONTROL!$C$26, $C$13, 100%, $E$13)</f>
        <v>6.0480999999999998</v>
      </c>
      <c r="G312" s="67">
        <f>6.0549 * CHOOSE(CONTROL!$C$26, $C$13, 100%, $E$13)</f>
        <v>6.0548999999999999</v>
      </c>
      <c r="H312" s="67">
        <f>10.9015* CHOOSE(CONTROL!$C$26, $C$13, 100%, $E$13)</f>
        <v>10.9015</v>
      </c>
      <c r="I312" s="67">
        <f>10.9082 * CHOOSE(CONTROL!$C$26, $C$13, 100%, $E$13)</f>
        <v>10.908200000000001</v>
      </c>
      <c r="J312" s="67">
        <f>6.0481 * CHOOSE(CONTROL!$C$26, $C$13, 100%, $E$13)</f>
        <v>6.0480999999999998</v>
      </c>
      <c r="K312" s="67">
        <f>6.0549 * CHOOSE(CONTROL!$C$26, $C$13, 100%, $E$13)</f>
        <v>6.0548999999999999</v>
      </c>
    </row>
    <row r="313" spans="1:11" ht="15">
      <c r="A313" s="13">
        <v>50649</v>
      </c>
      <c r="B313" s="66">
        <f>4.9683 * CHOOSE(CONTROL!$C$26, $C$13, 100%, $E$13)</f>
        <v>4.9683000000000002</v>
      </c>
      <c r="C313" s="66">
        <f>4.9683 * CHOOSE(CONTROL!$C$26, $C$13, 100%, $E$13)</f>
        <v>4.9683000000000002</v>
      </c>
      <c r="D313" s="66">
        <f>4.9738 * CHOOSE(CONTROL!$C$26, $C$13, 100%, $E$13)</f>
        <v>4.9737999999999998</v>
      </c>
      <c r="E313" s="67">
        <f>6.0361 * CHOOSE(CONTROL!$C$26, $C$13, 100%, $E$13)</f>
        <v>6.0361000000000002</v>
      </c>
      <c r="F313" s="67">
        <f>6.0361 * CHOOSE(CONTROL!$C$26, $C$13, 100%, $E$13)</f>
        <v>6.0361000000000002</v>
      </c>
      <c r="G313" s="67">
        <f>6.0429 * CHOOSE(CONTROL!$C$26, $C$13, 100%, $E$13)</f>
        <v>6.0429000000000004</v>
      </c>
      <c r="H313" s="67">
        <f>10.9242* CHOOSE(CONTROL!$C$26, $C$13, 100%, $E$13)</f>
        <v>10.924200000000001</v>
      </c>
      <c r="I313" s="67">
        <f>10.9309 * CHOOSE(CONTROL!$C$26, $C$13, 100%, $E$13)</f>
        <v>10.930899999999999</v>
      </c>
      <c r="J313" s="67">
        <f>6.0361 * CHOOSE(CONTROL!$C$26, $C$13, 100%, $E$13)</f>
        <v>6.0361000000000002</v>
      </c>
      <c r="K313" s="67">
        <f>6.0429 * CHOOSE(CONTROL!$C$26, $C$13, 100%, $E$13)</f>
        <v>6.0429000000000004</v>
      </c>
    </row>
    <row r="314" spans="1:11" ht="15">
      <c r="A314" s="13">
        <v>50679</v>
      </c>
      <c r="B314" s="66">
        <f>4.9666 * CHOOSE(CONTROL!$C$26, $C$13, 100%, $E$13)</f>
        <v>4.9665999999999997</v>
      </c>
      <c r="C314" s="66">
        <f>4.9666 * CHOOSE(CONTROL!$C$26, $C$13, 100%, $E$13)</f>
        <v>4.9665999999999997</v>
      </c>
      <c r="D314" s="66">
        <f>4.9704 * CHOOSE(CONTROL!$C$26, $C$13, 100%, $E$13)</f>
        <v>4.9703999999999997</v>
      </c>
      <c r="E314" s="67">
        <f>6.0622 * CHOOSE(CONTROL!$C$26, $C$13, 100%, $E$13)</f>
        <v>6.0621999999999998</v>
      </c>
      <c r="F314" s="67">
        <f>6.0622 * CHOOSE(CONTROL!$C$26, $C$13, 100%, $E$13)</f>
        <v>6.0621999999999998</v>
      </c>
      <c r="G314" s="67">
        <f>6.0669 * CHOOSE(CONTROL!$C$26, $C$13, 100%, $E$13)</f>
        <v>6.0669000000000004</v>
      </c>
      <c r="H314" s="67">
        <f>10.9469* CHOOSE(CONTROL!$C$26, $C$13, 100%, $E$13)</f>
        <v>10.946899999999999</v>
      </c>
      <c r="I314" s="67">
        <f>10.9517 * CHOOSE(CONTROL!$C$26, $C$13, 100%, $E$13)</f>
        <v>10.951700000000001</v>
      </c>
      <c r="J314" s="67">
        <f>6.0622 * CHOOSE(CONTROL!$C$26, $C$13, 100%, $E$13)</f>
        <v>6.0621999999999998</v>
      </c>
      <c r="K314" s="67">
        <f>6.0669 * CHOOSE(CONTROL!$C$26, $C$13, 100%, $E$13)</f>
        <v>6.0669000000000004</v>
      </c>
    </row>
    <row r="315" spans="1:11" ht="15">
      <c r="A315" s="13">
        <v>50710</v>
      </c>
      <c r="B315" s="66">
        <f>4.9696 * CHOOSE(CONTROL!$C$26, $C$13, 100%, $E$13)</f>
        <v>4.9695999999999998</v>
      </c>
      <c r="C315" s="66">
        <f>4.9696 * CHOOSE(CONTROL!$C$26, $C$13, 100%, $E$13)</f>
        <v>4.9695999999999998</v>
      </c>
      <c r="D315" s="66">
        <f>4.9735 * CHOOSE(CONTROL!$C$26, $C$13, 100%, $E$13)</f>
        <v>4.9734999999999996</v>
      </c>
      <c r="E315" s="67">
        <f>6.084 * CHOOSE(CONTROL!$C$26, $C$13, 100%, $E$13)</f>
        <v>6.0839999999999996</v>
      </c>
      <c r="F315" s="67">
        <f>6.084 * CHOOSE(CONTROL!$C$26, $C$13, 100%, $E$13)</f>
        <v>6.0839999999999996</v>
      </c>
      <c r="G315" s="67">
        <f>6.0888 * CHOOSE(CONTROL!$C$26, $C$13, 100%, $E$13)</f>
        <v>6.0888</v>
      </c>
      <c r="H315" s="67">
        <f>10.9697* CHOOSE(CONTROL!$C$26, $C$13, 100%, $E$13)</f>
        <v>10.9697</v>
      </c>
      <c r="I315" s="67">
        <f>10.9745 * CHOOSE(CONTROL!$C$26, $C$13, 100%, $E$13)</f>
        <v>10.974500000000001</v>
      </c>
      <c r="J315" s="67">
        <f>6.084 * CHOOSE(CONTROL!$C$26, $C$13, 100%, $E$13)</f>
        <v>6.0839999999999996</v>
      </c>
      <c r="K315" s="67">
        <f>6.0888 * CHOOSE(CONTROL!$C$26, $C$13, 100%, $E$13)</f>
        <v>6.0888</v>
      </c>
    </row>
    <row r="316" spans="1:11" ht="15">
      <c r="A316" s="13">
        <v>50740</v>
      </c>
      <c r="B316" s="66">
        <f>4.9696 * CHOOSE(CONTROL!$C$26, $C$13, 100%, $E$13)</f>
        <v>4.9695999999999998</v>
      </c>
      <c r="C316" s="66">
        <f>4.9696 * CHOOSE(CONTROL!$C$26, $C$13, 100%, $E$13)</f>
        <v>4.9695999999999998</v>
      </c>
      <c r="D316" s="66">
        <f>4.9735 * CHOOSE(CONTROL!$C$26, $C$13, 100%, $E$13)</f>
        <v>4.9734999999999996</v>
      </c>
      <c r="E316" s="67">
        <f>6.061 * CHOOSE(CONTROL!$C$26, $C$13, 100%, $E$13)</f>
        <v>6.0609999999999999</v>
      </c>
      <c r="F316" s="67">
        <f>6.061 * CHOOSE(CONTROL!$C$26, $C$13, 100%, $E$13)</f>
        <v>6.0609999999999999</v>
      </c>
      <c r="G316" s="67">
        <f>6.0658 * CHOOSE(CONTROL!$C$26, $C$13, 100%, $E$13)</f>
        <v>6.0658000000000003</v>
      </c>
      <c r="H316" s="67">
        <f>10.9926* CHOOSE(CONTROL!$C$26, $C$13, 100%, $E$13)</f>
        <v>10.992599999999999</v>
      </c>
      <c r="I316" s="67">
        <f>10.9974 * CHOOSE(CONTROL!$C$26, $C$13, 100%, $E$13)</f>
        <v>10.997400000000001</v>
      </c>
      <c r="J316" s="67">
        <f>6.061 * CHOOSE(CONTROL!$C$26, $C$13, 100%, $E$13)</f>
        <v>6.0609999999999999</v>
      </c>
      <c r="K316" s="67">
        <f>6.0658 * CHOOSE(CONTROL!$C$26, $C$13, 100%, $E$13)</f>
        <v>6.0658000000000003</v>
      </c>
    </row>
    <row r="317" spans="1:11" ht="15">
      <c r="A317" s="13">
        <v>50771</v>
      </c>
      <c r="B317" s="66">
        <f>5.014 * CHOOSE(CONTROL!$C$26, $C$13, 100%, $E$13)</f>
        <v>5.0140000000000002</v>
      </c>
      <c r="C317" s="66">
        <f>5.014 * CHOOSE(CONTROL!$C$26, $C$13, 100%, $E$13)</f>
        <v>5.0140000000000002</v>
      </c>
      <c r="D317" s="66">
        <f>5.0178 * CHOOSE(CONTROL!$C$26, $C$13, 100%, $E$13)</f>
        <v>5.0178000000000003</v>
      </c>
      <c r="E317" s="67">
        <f>6.1195 * CHOOSE(CONTROL!$C$26, $C$13, 100%, $E$13)</f>
        <v>6.1195000000000004</v>
      </c>
      <c r="F317" s="67">
        <f>6.1195 * CHOOSE(CONTROL!$C$26, $C$13, 100%, $E$13)</f>
        <v>6.1195000000000004</v>
      </c>
      <c r="G317" s="67">
        <f>6.1242 * CHOOSE(CONTROL!$C$26, $C$13, 100%, $E$13)</f>
        <v>6.1242000000000001</v>
      </c>
      <c r="H317" s="67">
        <f>11.0155* CHOOSE(CONTROL!$C$26, $C$13, 100%, $E$13)</f>
        <v>11.015499999999999</v>
      </c>
      <c r="I317" s="67">
        <f>11.0203 * CHOOSE(CONTROL!$C$26, $C$13, 100%, $E$13)</f>
        <v>11.020300000000001</v>
      </c>
      <c r="J317" s="67">
        <f>6.1195 * CHOOSE(CONTROL!$C$26, $C$13, 100%, $E$13)</f>
        <v>6.1195000000000004</v>
      </c>
      <c r="K317" s="67">
        <f>6.1242 * CHOOSE(CONTROL!$C$26, $C$13, 100%, $E$13)</f>
        <v>6.1242000000000001</v>
      </c>
    </row>
    <row r="318" spans="1:11" ht="15">
      <c r="A318" s="13">
        <v>50802</v>
      </c>
      <c r="B318" s="66">
        <f>5.0109 * CHOOSE(CONTROL!$C$26, $C$13, 100%, $E$13)</f>
        <v>5.0109000000000004</v>
      </c>
      <c r="C318" s="66">
        <f>5.0109 * CHOOSE(CONTROL!$C$26, $C$13, 100%, $E$13)</f>
        <v>5.0109000000000004</v>
      </c>
      <c r="D318" s="66">
        <f>5.0148 * CHOOSE(CONTROL!$C$26, $C$13, 100%, $E$13)</f>
        <v>5.0148000000000001</v>
      </c>
      <c r="E318" s="67">
        <f>6.0216 * CHOOSE(CONTROL!$C$26, $C$13, 100%, $E$13)</f>
        <v>6.0216000000000003</v>
      </c>
      <c r="F318" s="67">
        <f>6.0216 * CHOOSE(CONTROL!$C$26, $C$13, 100%, $E$13)</f>
        <v>6.0216000000000003</v>
      </c>
      <c r="G318" s="67">
        <f>6.0264 * CHOOSE(CONTROL!$C$26, $C$13, 100%, $E$13)</f>
        <v>6.0263999999999998</v>
      </c>
      <c r="H318" s="67">
        <f>11.0384* CHOOSE(CONTROL!$C$26, $C$13, 100%, $E$13)</f>
        <v>11.038399999999999</v>
      </c>
      <c r="I318" s="67">
        <f>11.0432 * CHOOSE(CONTROL!$C$26, $C$13, 100%, $E$13)</f>
        <v>11.043200000000001</v>
      </c>
      <c r="J318" s="67">
        <f>6.0216 * CHOOSE(CONTROL!$C$26, $C$13, 100%, $E$13)</f>
        <v>6.0216000000000003</v>
      </c>
      <c r="K318" s="67">
        <f>6.0264 * CHOOSE(CONTROL!$C$26, $C$13, 100%, $E$13)</f>
        <v>6.0263999999999998</v>
      </c>
    </row>
    <row r="319" spans="1:11" ht="15">
      <c r="A319" s="13">
        <v>50830</v>
      </c>
      <c r="B319" s="66">
        <f>5.0079 * CHOOSE(CONTROL!$C$26, $C$13, 100%, $E$13)</f>
        <v>5.0079000000000002</v>
      </c>
      <c r="C319" s="66">
        <f>5.0079 * CHOOSE(CONTROL!$C$26, $C$13, 100%, $E$13)</f>
        <v>5.0079000000000002</v>
      </c>
      <c r="D319" s="66">
        <f>5.0118 * CHOOSE(CONTROL!$C$26, $C$13, 100%, $E$13)</f>
        <v>5.0118</v>
      </c>
      <c r="E319" s="67">
        <f>6.095 * CHOOSE(CONTROL!$C$26, $C$13, 100%, $E$13)</f>
        <v>6.0949999999999998</v>
      </c>
      <c r="F319" s="67">
        <f>6.095 * CHOOSE(CONTROL!$C$26, $C$13, 100%, $E$13)</f>
        <v>6.0949999999999998</v>
      </c>
      <c r="G319" s="67">
        <f>6.0997 * CHOOSE(CONTROL!$C$26, $C$13, 100%, $E$13)</f>
        <v>6.0997000000000003</v>
      </c>
      <c r="H319" s="67">
        <f>11.0614* CHOOSE(CONTROL!$C$26, $C$13, 100%, $E$13)</f>
        <v>11.061400000000001</v>
      </c>
      <c r="I319" s="67">
        <f>11.0662 * CHOOSE(CONTROL!$C$26, $C$13, 100%, $E$13)</f>
        <v>11.0662</v>
      </c>
      <c r="J319" s="67">
        <f>6.095 * CHOOSE(CONTROL!$C$26, $C$13, 100%, $E$13)</f>
        <v>6.0949999999999998</v>
      </c>
      <c r="K319" s="67">
        <f>6.0997 * CHOOSE(CONTROL!$C$26, $C$13, 100%, $E$13)</f>
        <v>6.0997000000000003</v>
      </c>
    </row>
    <row r="320" spans="1:11" ht="15">
      <c r="A320" s="13">
        <v>50861</v>
      </c>
      <c r="B320" s="66">
        <f>5.0064 * CHOOSE(CONTROL!$C$26, $C$13, 100%, $E$13)</f>
        <v>5.0064000000000002</v>
      </c>
      <c r="C320" s="66">
        <f>5.0064 * CHOOSE(CONTROL!$C$26, $C$13, 100%, $E$13)</f>
        <v>5.0064000000000002</v>
      </c>
      <c r="D320" s="66">
        <f>5.0103 * CHOOSE(CONTROL!$C$26, $C$13, 100%, $E$13)</f>
        <v>5.0103</v>
      </c>
      <c r="E320" s="67">
        <f>6.1718 * CHOOSE(CONTROL!$C$26, $C$13, 100%, $E$13)</f>
        <v>6.1718000000000002</v>
      </c>
      <c r="F320" s="67">
        <f>6.1718 * CHOOSE(CONTROL!$C$26, $C$13, 100%, $E$13)</f>
        <v>6.1718000000000002</v>
      </c>
      <c r="G320" s="67">
        <f>6.1765 * CHOOSE(CONTROL!$C$26, $C$13, 100%, $E$13)</f>
        <v>6.1764999999999999</v>
      </c>
      <c r="H320" s="67">
        <f>11.0845* CHOOSE(CONTROL!$C$26, $C$13, 100%, $E$13)</f>
        <v>11.0845</v>
      </c>
      <c r="I320" s="67">
        <f>11.0892 * CHOOSE(CONTROL!$C$26, $C$13, 100%, $E$13)</f>
        <v>11.0892</v>
      </c>
      <c r="J320" s="67">
        <f>6.1718 * CHOOSE(CONTROL!$C$26, $C$13, 100%, $E$13)</f>
        <v>6.1718000000000002</v>
      </c>
      <c r="K320" s="67">
        <f>6.1765 * CHOOSE(CONTROL!$C$26, $C$13, 100%, $E$13)</f>
        <v>6.1764999999999999</v>
      </c>
    </row>
    <row r="321" spans="1:11" ht="15">
      <c r="A321" s="13">
        <v>50891</v>
      </c>
      <c r="B321" s="66">
        <f>5.0064 * CHOOSE(CONTROL!$C$26, $C$13, 100%, $E$13)</f>
        <v>5.0064000000000002</v>
      </c>
      <c r="C321" s="66">
        <f>5.0064 * CHOOSE(CONTROL!$C$26, $C$13, 100%, $E$13)</f>
        <v>5.0064000000000002</v>
      </c>
      <c r="D321" s="66">
        <f>5.0119 * CHOOSE(CONTROL!$C$26, $C$13, 100%, $E$13)</f>
        <v>5.0118999999999998</v>
      </c>
      <c r="E321" s="67">
        <f>6.2021 * CHOOSE(CONTROL!$C$26, $C$13, 100%, $E$13)</f>
        <v>6.2020999999999997</v>
      </c>
      <c r="F321" s="67">
        <f>6.2021 * CHOOSE(CONTROL!$C$26, $C$13, 100%, $E$13)</f>
        <v>6.2020999999999997</v>
      </c>
      <c r="G321" s="67">
        <f>6.2089 * CHOOSE(CONTROL!$C$26, $C$13, 100%, $E$13)</f>
        <v>6.2088999999999999</v>
      </c>
      <c r="H321" s="67">
        <f>11.1076* CHOOSE(CONTROL!$C$26, $C$13, 100%, $E$13)</f>
        <v>11.1076</v>
      </c>
      <c r="I321" s="67">
        <f>11.1143 * CHOOSE(CONTROL!$C$26, $C$13, 100%, $E$13)</f>
        <v>11.1143</v>
      </c>
      <c r="J321" s="67">
        <f>6.2021 * CHOOSE(CONTROL!$C$26, $C$13, 100%, $E$13)</f>
        <v>6.2020999999999997</v>
      </c>
      <c r="K321" s="67">
        <f>6.2089 * CHOOSE(CONTROL!$C$26, $C$13, 100%, $E$13)</f>
        <v>6.2088999999999999</v>
      </c>
    </row>
    <row r="322" spans="1:11" ht="15">
      <c r="A322" s="13">
        <v>50922</v>
      </c>
      <c r="B322" s="66">
        <f>5.0125 * CHOOSE(CONTROL!$C$26, $C$13, 100%, $E$13)</f>
        <v>5.0125000000000002</v>
      </c>
      <c r="C322" s="66">
        <f>5.0125 * CHOOSE(CONTROL!$C$26, $C$13, 100%, $E$13)</f>
        <v>5.0125000000000002</v>
      </c>
      <c r="D322" s="66">
        <f>5.018 * CHOOSE(CONTROL!$C$26, $C$13, 100%, $E$13)</f>
        <v>5.0179999999999998</v>
      </c>
      <c r="E322" s="67">
        <f>6.176 * CHOOSE(CONTROL!$C$26, $C$13, 100%, $E$13)</f>
        <v>6.1760000000000002</v>
      </c>
      <c r="F322" s="67">
        <f>6.176 * CHOOSE(CONTROL!$C$26, $C$13, 100%, $E$13)</f>
        <v>6.1760000000000002</v>
      </c>
      <c r="G322" s="67">
        <f>6.1827 * CHOOSE(CONTROL!$C$26, $C$13, 100%, $E$13)</f>
        <v>6.1826999999999996</v>
      </c>
      <c r="H322" s="67">
        <f>11.1307* CHOOSE(CONTROL!$C$26, $C$13, 100%, $E$13)</f>
        <v>11.130699999999999</v>
      </c>
      <c r="I322" s="67">
        <f>11.1374 * CHOOSE(CONTROL!$C$26, $C$13, 100%, $E$13)</f>
        <v>11.1374</v>
      </c>
      <c r="J322" s="67">
        <f>6.176 * CHOOSE(CONTROL!$C$26, $C$13, 100%, $E$13)</f>
        <v>6.1760000000000002</v>
      </c>
      <c r="K322" s="67">
        <f>6.1827 * CHOOSE(CONTROL!$C$26, $C$13, 100%, $E$13)</f>
        <v>6.1826999999999996</v>
      </c>
    </row>
    <row r="323" spans="1:11" ht="15">
      <c r="A323" s="13">
        <v>50952</v>
      </c>
      <c r="B323" s="66">
        <f>5.0952 * CHOOSE(CONTROL!$C$26, $C$13, 100%, $E$13)</f>
        <v>5.0952000000000002</v>
      </c>
      <c r="C323" s="66">
        <f>5.0952 * CHOOSE(CONTROL!$C$26, $C$13, 100%, $E$13)</f>
        <v>5.0952000000000002</v>
      </c>
      <c r="D323" s="66">
        <f>5.1007 * CHOOSE(CONTROL!$C$26, $C$13, 100%, $E$13)</f>
        <v>5.1006999999999998</v>
      </c>
      <c r="E323" s="67">
        <f>6.2809 * CHOOSE(CONTROL!$C$26, $C$13, 100%, $E$13)</f>
        <v>6.2808999999999999</v>
      </c>
      <c r="F323" s="67">
        <f>6.2809 * CHOOSE(CONTROL!$C$26, $C$13, 100%, $E$13)</f>
        <v>6.2808999999999999</v>
      </c>
      <c r="G323" s="67">
        <f>6.2877 * CHOOSE(CONTROL!$C$26, $C$13, 100%, $E$13)</f>
        <v>6.2877000000000001</v>
      </c>
      <c r="H323" s="67">
        <f>11.1539* CHOOSE(CONTROL!$C$26, $C$13, 100%, $E$13)</f>
        <v>11.1539</v>
      </c>
      <c r="I323" s="67">
        <f>11.1606 * CHOOSE(CONTROL!$C$26, $C$13, 100%, $E$13)</f>
        <v>11.160600000000001</v>
      </c>
      <c r="J323" s="67">
        <f>6.2809 * CHOOSE(CONTROL!$C$26, $C$13, 100%, $E$13)</f>
        <v>6.2808999999999999</v>
      </c>
      <c r="K323" s="67">
        <f>6.2877 * CHOOSE(CONTROL!$C$26, $C$13, 100%, $E$13)</f>
        <v>6.2877000000000001</v>
      </c>
    </row>
    <row r="324" spans="1:11" ht="15">
      <c r="A324" s="13">
        <v>50983</v>
      </c>
      <c r="B324" s="66">
        <f>5.1019 * CHOOSE(CONTROL!$C$26, $C$13, 100%, $E$13)</f>
        <v>5.1018999999999997</v>
      </c>
      <c r="C324" s="66">
        <f>5.1019 * CHOOSE(CONTROL!$C$26, $C$13, 100%, $E$13)</f>
        <v>5.1018999999999997</v>
      </c>
      <c r="D324" s="66">
        <f>5.1074 * CHOOSE(CONTROL!$C$26, $C$13, 100%, $E$13)</f>
        <v>5.1074000000000002</v>
      </c>
      <c r="E324" s="67">
        <f>6.1944 * CHOOSE(CONTROL!$C$26, $C$13, 100%, $E$13)</f>
        <v>6.1943999999999999</v>
      </c>
      <c r="F324" s="67">
        <f>6.1944 * CHOOSE(CONTROL!$C$26, $C$13, 100%, $E$13)</f>
        <v>6.1943999999999999</v>
      </c>
      <c r="G324" s="67">
        <f>6.2012 * CHOOSE(CONTROL!$C$26, $C$13, 100%, $E$13)</f>
        <v>6.2012</v>
      </c>
      <c r="H324" s="67">
        <f>11.1771* CHOOSE(CONTROL!$C$26, $C$13, 100%, $E$13)</f>
        <v>11.177099999999999</v>
      </c>
      <c r="I324" s="67">
        <f>11.1839 * CHOOSE(CONTROL!$C$26, $C$13, 100%, $E$13)</f>
        <v>11.1839</v>
      </c>
      <c r="J324" s="67">
        <f>6.1944 * CHOOSE(CONTROL!$C$26, $C$13, 100%, $E$13)</f>
        <v>6.1943999999999999</v>
      </c>
      <c r="K324" s="67">
        <f>6.2012 * CHOOSE(CONTROL!$C$26, $C$13, 100%, $E$13)</f>
        <v>6.2012</v>
      </c>
    </row>
    <row r="325" spans="1:11" ht="15">
      <c r="A325" s="13">
        <v>51014</v>
      </c>
      <c r="B325" s="66">
        <f>5.0988 * CHOOSE(CONTROL!$C$26, $C$13, 100%, $E$13)</f>
        <v>5.0987999999999998</v>
      </c>
      <c r="C325" s="66">
        <f>5.0988 * CHOOSE(CONTROL!$C$26, $C$13, 100%, $E$13)</f>
        <v>5.0987999999999998</v>
      </c>
      <c r="D325" s="66">
        <f>5.1043 * CHOOSE(CONTROL!$C$26, $C$13, 100%, $E$13)</f>
        <v>5.1043000000000003</v>
      </c>
      <c r="E325" s="67">
        <f>6.1822 * CHOOSE(CONTROL!$C$26, $C$13, 100%, $E$13)</f>
        <v>6.1821999999999999</v>
      </c>
      <c r="F325" s="67">
        <f>6.1822 * CHOOSE(CONTROL!$C$26, $C$13, 100%, $E$13)</f>
        <v>6.1821999999999999</v>
      </c>
      <c r="G325" s="67">
        <f>6.1889 * CHOOSE(CONTROL!$C$26, $C$13, 100%, $E$13)</f>
        <v>6.1889000000000003</v>
      </c>
      <c r="H325" s="67">
        <f>11.2004* CHOOSE(CONTROL!$C$26, $C$13, 100%, $E$13)</f>
        <v>11.2004</v>
      </c>
      <c r="I325" s="67">
        <f>11.2072 * CHOOSE(CONTROL!$C$26, $C$13, 100%, $E$13)</f>
        <v>11.2072</v>
      </c>
      <c r="J325" s="67">
        <f>6.1822 * CHOOSE(CONTROL!$C$26, $C$13, 100%, $E$13)</f>
        <v>6.1821999999999999</v>
      </c>
      <c r="K325" s="67">
        <f>6.1889 * CHOOSE(CONTROL!$C$26, $C$13, 100%, $E$13)</f>
        <v>6.1889000000000003</v>
      </c>
    </row>
    <row r="326" spans="1:11" ht="15">
      <c r="A326" s="13">
        <v>51044</v>
      </c>
      <c r="B326" s="66">
        <f>5.0975 * CHOOSE(CONTROL!$C$26, $C$13, 100%, $E$13)</f>
        <v>5.0975000000000001</v>
      </c>
      <c r="C326" s="66">
        <f>5.0975 * CHOOSE(CONTROL!$C$26, $C$13, 100%, $E$13)</f>
        <v>5.0975000000000001</v>
      </c>
      <c r="D326" s="66">
        <f>5.1014 * CHOOSE(CONTROL!$C$26, $C$13, 100%, $E$13)</f>
        <v>5.1013999999999999</v>
      </c>
      <c r="E326" s="67">
        <f>6.2093 * CHOOSE(CONTROL!$C$26, $C$13, 100%, $E$13)</f>
        <v>6.2092999999999998</v>
      </c>
      <c r="F326" s="67">
        <f>6.2093 * CHOOSE(CONTROL!$C$26, $C$13, 100%, $E$13)</f>
        <v>6.2092999999999998</v>
      </c>
      <c r="G326" s="67">
        <f>6.214 * CHOOSE(CONTROL!$C$26, $C$13, 100%, $E$13)</f>
        <v>6.2140000000000004</v>
      </c>
      <c r="H326" s="67">
        <f>11.2238* CHOOSE(CONTROL!$C$26, $C$13, 100%, $E$13)</f>
        <v>11.223800000000001</v>
      </c>
      <c r="I326" s="67">
        <f>11.2285 * CHOOSE(CONTROL!$C$26, $C$13, 100%, $E$13)</f>
        <v>11.2285</v>
      </c>
      <c r="J326" s="67">
        <f>6.2093 * CHOOSE(CONTROL!$C$26, $C$13, 100%, $E$13)</f>
        <v>6.2092999999999998</v>
      </c>
      <c r="K326" s="67">
        <f>6.214 * CHOOSE(CONTROL!$C$26, $C$13, 100%, $E$13)</f>
        <v>6.2140000000000004</v>
      </c>
    </row>
    <row r="327" spans="1:11" ht="15">
      <c r="A327" s="13">
        <v>51075</v>
      </c>
      <c r="B327" s="66">
        <f>5.1006 * CHOOSE(CONTROL!$C$26, $C$13, 100%, $E$13)</f>
        <v>5.1006</v>
      </c>
      <c r="C327" s="66">
        <f>5.1006 * CHOOSE(CONTROL!$C$26, $C$13, 100%, $E$13)</f>
        <v>5.1006</v>
      </c>
      <c r="D327" s="66">
        <f>5.1044 * CHOOSE(CONTROL!$C$26, $C$13, 100%, $E$13)</f>
        <v>5.1044</v>
      </c>
      <c r="E327" s="67">
        <f>6.2316 * CHOOSE(CONTROL!$C$26, $C$13, 100%, $E$13)</f>
        <v>6.2316000000000003</v>
      </c>
      <c r="F327" s="67">
        <f>6.2316 * CHOOSE(CONTROL!$C$26, $C$13, 100%, $E$13)</f>
        <v>6.2316000000000003</v>
      </c>
      <c r="G327" s="67">
        <f>6.2364 * CHOOSE(CONTROL!$C$26, $C$13, 100%, $E$13)</f>
        <v>6.2363999999999997</v>
      </c>
      <c r="H327" s="67">
        <f>11.2471* CHOOSE(CONTROL!$C$26, $C$13, 100%, $E$13)</f>
        <v>11.2471</v>
      </c>
      <c r="I327" s="67">
        <f>11.2519 * CHOOSE(CONTROL!$C$26, $C$13, 100%, $E$13)</f>
        <v>11.251899999999999</v>
      </c>
      <c r="J327" s="67">
        <f>6.2316 * CHOOSE(CONTROL!$C$26, $C$13, 100%, $E$13)</f>
        <v>6.2316000000000003</v>
      </c>
      <c r="K327" s="67">
        <f>6.2364 * CHOOSE(CONTROL!$C$26, $C$13, 100%, $E$13)</f>
        <v>6.2363999999999997</v>
      </c>
    </row>
    <row r="328" spans="1:11" ht="15">
      <c r="A328" s="13">
        <v>51105</v>
      </c>
      <c r="B328" s="66">
        <f>5.1006 * CHOOSE(CONTROL!$C$26, $C$13, 100%, $E$13)</f>
        <v>5.1006</v>
      </c>
      <c r="C328" s="66">
        <f>5.1006 * CHOOSE(CONTROL!$C$26, $C$13, 100%, $E$13)</f>
        <v>5.1006</v>
      </c>
      <c r="D328" s="66">
        <f>5.1044 * CHOOSE(CONTROL!$C$26, $C$13, 100%, $E$13)</f>
        <v>5.1044</v>
      </c>
      <c r="E328" s="67">
        <f>6.181 * CHOOSE(CONTROL!$C$26, $C$13, 100%, $E$13)</f>
        <v>6.181</v>
      </c>
      <c r="F328" s="67">
        <f>6.181 * CHOOSE(CONTROL!$C$26, $C$13, 100%, $E$13)</f>
        <v>6.181</v>
      </c>
      <c r="G328" s="67">
        <f>6.1858 * CHOOSE(CONTROL!$C$26, $C$13, 100%, $E$13)</f>
        <v>6.1858000000000004</v>
      </c>
      <c r="H328" s="67">
        <f>11.2706* CHOOSE(CONTROL!$C$26, $C$13, 100%, $E$13)</f>
        <v>11.2706</v>
      </c>
      <c r="I328" s="67">
        <f>11.2753 * CHOOSE(CONTROL!$C$26, $C$13, 100%, $E$13)</f>
        <v>11.2753</v>
      </c>
      <c r="J328" s="67">
        <f>6.181 * CHOOSE(CONTROL!$C$26, $C$13, 100%, $E$13)</f>
        <v>6.181</v>
      </c>
      <c r="K328" s="67">
        <f>6.1858 * CHOOSE(CONTROL!$C$26, $C$13, 100%, $E$13)</f>
        <v>6.1858000000000004</v>
      </c>
    </row>
    <row r="329" spans="1:11" ht="15">
      <c r="A329" s="13">
        <v>51136</v>
      </c>
      <c r="B329" s="66">
        <f>5.146 * CHOOSE(CONTROL!$C$26, $C$13, 100%, $E$13)</f>
        <v>5.1459999999999999</v>
      </c>
      <c r="C329" s="66">
        <f>5.146 * CHOOSE(CONTROL!$C$26, $C$13, 100%, $E$13)</f>
        <v>5.1459999999999999</v>
      </c>
      <c r="D329" s="66">
        <f>5.1498 * CHOOSE(CONTROL!$C$26, $C$13, 100%, $E$13)</f>
        <v>5.1497999999999999</v>
      </c>
      <c r="E329" s="67">
        <f>6.2686 * CHOOSE(CONTROL!$C$26, $C$13, 100%, $E$13)</f>
        <v>6.2686000000000002</v>
      </c>
      <c r="F329" s="67">
        <f>6.2686 * CHOOSE(CONTROL!$C$26, $C$13, 100%, $E$13)</f>
        <v>6.2686000000000002</v>
      </c>
      <c r="G329" s="67">
        <f>6.2734 * CHOOSE(CONTROL!$C$26, $C$13, 100%, $E$13)</f>
        <v>6.2733999999999996</v>
      </c>
      <c r="H329" s="67">
        <f>11.2941* CHOOSE(CONTROL!$C$26, $C$13, 100%, $E$13)</f>
        <v>11.2941</v>
      </c>
      <c r="I329" s="67">
        <f>11.2988 * CHOOSE(CONTROL!$C$26, $C$13, 100%, $E$13)</f>
        <v>11.2988</v>
      </c>
      <c r="J329" s="67">
        <f>6.2686 * CHOOSE(CONTROL!$C$26, $C$13, 100%, $E$13)</f>
        <v>6.2686000000000002</v>
      </c>
      <c r="K329" s="67">
        <f>6.2734 * CHOOSE(CONTROL!$C$26, $C$13, 100%, $E$13)</f>
        <v>6.2733999999999996</v>
      </c>
    </row>
    <row r="330" spans="1:11" ht="15">
      <c r="A330" s="13">
        <v>51167</v>
      </c>
      <c r="B330" s="66">
        <f>5.1429 * CHOOSE(CONTROL!$C$26, $C$13, 100%, $E$13)</f>
        <v>5.1429</v>
      </c>
      <c r="C330" s="66">
        <f>5.1429 * CHOOSE(CONTROL!$C$26, $C$13, 100%, $E$13)</f>
        <v>5.1429</v>
      </c>
      <c r="D330" s="66">
        <f>5.1468 * CHOOSE(CONTROL!$C$26, $C$13, 100%, $E$13)</f>
        <v>5.1467999999999998</v>
      </c>
      <c r="E330" s="67">
        <f>6.1681 * CHOOSE(CONTROL!$C$26, $C$13, 100%, $E$13)</f>
        <v>6.1680999999999999</v>
      </c>
      <c r="F330" s="67">
        <f>6.1681 * CHOOSE(CONTROL!$C$26, $C$13, 100%, $E$13)</f>
        <v>6.1680999999999999</v>
      </c>
      <c r="G330" s="67">
        <f>6.1728 * CHOOSE(CONTROL!$C$26, $C$13, 100%, $E$13)</f>
        <v>6.1727999999999996</v>
      </c>
      <c r="H330" s="67">
        <f>11.3176* CHOOSE(CONTROL!$C$26, $C$13, 100%, $E$13)</f>
        <v>11.317600000000001</v>
      </c>
      <c r="I330" s="67">
        <f>11.3224 * CHOOSE(CONTROL!$C$26, $C$13, 100%, $E$13)</f>
        <v>11.3224</v>
      </c>
      <c r="J330" s="67">
        <f>6.1681 * CHOOSE(CONTROL!$C$26, $C$13, 100%, $E$13)</f>
        <v>6.1680999999999999</v>
      </c>
      <c r="K330" s="67">
        <f>6.1728 * CHOOSE(CONTROL!$C$26, $C$13, 100%, $E$13)</f>
        <v>6.1727999999999996</v>
      </c>
    </row>
    <row r="331" spans="1:11" ht="15">
      <c r="A331" s="13">
        <v>51196</v>
      </c>
      <c r="B331" s="66">
        <f>5.1399 * CHOOSE(CONTROL!$C$26, $C$13, 100%, $E$13)</f>
        <v>5.1398999999999999</v>
      </c>
      <c r="C331" s="66">
        <f>5.1399 * CHOOSE(CONTROL!$C$26, $C$13, 100%, $E$13)</f>
        <v>5.1398999999999999</v>
      </c>
      <c r="D331" s="66">
        <f>5.1437 * CHOOSE(CONTROL!$C$26, $C$13, 100%, $E$13)</f>
        <v>5.1436999999999999</v>
      </c>
      <c r="E331" s="67">
        <f>6.2435 * CHOOSE(CONTROL!$C$26, $C$13, 100%, $E$13)</f>
        <v>6.2435</v>
      </c>
      <c r="F331" s="67">
        <f>6.2435 * CHOOSE(CONTROL!$C$26, $C$13, 100%, $E$13)</f>
        <v>6.2435</v>
      </c>
      <c r="G331" s="67">
        <f>6.2483 * CHOOSE(CONTROL!$C$26, $C$13, 100%, $E$13)</f>
        <v>6.2483000000000004</v>
      </c>
      <c r="H331" s="67">
        <f>11.3412* CHOOSE(CONTROL!$C$26, $C$13, 100%, $E$13)</f>
        <v>11.341200000000001</v>
      </c>
      <c r="I331" s="67">
        <f>11.3459 * CHOOSE(CONTROL!$C$26, $C$13, 100%, $E$13)</f>
        <v>11.3459</v>
      </c>
      <c r="J331" s="67">
        <f>6.2435 * CHOOSE(CONTROL!$C$26, $C$13, 100%, $E$13)</f>
        <v>6.2435</v>
      </c>
      <c r="K331" s="67">
        <f>6.2483 * CHOOSE(CONTROL!$C$26, $C$13, 100%, $E$13)</f>
        <v>6.2483000000000004</v>
      </c>
    </row>
    <row r="332" spans="1:11" ht="15">
      <c r="A332" s="13">
        <v>51227</v>
      </c>
      <c r="B332" s="66">
        <f>5.1385 * CHOOSE(CONTROL!$C$26, $C$13, 100%, $E$13)</f>
        <v>5.1384999999999996</v>
      </c>
      <c r="C332" s="66">
        <f>5.1385 * CHOOSE(CONTROL!$C$26, $C$13, 100%, $E$13)</f>
        <v>5.1384999999999996</v>
      </c>
      <c r="D332" s="66">
        <f>5.1424 * CHOOSE(CONTROL!$C$26, $C$13, 100%, $E$13)</f>
        <v>5.1424000000000003</v>
      </c>
      <c r="E332" s="67">
        <f>6.3226 * CHOOSE(CONTROL!$C$26, $C$13, 100%, $E$13)</f>
        <v>6.3226000000000004</v>
      </c>
      <c r="F332" s="67">
        <f>6.3226 * CHOOSE(CONTROL!$C$26, $C$13, 100%, $E$13)</f>
        <v>6.3226000000000004</v>
      </c>
      <c r="G332" s="67">
        <f>6.3274 * CHOOSE(CONTROL!$C$26, $C$13, 100%, $E$13)</f>
        <v>6.3273999999999999</v>
      </c>
      <c r="H332" s="67">
        <f>11.3648* CHOOSE(CONTROL!$C$26, $C$13, 100%, $E$13)</f>
        <v>11.364800000000001</v>
      </c>
      <c r="I332" s="67">
        <f>11.3696 * CHOOSE(CONTROL!$C$26, $C$13, 100%, $E$13)</f>
        <v>11.3696</v>
      </c>
      <c r="J332" s="67">
        <f>6.3226 * CHOOSE(CONTROL!$C$26, $C$13, 100%, $E$13)</f>
        <v>6.3226000000000004</v>
      </c>
      <c r="K332" s="67">
        <f>6.3274 * CHOOSE(CONTROL!$C$26, $C$13, 100%, $E$13)</f>
        <v>6.3273999999999999</v>
      </c>
    </row>
    <row r="333" spans="1:11" ht="15">
      <c r="A333" s="13">
        <v>51257</v>
      </c>
      <c r="B333" s="66">
        <f>5.1385 * CHOOSE(CONTROL!$C$26, $C$13, 100%, $E$13)</f>
        <v>5.1384999999999996</v>
      </c>
      <c r="C333" s="66">
        <f>5.1385 * CHOOSE(CONTROL!$C$26, $C$13, 100%, $E$13)</f>
        <v>5.1384999999999996</v>
      </c>
      <c r="D333" s="66">
        <f>5.144 * CHOOSE(CONTROL!$C$26, $C$13, 100%, $E$13)</f>
        <v>5.1440000000000001</v>
      </c>
      <c r="E333" s="67">
        <f>6.3538 * CHOOSE(CONTROL!$C$26, $C$13, 100%, $E$13)</f>
        <v>6.3537999999999997</v>
      </c>
      <c r="F333" s="67">
        <f>6.3538 * CHOOSE(CONTROL!$C$26, $C$13, 100%, $E$13)</f>
        <v>6.3537999999999997</v>
      </c>
      <c r="G333" s="67">
        <f>6.3606 * CHOOSE(CONTROL!$C$26, $C$13, 100%, $E$13)</f>
        <v>6.3605999999999998</v>
      </c>
      <c r="H333" s="67">
        <f>11.3885* CHOOSE(CONTROL!$C$26, $C$13, 100%, $E$13)</f>
        <v>11.388500000000001</v>
      </c>
      <c r="I333" s="67">
        <f>11.3952 * CHOOSE(CONTROL!$C$26, $C$13, 100%, $E$13)</f>
        <v>11.395200000000001</v>
      </c>
      <c r="J333" s="67">
        <f>6.3538 * CHOOSE(CONTROL!$C$26, $C$13, 100%, $E$13)</f>
        <v>6.3537999999999997</v>
      </c>
      <c r="K333" s="67">
        <f>6.3606 * CHOOSE(CONTROL!$C$26, $C$13, 100%, $E$13)</f>
        <v>6.3605999999999998</v>
      </c>
    </row>
    <row r="334" spans="1:11" ht="15">
      <c r="A334" s="13">
        <v>51288</v>
      </c>
      <c r="B334" s="66">
        <f>5.1446 * CHOOSE(CONTROL!$C$26, $C$13, 100%, $E$13)</f>
        <v>5.1445999999999996</v>
      </c>
      <c r="C334" s="66">
        <f>5.1446 * CHOOSE(CONTROL!$C$26, $C$13, 100%, $E$13)</f>
        <v>5.1445999999999996</v>
      </c>
      <c r="D334" s="66">
        <f>5.1501 * CHOOSE(CONTROL!$C$26, $C$13, 100%, $E$13)</f>
        <v>5.1501000000000001</v>
      </c>
      <c r="E334" s="67">
        <f>6.3268 * CHOOSE(CONTROL!$C$26, $C$13, 100%, $E$13)</f>
        <v>6.3268000000000004</v>
      </c>
      <c r="F334" s="67">
        <f>6.3268 * CHOOSE(CONTROL!$C$26, $C$13, 100%, $E$13)</f>
        <v>6.3268000000000004</v>
      </c>
      <c r="G334" s="67">
        <f>6.3336 * CHOOSE(CONTROL!$C$26, $C$13, 100%, $E$13)</f>
        <v>6.3335999999999997</v>
      </c>
      <c r="H334" s="67">
        <f>11.4122* CHOOSE(CONTROL!$C$26, $C$13, 100%, $E$13)</f>
        <v>11.4122</v>
      </c>
      <c r="I334" s="67">
        <f>11.4189 * CHOOSE(CONTROL!$C$26, $C$13, 100%, $E$13)</f>
        <v>11.418900000000001</v>
      </c>
      <c r="J334" s="67">
        <f>6.3268 * CHOOSE(CONTROL!$C$26, $C$13, 100%, $E$13)</f>
        <v>6.3268000000000004</v>
      </c>
      <c r="K334" s="67">
        <f>6.3336 * CHOOSE(CONTROL!$C$26, $C$13, 100%, $E$13)</f>
        <v>6.3335999999999997</v>
      </c>
    </row>
    <row r="335" spans="1:11" ht="15">
      <c r="A335" s="13">
        <v>51318</v>
      </c>
      <c r="B335" s="66">
        <f>5.2293 * CHOOSE(CONTROL!$C$26, $C$13, 100%, $E$13)</f>
        <v>5.2293000000000003</v>
      </c>
      <c r="C335" s="66">
        <f>5.2293 * CHOOSE(CONTROL!$C$26, $C$13, 100%, $E$13)</f>
        <v>5.2293000000000003</v>
      </c>
      <c r="D335" s="66">
        <f>5.2348 * CHOOSE(CONTROL!$C$26, $C$13, 100%, $E$13)</f>
        <v>5.2347999999999999</v>
      </c>
      <c r="E335" s="67">
        <f>6.4346 * CHOOSE(CONTROL!$C$26, $C$13, 100%, $E$13)</f>
        <v>6.4345999999999997</v>
      </c>
      <c r="F335" s="67">
        <f>6.4346 * CHOOSE(CONTROL!$C$26, $C$13, 100%, $E$13)</f>
        <v>6.4345999999999997</v>
      </c>
      <c r="G335" s="67">
        <f>6.4413 * CHOOSE(CONTROL!$C$26, $C$13, 100%, $E$13)</f>
        <v>6.4413</v>
      </c>
      <c r="H335" s="67">
        <f>11.436* CHOOSE(CONTROL!$C$26, $C$13, 100%, $E$13)</f>
        <v>11.436</v>
      </c>
      <c r="I335" s="67">
        <f>11.4427 * CHOOSE(CONTROL!$C$26, $C$13, 100%, $E$13)</f>
        <v>11.4427</v>
      </c>
      <c r="J335" s="67">
        <f>6.4346 * CHOOSE(CONTROL!$C$26, $C$13, 100%, $E$13)</f>
        <v>6.4345999999999997</v>
      </c>
      <c r="K335" s="67">
        <f>6.4413 * CHOOSE(CONTROL!$C$26, $C$13, 100%, $E$13)</f>
        <v>6.4413</v>
      </c>
    </row>
    <row r="336" spans="1:11" ht="15">
      <c r="A336" s="13">
        <v>51349</v>
      </c>
      <c r="B336" s="66">
        <f>5.236 * CHOOSE(CONTROL!$C$26, $C$13, 100%, $E$13)</f>
        <v>5.2359999999999998</v>
      </c>
      <c r="C336" s="66">
        <f>5.236 * CHOOSE(CONTROL!$C$26, $C$13, 100%, $E$13)</f>
        <v>5.2359999999999998</v>
      </c>
      <c r="D336" s="66">
        <f>5.2415 * CHOOSE(CONTROL!$C$26, $C$13, 100%, $E$13)</f>
        <v>5.2415000000000003</v>
      </c>
      <c r="E336" s="67">
        <f>6.3455 * CHOOSE(CONTROL!$C$26, $C$13, 100%, $E$13)</f>
        <v>6.3455000000000004</v>
      </c>
      <c r="F336" s="67">
        <f>6.3455 * CHOOSE(CONTROL!$C$26, $C$13, 100%, $E$13)</f>
        <v>6.3455000000000004</v>
      </c>
      <c r="G336" s="67">
        <f>6.3523 * CHOOSE(CONTROL!$C$26, $C$13, 100%, $E$13)</f>
        <v>6.3522999999999996</v>
      </c>
      <c r="H336" s="67">
        <f>11.4598* CHOOSE(CONTROL!$C$26, $C$13, 100%, $E$13)</f>
        <v>11.4598</v>
      </c>
      <c r="I336" s="67">
        <f>11.4665 * CHOOSE(CONTROL!$C$26, $C$13, 100%, $E$13)</f>
        <v>11.4665</v>
      </c>
      <c r="J336" s="67">
        <f>6.3455 * CHOOSE(CONTROL!$C$26, $C$13, 100%, $E$13)</f>
        <v>6.3455000000000004</v>
      </c>
      <c r="K336" s="67">
        <f>6.3523 * CHOOSE(CONTROL!$C$26, $C$13, 100%, $E$13)</f>
        <v>6.3522999999999996</v>
      </c>
    </row>
    <row r="337" spans="1:11" ht="15">
      <c r="A337" s="13">
        <v>51380</v>
      </c>
      <c r="B337" s="66">
        <f>5.233 * CHOOSE(CONTROL!$C$26, $C$13, 100%, $E$13)</f>
        <v>5.2329999999999997</v>
      </c>
      <c r="C337" s="66">
        <f>5.233 * CHOOSE(CONTROL!$C$26, $C$13, 100%, $E$13)</f>
        <v>5.2329999999999997</v>
      </c>
      <c r="D337" s="66">
        <f>5.2385 * CHOOSE(CONTROL!$C$26, $C$13, 100%, $E$13)</f>
        <v>5.2385000000000002</v>
      </c>
      <c r="E337" s="67">
        <f>6.333 * CHOOSE(CONTROL!$C$26, $C$13, 100%, $E$13)</f>
        <v>6.3330000000000002</v>
      </c>
      <c r="F337" s="67">
        <f>6.333 * CHOOSE(CONTROL!$C$26, $C$13, 100%, $E$13)</f>
        <v>6.3330000000000002</v>
      </c>
      <c r="G337" s="67">
        <f>6.3397 * CHOOSE(CONTROL!$C$26, $C$13, 100%, $E$13)</f>
        <v>6.3396999999999997</v>
      </c>
      <c r="H337" s="67">
        <f>11.4837* CHOOSE(CONTROL!$C$26, $C$13, 100%, $E$13)</f>
        <v>11.483700000000001</v>
      </c>
      <c r="I337" s="67">
        <f>11.4904 * CHOOSE(CONTROL!$C$26, $C$13, 100%, $E$13)</f>
        <v>11.490399999999999</v>
      </c>
      <c r="J337" s="67">
        <f>6.333 * CHOOSE(CONTROL!$C$26, $C$13, 100%, $E$13)</f>
        <v>6.3330000000000002</v>
      </c>
      <c r="K337" s="67">
        <f>6.3397 * CHOOSE(CONTROL!$C$26, $C$13, 100%, $E$13)</f>
        <v>6.3396999999999997</v>
      </c>
    </row>
    <row r="338" spans="1:11" ht="15">
      <c r="A338" s="13">
        <v>51410</v>
      </c>
      <c r="B338" s="66">
        <f>5.2321 * CHOOSE(CONTROL!$C$26, $C$13, 100%, $E$13)</f>
        <v>5.2321</v>
      </c>
      <c r="C338" s="66">
        <f>5.2321 * CHOOSE(CONTROL!$C$26, $C$13, 100%, $E$13)</f>
        <v>5.2321</v>
      </c>
      <c r="D338" s="66">
        <f>5.236 * CHOOSE(CONTROL!$C$26, $C$13, 100%, $E$13)</f>
        <v>5.2359999999999998</v>
      </c>
      <c r="E338" s="67">
        <f>6.3612 * CHOOSE(CONTROL!$C$26, $C$13, 100%, $E$13)</f>
        <v>6.3612000000000002</v>
      </c>
      <c r="F338" s="67">
        <f>6.3612 * CHOOSE(CONTROL!$C$26, $C$13, 100%, $E$13)</f>
        <v>6.3612000000000002</v>
      </c>
      <c r="G338" s="67">
        <f>6.366 * CHOOSE(CONTROL!$C$26, $C$13, 100%, $E$13)</f>
        <v>6.3659999999999997</v>
      </c>
      <c r="H338" s="67">
        <f>11.5076* CHOOSE(CONTROL!$C$26, $C$13, 100%, $E$13)</f>
        <v>11.5076</v>
      </c>
      <c r="I338" s="67">
        <f>11.5124 * CHOOSE(CONTROL!$C$26, $C$13, 100%, $E$13)</f>
        <v>11.5124</v>
      </c>
      <c r="J338" s="67">
        <f>6.3612 * CHOOSE(CONTROL!$C$26, $C$13, 100%, $E$13)</f>
        <v>6.3612000000000002</v>
      </c>
      <c r="K338" s="67">
        <f>6.366 * CHOOSE(CONTROL!$C$26, $C$13, 100%, $E$13)</f>
        <v>6.3659999999999997</v>
      </c>
    </row>
    <row r="339" spans="1:11" ht="15">
      <c r="A339" s="13">
        <v>51441</v>
      </c>
      <c r="B339" s="66">
        <f>5.2352 * CHOOSE(CONTROL!$C$26, $C$13, 100%, $E$13)</f>
        <v>5.2351999999999999</v>
      </c>
      <c r="C339" s="66">
        <f>5.2352 * CHOOSE(CONTROL!$C$26, $C$13, 100%, $E$13)</f>
        <v>5.2351999999999999</v>
      </c>
      <c r="D339" s="66">
        <f>5.239 * CHOOSE(CONTROL!$C$26, $C$13, 100%, $E$13)</f>
        <v>5.2389999999999999</v>
      </c>
      <c r="E339" s="67">
        <f>6.3842 * CHOOSE(CONTROL!$C$26, $C$13, 100%, $E$13)</f>
        <v>6.3841999999999999</v>
      </c>
      <c r="F339" s="67">
        <f>6.3842 * CHOOSE(CONTROL!$C$26, $C$13, 100%, $E$13)</f>
        <v>6.3841999999999999</v>
      </c>
      <c r="G339" s="67">
        <f>6.3889 * CHOOSE(CONTROL!$C$26, $C$13, 100%, $E$13)</f>
        <v>6.3888999999999996</v>
      </c>
      <c r="H339" s="67">
        <f>11.5316* CHOOSE(CONTROL!$C$26, $C$13, 100%, $E$13)</f>
        <v>11.531599999999999</v>
      </c>
      <c r="I339" s="67">
        <f>11.5363 * CHOOSE(CONTROL!$C$26, $C$13, 100%, $E$13)</f>
        <v>11.536300000000001</v>
      </c>
      <c r="J339" s="67">
        <f>6.3842 * CHOOSE(CONTROL!$C$26, $C$13, 100%, $E$13)</f>
        <v>6.3841999999999999</v>
      </c>
      <c r="K339" s="67">
        <f>6.3889 * CHOOSE(CONTROL!$C$26, $C$13, 100%, $E$13)</f>
        <v>6.3888999999999996</v>
      </c>
    </row>
    <row r="340" spans="1:11" ht="15">
      <c r="A340" s="13">
        <v>51471</v>
      </c>
      <c r="B340" s="66">
        <f>5.2352 * CHOOSE(CONTROL!$C$26, $C$13, 100%, $E$13)</f>
        <v>5.2351999999999999</v>
      </c>
      <c r="C340" s="66">
        <f>5.2352 * CHOOSE(CONTROL!$C$26, $C$13, 100%, $E$13)</f>
        <v>5.2351999999999999</v>
      </c>
      <c r="D340" s="66">
        <f>5.239 * CHOOSE(CONTROL!$C$26, $C$13, 100%, $E$13)</f>
        <v>5.2389999999999999</v>
      </c>
      <c r="E340" s="67">
        <f>6.3321 * CHOOSE(CONTROL!$C$26, $C$13, 100%, $E$13)</f>
        <v>6.3320999999999996</v>
      </c>
      <c r="F340" s="67">
        <f>6.3321 * CHOOSE(CONTROL!$C$26, $C$13, 100%, $E$13)</f>
        <v>6.3320999999999996</v>
      </c>
      <c r="G340" s="67">
        <f>6.3369 * CHOOSE(CONTROL!$C$26, $C$13, 100%, $E$13)</f>
        <v>6.3369</v>
      </c>
      <c r="H340" s="67">
        <f>11.5556* CHOOSE(CONTROL!$C$26, $C$13, 100%, $E$13)</f>
        <v>11.5556</v>
      </c>
      <c r="I340" s="67">
        <f>11.5604 * CHOOSE(CONTROL!$C$26, $C$13, 100%, $E$13)</f>
        <v>11.5604</v>
      </c>
      <c r="J340" s="67">
        <f>6.3321 * CHOOSE(CONTROL!$C$26, $C$13, 100%, $E$13)</f>
        <v>6.3320999999999996</v>
      </c>
      <c r="K340" s="67">
        <f>6.3369 * CHOOSE(CONTROL!$C$26, $C$13, 100%, $E$13)</f>
        <v>6.3369</v>
      </c>
    </row>
    <row r="341" spans="1:11" ht="15">
      <c r="A341" s="13">
        <v>51502</v>
      </c>
      <c r="B341" s="66">
        <f>5.2816 * CHOOSE(CONTROL!$C$26, $C$13, 100%, $E$13)</f>
        <v>5.2816000000000001</v>
      </c>
      <c r="C341" s="66">
        <f>5.2816 * CHOOSE(CONTROL!$C$26, $C$13, 100%, $E$13)</f>
        <v>5.2816000000000001</v>
      </c>
      <c r="D341" s="66">
        <f>5.2855 * CHOOSE(CONTROL!$C$26, $C$13, 100%, $E$13)</f>
        <v>5.2854999999999999</v>
      </c>
      <c r="E341" s="67">
        <f>6.4218 * CHOOSE(CONTROL!$C$26, $C$13, 100%, $E$13)</f>
        <v>6.4218000000000002</v>
      </c>
      <c r="F341" s="67">
        <f>6.4218 * CHOOSE(CONTROL!$C$26, $C$13, 100%, $E$13)</f>
        <v>6.4218000000000002</v>
      </c>
      <c r="G341" s="67">
        <f>6.4266 * CHOOSE(CONTROL!$C$26, $C$13, 100%, $E$13)</f>
        <v>6.4265999999999996</v>
      </c>
      <c r="H341" s="67">
        <f>11.5797* CHOOSE(CONTROL!$C$26, $C$13, 100%, $E$13)</f>
        <v>11.579700000000001</v>
      </c>
      <c r="I341" s="67">
        <f>11.5844 * CHOOSE(CONTROL!$C$26, $C$13, 100%, $E$13)</f>
        <v>11.5844</v>
      </c>
      <c r="J341" s="67">
        <f>6.4218 * CHOOSE(CONTROL!$C$26, $C$13, 100%, $E$13)</f>
        <v>6.4218000000000002</v>
      </c>
      <c r="K341" s="67">
        <f>6.4266 * CHOOSE(CONTROL!$C$26, $C$13, 100%, $E$13)</f>
        <v>6.4265999999999996</v>
      </c>
    </row>
    <row r="342" spans="1:11" ht="15">
      <c r="A342" s="13">
        <v>51533</v>
      </c>
      <c r="B342" s="66">
        <f>5.2786 * CHOOSE(CONTROL!$C$26, $C$13, 100%, $E$13)</f>
        <v>5.2786</v>
      </c>
      <c r="C342" s="66">
        <f>5.2786 * CHOOSE(CONTROL!$C$26, $C$13, 100%, $E$13)</f>
        <v>5.2786</v>
      </c>
      <c r="D342" s="66">
        <f>5.2824 * CHOOSE(CONTROL!$C$26, $C$13, 100%, $E$13)</f>
        <v>5.2824</v>
      </c>
      <c r="E342" s="67">
        <f>6.3185 * CHOOSE(CONTROL!$C$26, $C$13, 100%, $E$13)</f>
        <v>6.3185000000000002</v>
      </c>
      <c r="F342" s="67">
        <f>6.3185 * CHOOSE(CONTROL!$C$26, $C$13, 100%, $E$13)</f>
        <v>6.3185000000000002</v>
      </c>
      <c r="G342" s="67">
        <f>6.3233 * CHOOSE(CONTROL!$C$26, $C$13, 100%, $E$13)</f>
        <v>6.3232999999999997</v>
      </c>
      <c r="H342" s="67">
        <f>11.6038* CHOOSE(CONTROL!$C$26, $C$13, 100%, $E$13)</f>
        <v>11.6038</v>
      </c>
      <c r="I342" s="67">
        <f>11.6086 * CHOOSE(CONTROL!$C$26, $C$13, 100%, $E$13)</f>
        <v>11.608599999999999</v>
      </c>
      <c r="J342" s="67">
        <f>6.3185 * CHOOSE(CONTROL!$C$26, $C$13, 100%, $E$13)</f>
        <v>6.3185000000000002</v>
      </c>
      <c r="K342" s="67">
        <f>6.3233 * CHOOSE(CONTROL!$C$26, $C$13, 100%, $E$13)</f>
        <v>6.3232999999999997</v>
      </c>
    </row>
    <row r="343" spans="1:11" ht="15">
      <c r="A343" s="13">
        <v>51561</v>
      </c>
      <c r="B343" s="66">
        <f>5.2755 * CHOOSE(CONTROL!$C$26, $C$13, 100%, $E$13)</f>
        <v>5.2755000000000001</v>
      </c>
      <c r="C343" s="66">
        <f>5.2755 * CHOOSE(CONTROL!$C$26, $C$13, 100%, $E$13)</f>
        <v>5.2755000000000001</v>
      </c>
      <c r="D343" s="66">
        <f>5.2794 * CHOOSE(CONTROL!$C$26, $C$13, 100%, $E$13)</f>
        <v>5.2793999999999999</v>
      </c>
      <c r="E343" s="67">
        <f>6.3961 * CHOOSE(CONTROL!$C$26, $C$13, 100%, $E$13)</f>
        <v>6.3960999999999997</v>
      </c>
      <c r="F343" s="67">
        <f>6.3961 * CHOOSE(CONTROL!$C$26, $C$13, 100%, $E$13)</f>
        <v>6.3960999999999997</v>
      </c>
      <c r="G343" s="67">
        <f>6.4009 * CHOOSE(CONTROL!$C$26, $C$13, 100%, $E$13)</f>
        <v>6.4009</v>
      </c>
      <c r="H343" s="67">
        <f>11.628* CHOOSE(CONTROL!$C$26, $C$13, 100%, $E$13)</f>
        <v>11.628</v>
      </c>
      <c r="I343" s="67">
        <f>11.6327 * CHOOSE(CONTROL!$C$26, $C$13, 100%, $E$13)</f>
        <v>11.6327</v>
      </c>
      <c r="J343" s="67">
        <f>6.3961 * CHOOSE(CONTROL!$C$26, $C$13, 100%, $E$13)</f>
        <v>6.3960999999999997</v>
      </c>
      <c r="K343" s="67">
        <f>6.4009 * CHOOSE(CONTROL!$C$26, $C$13, 100%, $E$13)</f>
        <v>6.4009</v>
      </c>
    </row>
    <row r="344" spans="1:11" ht="15">
      <c r="A344" s="13">
        <v>51592</v>
      </c>
      <c r="B344" s="66">
        <f>5.2743 * CHOOSE(CONTROL!$C$26, $C$13, 100%, $E$13)</f>
        <v>5.2743000000000002</v>
      </c>
      <c r="C344" s="66">
        <f>5.2743 * CHOOSE(CONTROL!$C$26, $C$13, 100%, $E$13)</f>
        <v>5.2743000000000002</v>
      </c>
      <c r="D344" s="66">
        <f>5.2782 * CHOOSE(CONTROL!$C$26, $C$13, 100%, $E$13)</f>
        <v>5.2782</v>
      </c>
      <c r="E344" s="67">
        <f>6.4775 * CHOOSE(CONTROL!$C$26, $C$13, 100%, $E$13)</f>
        <v>6.4775</v>
      </c>
      <c r="F344" s="67">
        <f>6.4775 * CHOOSE(CONTROL!$C$26, $C$13, 100%, $E$13)</f>
        <v>6.4775</v>
      </c>
      <c r="G344" s="67">
        <f>6.4823 * CHOOSE(CONTROL!$C$26, $C$13, 100%, $E$13)</f>
        <v>6.4823000000000004</v>
      </c>
      <c r="H344" s="67">
        <f>11.6522* CHOOSE(CONTROL!$C$26, $C$13, 100%, $E$13)</f>
        <v>11.652200000000001</v>
      </c>
      <c r="I344" s="67">
        <f>11.657 * CHOOSE(CONTROL!$C$26, $C$13, 100%, $E$13)</f>
        <v>11.657</v>
      </c>
      <c r="J344" s="67">
        <f>6.4775 * CHOOSE(CONTROL!$C$26, $C$13, 100%, $E$13)</f>
        <v>6.4775</v>
      </c>
      <c r="K344" s="67">
        <f>6.4823 * CHOOSE(CONTROL!$C$26, $C$13, 100%, $E$13)</f>
        <v>6.4823000000000004</v>
      </c>
    </row>
    <row r="345" spans="1:11" ht="15">
      <c r="A345" s="13">
        <v>51622</v>
      </c>
      <c r="B345" s="66">
        <f>5.2743 * CHOOSE(CONTROL!$C$26, $C$13, 100%, $E$13)</f>
        <v>5.2743000000000002</v>
      </c>
      <c r="C345" s="66">
        <f>5.2743 * CHOOSE(CONTROL!$C$26, $C$13, 100%, $E$13)</f>
        <v>5.2743000000000002</v>
      </c>
      <c r="D345" s="66">
        <f>5.2798 * CHOOSE(CONTROL!$C$26, $C$13, 100%, $E$13)</f>
        <v>5.2797999999999998</v>
      </c>
      <c r="E345" s="67">
        <f>6.5097 * CHOOSE(CONTROL!$C$26, $C$13, 100%, $E$13)</f>
        <v>6.5096999999999996</v>
      </c>
      <c r="F345" s="67">
        <f>6.5097 * CHOOSE(CONTROL!$C$26, $C$13, 100%, $E$13)</f>
        <v>6.5096999999999996</v>
      </c>
      <c r="G345" s="67">
        <f>6.5164 * CHOOSE(CONTROL!$C$26, $C$13, 100%, $E$13)</f>
        <v>6.5164</v>
      </c>
      <c r="H345" s="67">
        <f>11.6765* CHOOSE(CONTROL!$C$26, $C$13, 100%, $E$13)</f>
        <v>11.676500000000001</v>
      </c>
      <c r="I345" s="67">
        <f>11.6832 * CHOOSE(CONTROL!$C$26, $C$13, 100%, $E$13)</f>
        <v>11.683199999999999</v>
      </c>
      <c r="J345" s="67">
        <f>6.5097 * CHOOSE(CONTROL!$C$26, $C$13, 100%, $E$13)</f>
        <v>6.5096999999999996</v>
      </c>
      <c r="K345" s="67">
        <f>6.5164 * CHOOSE(CONTROL!$C$26, $C$13, 100%, $E$13)</f>
        <v>6.5164</v>
      </c>
    </row>
    <row r="346" spans="1:11" ht="15">
      <c r="A346" s="13">
        <v>51653</v>
      </c>
      <c r="B346" s="66">
        <f>5.2804 * CHOOSE(CONTROL!$C$26, $C$13, 100%, $E$13)</f>
        <v>5.2804000000000002</v>
      </c>
      <c r="C346" s="66">
        <f>5.2804 * CHOOSE(CONTROL!$C$26, $C$13, 100%, $E$13)</f>
        <v>5.2804000000000002</v>
      </c>
      <c r="D346" s="66">
        <f>5.2859 * CHOOSE(CONTROL!$C$26, $C$13, 100%, $E$13)</f>
        <v>5.2858999999999998</v>
      </c>
      <c r="E346" s="67">
        <f>6.4818 * CHOOSE(CONTROL!$C$26, $C$13, 100%, $E$13)</f>
        <v>6.4817999999999998</v>
      </c>
      <c r="F346" s="67">
        <f>6.4818 * CHOOSE(CONTROL!$C$26, $C$13, 100%, $E$13)</f>
        <v>6.4817999999999998</v>
      </c>
      <c r="G346" s="67">
        <f>6.4885 * CHOOSE(CONTROL!$C$26, $C$13, 100%, $E$13)</f>
        <v>6.4885000000000002</v>
      </c>
      <c r="H346" s="67">
        <f>11.7008* CHOOSE(CONTROL!$C$26, $C$13, 100%, $E$13)</f>
        <v>11.700799999999999</v>
      </c>
      <c r="I346" s="67">
        <f>11.7075 * CHOOSE(CONTROL!$C$26, $C$13, 100%, $E$13)</f>
        <v>11.7075</v>
      </c>
      <c r="J346" s="67">
        <f>6.4818 * CHOOSE(CONTROL!$C$26, $C$13, 100%, $E$13)</f>
        <v>6.4817999999999998</v>
      </c>
      <c r="K346" s="67">
        <f>6.4885 * CHOOSE(CONTROL!$C$26, $C$13, 100%, $E$13)</f>
        <v>6.4885000000000002</v>
      </c>
    </row>
    <row r="347" spans="1:11" ht="15">
      <c r="A347" s="13">
        <v>51683</v>
      </c>
      <c r="B347" s="66">
        <f>5.3669 * CHOOSE(CONTROL!$C$26, $C$13, 100%, $E$13)</f>
        <v>5.3669000000000002</v>
      </c>
      <c r="C347" s="66">
        <f>5.3669 * CHOOSE(CONTROL!$C$26, $C$13, 100%, $E$13)</f>
        <v>5.3669000000000002</v>
      </c>
      <c r="D347" s="66">
        <f>5.3724 * CHOOSE(CONTROL!$C$26, $C$13, 100%, $E$13)</f>
        <v>5.3723999999999998</v>
      </c>
      <c r="E347" s="67">
        <f>6.5916 * CHOOSE(CONTROL!$C$26, $C$13, 100%, $E$13)</f>
        <v>6.5915999999999997</v>
      </c>
      <c r="F347" s="67">
        <f>6.5916 * CHOOSE(CONTROL!$C$26, $C$13, 100%, $E$13)</f>
        <v>6.5915999999999997</v>
      </c>
      <c r="G347" s="67">
        <f>6.5984 * CHOOSE(CONTROL!$C$26, $C$13, 100%, $E$13)</f>
        <v>6.5983999999999998</v>
      </c>
      <c r="H347" s="67">
        <f>11.7252* CHOOSE(CONTROL!$C$26, $C$13, 100%, $E$13)</f>
        <v>11.725199999999999</v>
      </c>
      <c r="I347" s="67">
        <f>11.7319 * CHOOSE(CONTROL!$C$26, $C$13, 100%, $E$13)</f>
        <v>11.7319</v>
      </c>
      <c r="J347" s="67">
        <f>6.5916 * CHOOSE(CONTROL!$C$26, $C$13, 100%, $E$13)</f>
        <v>6.5915999999999997</v>
      </c>
      <c r="K347" s="67">
        <f>6.5984 * CHOOSE(CONTROL!$C$26, $C$13, 100%, $E$13)</f>
        <v>6.5983999999999998</v>
      </c>
    </row>
    <row r="348" spans="1:11" ht="15">
      <c r="A348" s="13">
        <v>51714</v>
      </c>
      <c r="B348" s="66">
        <f>5.3736 * CHOOSE(CONTROL!$C$26, $C$13, 100%, $E$13)</f>
        <v>5.3735999999999997</v>
      </c>
      <c r="C348" s="66">
        <f>5.3736 * CHOOSE(CONTROL!$C$26, $C$13, 100%, $E$13)</f>
        <v>5.3735999999999997</v>
      </c>
      <c r="D348" s="66">
        <f>5.3791 * CHOOSE(CONTROL!$C$26, $C$13, 100%, $E$13)</f>
        <v>5.3791000000000002</v>
      </c>
      <c r="E348" s="67">
        <f>6.4999 * CHOOSE(CONTROL!$C$26, $C$13, 100%, $E$13)</f>
        <v>6.4999000000000002</v>
      </c>
      <c r="F348" s="67">
        <f>6.4999 * CHOOSE(CONTROL!$C$26, $C$13, 100%, $E$13)</f>
        <v>6.4999000000000002</v>
      </c>
      <c r="G348" s="67">
        <f>6.5067 * CHOOSE(CONTROL!$C$26, $C$13, 100%, $E$13)</f>
        <v>6.5067000000000004</v>
      </c>
      <c r="H348" s="67">
        <f>11.7496* CHOOSE(CONTROL!$C$26, $C$13, 100%, $E$13)</f>
        <v>11.749599999999999</v>
      </c>
      <c r="I348" s="67">
        <f>11.7563 * CHOOSE(CONTROL!$C$26, $C$13, 100%, $E$13)</f>
        <v>11.7563</v>
      </c>
      <c r="J348" s="67">
        <f>6.4999 * CHOOSE(CONTROL!$C$26, $C$13, 100%, $E$13)</f>
        <v>6.4999000000000002</v>
      </c>
      <c r="K348" s="67">
        <f>6.5067 * CHOOSE(CONTROL!$C$26, $C$13, 100%, $E$13)</f>
        <v>6.5067000000000004</v>
      </c>
    </row>
    <row r="349" spans="1:11" ht="15">
      <c r="A349" s="13">
        <v>51745</v>
      </c>
      <c r="B349" s="66">
        <f>5.3705 * CHOOSE(CONTROL!$C$26, $C$13, 100%, $E$13)</f>
        <v>5.3704999999999998</v>
      </c>
      <c r="C349" s="66">
        <f>5.3705 * CHOOSE(CONTROL!$C$26, $C$13, 100%, $E$13)</f>
        <v>5.3704999999999998</v>
      </c>
      <c r="D349" s="66">
        <f>5.376 * CHOOSE(CONTROL!$C$26, $C$13, 100%, $E$13)</f>
        <v>5.3760000000000003</v>
      </c>
      <c r="E349" s="67">
        <f>6.4871 * CHOOSE(CONTROL!$C$26, $C$13, 100%, $E$13)</f>
        <v>6.4870999999999999</v>
      </c>
      <c r="F349" s="67">
        <f>6.4871 * CHOOSE(CONTROL!$C$26, $C$13, 100%, $E$13)</f>
        <v>6.4870999999999999</v>
      </c>
      <c r="G349" s="67">
        <f>6.4938 * CHOOSE(CONTROL!$C$26, $C$13, 100%, $E$13)</f>
        <v>6.4938000000000002</v>
      </c>
      <c r="H349" s="67">
        <f>11.7741* CHOOSE(CONTROL!$C$26, $C$13, 100%, $E$13)</f>
        <v>11.774100000000001</v>
      </c>
      <c r="I349" s="67">
        <f>11.7808 * CHOOSE(CONTROL!$C$26, $C$13, 100%, $E$13)</f>
        <v>11.780799999999999</v>
      </c>
      <c r="J349" s="67">
        <f>6.4871 * CHOOSE(CONTROL!$C$26, $C$13, 100%, $E$13)</f>
        <v>6.4870999999999999</v>
      </c>
      <c r="K349" s="67">
        <f>6.4938 * CHOOSE(CONTROL!$C$26, $C$13, 100%, $E$13)</f>
        <v>6.4938000000000002</v>
      </c>
    </row>
    <row r="350" spans="1:11" ht="15">
      <c r="A350" s="13">
        <v>51775</v>
      </c>
      <c r="B350" s="66">
        <f>5.3701 * CHOOSE(CONTROL!$C$26, $C$13, 100%, $E$13)</f>
        <v>5.3700999999999999</v>
      </c>
      <c r="C350" s="66">
        <f>5.3701 * CHOOSE(CONTROL!$C$26, $C$13, 100%, $E$13)</f>
        <v>5.3700999999999999</v>
      </c>
      <c r="D350" s="66">
        <f>5.374 * CHOOSE(CONTROL!$C$26, $C$13, 100%, $E$13)</f>
        <v>5.3739999999999997</v>
      </c>
      <c r="E350" s="67">
        <f>6.5165 * CHOOSE(CONTROL!$C$26, $C$13, 100%, $E$13)</f>
        <v>6.5164999999999997</v>
      </c>
      <c r="F350" s="67">
        <f>6.5165 * CHOOSE(CONTROL!$C$26, $C$13, 100%, $E$13)</f>
        <v>6.5164999999999997</v>
      </c>
      <c r="G350" s="67">
        <f>6.5213 * CHOOSE(CONTROL!$C$26, $C$13, 100%, $E$13)</f>
        <v>6.5213000000000001</v>
      </c>
      <c r="H350" s="67">
        <f>11.7986* CHOOSE(CONTROL!$C$26, $C$13, 100%, $E$13)</f>
        <v>11.7986</v>
      </c>
      <c r="I350" s="67">
        <f>11.8034 * CHOOSE(CONTROL!$C$26, $C$13, 100%, $E$13)</f>
        <v>11.8034</v>
      </c>
      <c r="J350" s="67">
        <f>6.5165 * CHOOSE(CONTROL!$C$26, $C$13, 100%, $E$13)</f>
        <v>6.5164999999999997</v>
      </c>
      <c r="K350" s="67">
        <f>6.5213 * CHOOSE(CONTROL!$C$26, $C$13, 100%, $E$13)</f>
        <v>6.5213000000000001</v>
      </c>
    </row>
    <row r="351" spans="1:11" ht="15">
      <c r="A351" s="13">
        <v>51806</v>
      </c>
      <c r="B351" s="66">
        <f>5.3732 * CHOOSE(CONTROL!$C$26, $C$13, 100%, $E$13)</f>
        <v>5.3731999999999998</v>
      </c>
      <c r="C351" s="66">
        <f>5.3732 * CHOOSE(CONTROL!$C$26, $C$13, 100%, $E$13)</f>
        <v>5.3731999999999998</v>
      </c>
      <c r="D351" s="66">
        <f>5.377 * CHOOSE(CONTROL!$C$26, $C$13, 100%, $E$13)</f>
        <v>5.3769999999999998</v>
      </c>
      <c r="E351" s="67">
        <f>6.54 * CHOOSE(CONTROL!$C$26, $C$13, 100%, $E$13)</f>
        <v>6.54</v>
      </c>
      <c r="F351" s="67">
        <f>6.54 * CHOOSE(CONTROL!$C$26, $C$13, 100%, $E$13)</f>
        <v>6.54</v>
      </c>
      <c r="G351" s="67">
        <f>6.5448 * CHOOSE(CONTROL!$C$26, $C$13, 100%, $E$13)</f>
        <v>6.5448000000000004</v>
      </c>
      <c r="H351" s="67">
        <f>11.8232* CHOOSE(CONTROL!$C$26, $C$13, 100%, $E$13)</f>
        <v>11.8232</v>
      </c>
      <c r="I351" s="67">
        <f>11.8279 * CHOOSE(CONTROL!$C$26, $C$13, 100%, $E$13)</f>
        <v>11.8279</v>
      </c>
      <c r="J351" s="67">
        <f>6.54 * CHOOSE(CONTROL!$C$26, $C$13, 100%, $E$13)</f>
        <v>6.54</v>
      </c>
      <c r="K351" s="67">
        <f>6.5448 * CHOOSE(CONTROL!$C$26, $C$13, 100%, $E$13)</f>
        <v>6.5448000000000004</v>
      </c>
    </row>
    <row r="352" spans="1:11" ht="15">
      <c r="A352" s="13">
        <v>51836</v>
      </c>
      <c r="B352" s="66">
        <f>5.3732 * CHOOSE(CONTROL!$C$26, $C$13, 100%, $E$13)</f>
        <v>5.3731999999999998</v>
      </c>
      <c r="C352" s="66">
        <f>5.3732 * CHOOSE(CONTROL!$C$26, $C$13, 100%, $E$13)</f>
        <v>5.3731999999999998</v>
      </c>
      <c r="D352" s="66">
        <f>5.377 * CHOOSE(CONTROL!$C$26, $C$13, 100%, $E$13)</f>
        <v>5.3769999999999998</v>
      </c>
      <c r="E352" s="67">
        <f>6.4865 * CHOOSE(CONTROL!$C$26, $C$13, 100%, $E$13)</f>
        <v>6.4865000000000004</v>
      </c>
      <c r="F352" s="67">
        <f>6.4865 * CHOOSE(CONTROL!$C$26, $C$13, 100%, $E$13)</f>
        <v>6.4865000000000004</v>
      </c>
      <c r="G352" s="67">
        <f>6.4913 * CHOOSE(CONTROL!$C$26, $C$13, 100%, $E$13)</f>
        <v>6.4912999999999998</v>
      </c>
      <c r="H352" s="67">
        <f>11.8478* CHOOSE(CONTROL!$C$26, $C$13, 100%, $E$13)</f>
        <v>11.847799999999999</v>
      </c>
      <c r="I352" s="67">
        <f>11.8526 * CHOOSE(CONTROL!$C$26, $C$13, 100%, $E$13)</f>
        <v>11.852600000000001</v>
      </c>
      <c r="J352" s="67">
        <f>6.4865 * CHOOSE(CONTROL!$C$26, $C$13, 100%, $E$13)</f>
        <v>6.4865000000000004</v>
      </c>
      <c r="K352" s="67">
        <f>6.4913 * CHOOSE(CONTROL!$C$26, $C$13, 100%, $E$13)</f>
        <v>6.4912999999999998</v>
      </c>
    </row>
    <row r="353" spans="1:11" ht="15">
      <c r="A353" s="13">
        <v>51867</v>
      </c>
      <c r="B353" s="66">
        <f>5.4207 * CHOOSE(CONTROL!$C$26, $C$13, 100%, $E$13)</f>
        <v>5.4207000000000001</v>
      </c>
      <c r="C353" s="66">
        <f>5.4207 * CHOOSE(CONTROL!$C$26, $C$13, 100%, $E$13)</f>
        <v>5.4207000000000001</v>
      </c>
      <c r="D353" s="66">
        <f>5.4246 * CHOOSE(CONTROL!$C$26, $C$13, 100%, $E$13)</f>
        <v>5.4245999999999999</v>
      </c>
      <c r="E353" s="67">
        <f>6.5785 * CHOOSE(CONTROL!$C$26, $C$13, 100%, $E$13)</f>
        <v>6.5785</v>
      </c>
      <c r="F353" s="67">
        <f>6.5785 * CHOOSE(CONTROL!$C$26, $C$13, 100%, $E$13)</f>
        <v>6.5785</v>
      </c>
      <c r="G353" s="67">
        <f>6.5833 * CHOOSE(CONTROL!$C$26, $C$13, 100%, $E$13)</f>
        <v>6.5833000000000004</v>
      </c>
      <c r="H353" s="67">
        <f>11.8725* CHOOSE(CONTROL!$C$26, $C$13, 100%, $E$13)</f>
        <v>11.8725</v>
      </c>
      <c r="I353" s="67">
        <f>11.8773 * CHOOSE(CONTROL!$C$26, $C$13, 100%, $E$13)</f>
        <v>11.8773</v>
      </c>
      <c r="J353" s="67">
        <f>6.5785 * CHOOSE(CONTROL!$C$26, $C$13, 100%, $E$13)</f>
        <v>6.5785</v>
      </c>
      <c r="K353" s="67">
        <f>6.5833 * CHOOSE(CONTROL!$C$26, $C$13, 100%, $E$13)</f>
        <v>6.5833000000000004</v>
      </c>
    </row>
    <row r="354" spans="1:11" ht="15">
      <c r="A354" s="13">
        <v>51898</v>
      </c>
      <c r="B354" s="66">
        <f>5.4177 * CHOOSE(CONTROL!$C$26, $C$13, 100%, $E$13)</f>
        <v>5.4177</v>
      </c>
      <c r="C354" s="66">
        <f>5.4177 * CHOOSE(CONTROL!$C$26, $C$13, 100%, $E$13)</f>
        <v>5.4177</v>
      </c>
      <c r="D354" s="66">
        <f>5.4216 * CHOOSE(CONTROL!$C$26, $C$13, 100%, $E$13)</f>
        <v>5.4215999999999998</v>
      </c>
      <c r="E354" s="67">
        <f>6.4724 * CHOOSE(CONTROL!$C$26, $C$13, 100%, $E$13)</f>
        <v>6.4724000000000004</v>
      </c>
      <c r="F354" s="67">
        <f>6.4724 * CHOOSE(CONTROL!$C$26, $C$13, 100%, $E$13)</f>
        <v>6.4724000000000004</v>
      </c>
      <c r="G354" s="67">
        <f>6.4772 * CHOOSE(CONTROL!$C$26, $C$13, 100%, $E$13)</f>
        <v>6.4771999999999998</v>
      </c>
      <c r="H354" s="67">
        <f>11.8972* CHOOSE(CONTROL!$C$26, $C$13, 100%, $E$13)</f>
        <v>11.8972</v>
      </c>
      <c r="I354" s="67">
        <f>11.902 * CHOOSE(CONTROL!$C$26, $C$13, 100%, $E$13)</f>
        <v>11.901999999999999</v>
      </c>
      <c r="J354" s="67">
        <f>6.4724 * CHOOSE(CONTROL!$C$26, $C$13, 100%, $E$13)</f>
        <v>6.4724000000000004</v>
      </c>
      <c r="K354" s="67">
        <f>6.4772 * CHOOSE(CONTROL!$C$26, $C$13, 100%, $E$13)</f>
        <v>6.4771999999999998</v>
      </c>
    </row>
    <row r="355" spans="1:11" ht="15">
      <c r="A355" s="13">
        <v>51926</v>
      </c>
      <c r="B355" s="66">
        <f>5.4147 * CHOOSE(CONTROL!$C$26, $C$13, 100%, $E$13)</f>
        <v>5.4146999999999998</v>
      </c>
      <c r="C355" s="66">
        <f>5.4147 * CHOOSE(CONTROL!$C$26, $C$13, 100%, $E$13)</f>
        <v>5.4146999999999998</v>
      </c>
      <c r="D355" s="66">
        <f>5.4185 * CHOOSE(CONTROL!$C$26, $C$13, 100%, $E$13)</f>
        <v>5.4184999999999999</v>
      </c>
      <c r="E355" s="67">
        <f>6.5523 * CHOOSE(CONTROL!$C$26, $C$13, 100%, $E$13)</f>
        <v>6.5522999999999998</v>
      </c>
      <c r="F355" s="67">
        <f>6.5523 * CHOOSE(CONTROL!$C$26, $C$13, 100%, $E$13)</f>
        <v>6.5522999999999998</v>
      </c>
      <c r="G355" s="67">
        <f>6.557 * CHOOSE(CONTROL!$C$26, $C$13, 100%, $E$13)</f>
        <v>6.5570000000000004</v>
      </c>
      <c r="H355" s="67">
        <f>11.922* CHOOSE(CONTROL!$C$26, $C$13, 100%, $E$13)</f>
        <v>11.922000000000001</v>
      </c>
      <c r="I355" s="67">
        <f>11.9268 * CHOOSE(CONTROL!$C$26, $C$13, 100%, $E$13)</f>
        <v>11.9268</v>
      </c>
      <c r="J355" s="67">
        <f>6.5523 * CHOOSE(CONTROL!$C$26, $C$13, 100%, $E$13)</f>
        <v>6.5522999999999998</v>
      </c>
      <c r="K355" s="67">
        <f>6.557 * CHOOSE(CONTROL!$C$26, $C$13, 100%, $E$13)</f>
        <v>6.5570000000000004</v>
      </c>
    </row>
    <row r="356" spans="1:11" ht="15">
      <c r="A356" s="13">
        <v>51957</v>
      </c>
      <c r="B356" s="66">
        <f>5.4135 * CHOOSE(CONTROL!$C$26, $C$13, 100%, $E$13)</f>
        <v>5.4135</v>
      </c>
      <c r="C356" s="66">
        <f>5.4135 * CHOOSE(CONTROL!$C$26, $C$13, 100%, $E$13)</f>
        <v>5.4135</v>
      </c>
      <c r="D356" s="66">
        <f>5.4174 * CHOOSE(CONTROL!$C$26, $C$13, 100%, $E$13)</f>
        <v>5.4173999999999998</v>
      </c>
      <c r="E356" s="67">
        <f>6.6361 * CHOOSE(CONTROL!$C$26, $C$13, 100%, $E$13)</f>
        <v>6.6360999999999999</v>
      </c>
      <c r="F356" s="67">
        <f>6.6361 * CHOOSE(CONTROL!$C$26, $C$13, 100%, $E$13)</f>
        <v>6.6360999999999999</v>
      </c>
      <c r="G356" s="67">
        <f>6.6408 * CHOOSE(CONTROL!$C$26, $C$13, 100%, $E$13)</f>
        <v>6.6407999999999996</v>
      </c>
      <c r="H356" s="67">
        <f>11.9469* CHOOSE(CONTROL!$C$26, $C$13, 100%, $E$13)</f>
        <v>11.946899999999999</v>
      </c>
      <c r="I356" s="67">
        <f>11.9516 * CHOOSE(CONTROL!$C$26, $C$13, 100%, $E$13)</f>
        <v>11.951599999999999</v>
      </c>
      <c r="J356" s="67">
        <f>6.6361 * CHOOSE(CONTROL!$C$26, $C$13, 100%, $E$13)</f>
        <v>6.6360999999999999</v>
      </c>
      <c r="K356" s="67">
        <f>6.6408 * CHOOSE(CONTROL!$C$26, $C$13, 100%, $E$13)</f>
        <v>6.6407999999999996</v>
      </c>
    </row>
    <row r="357" spans="1:11" ht="15">
      <c r="A357" s="13">
        <v>51987</v>
      </c>
      <c r="B357" s="66">
        <f>5.4135 * CHOOSE(CONTROL!$C$26, $C$13, 100%, $E$13)</f>
        <v>5.4135</v>
      </c>
      <c r="C357" s="66">
        <f>5.4135 * CHOOSE(CONTROL!$C$26, $C$13, 100%, $E$13)</f>
        <v>5.4135</v>
      </c>
      <c r="D357" s="66">
        <f>5.419 * CHOOSE(CONTROL!$C$26, $C$13, 100%, $E$13)</f>
        <v>5.4189999999999996</v>
      </c>
      <c r="E357" s="67">
        <f>6.6691 * CHOOSE(CONTROL!$C$26, $C$13, 100%, $E$13)</f>
        <v>6.6691000000000003</v>
      </c>
      <c r="F357" s="67">
        <f>6.6691 * CHOOSE(CONTROL!$C$26, $C$13, 100%, $E$13)</f>
        <v>6.6691000000000003</v>
      </c>
      <c r="G357" s="67">
        <f>6.6758 * CHOOSE(CONTROL!$C$26, $C$13, 100%, $E$13)</f>
        <v>6.6757999999999997</v>
      </c>
      <c r="H357" s="67">
        <f>11.9717* CHOOSE(CONTROL!$C$26, $C$13, 100%, $E$13)</f>
        <v>11.9717</v>
      </c>
      <c r="I357" s="67">
        <f>11.9785 * CHOOSE(CONTROL!$C$26, $C$13, 100%, $E$13)</f>
        <v>11.9785</v>
      </c>
      <c r="J357" s="67">
        <f>6.6691 * CHOOSE(CONTROL!$C$26, $C$13, 100%, $E$13)</f>
        <v>6.6691000000000003</v>
      </c>
      <c r="K357" s="67">
        <f>6.6758 * CHOOSE(CONTROL!$C$26, $C$13, 100%, $E$13)</f>
        <v>6.6757999999999997</v>
      </c>
    </row>
    <row r="358" spans="1:11" ht="15">
      <c r="A358" s="13">
        <v>52018</v>
      </c>
      <c r="B358" s="66">
        <f>5.4196 * CHOOSE(CONTROL!$C$26, $C$13, 100%, $E$13)</f>
        <v>5.4196</v>
      </c>
      <c r="C358" s="66">
        <f>5.4196 * CHOOSE(CONTROL!$C$26, $C$13, 100%, $E$13)</f>
        <v>5.4196</v>
      </c>
      <c r="D358" s="66">
        <f>5.4251 * CHOOSE(CONTROL!$C$26, $C$13, 100%, $E$13)</f>
        <v>5.4250999999999996</v>
      </c>
      <c r="E358" s="67">
        <f>6.6403 * CHOOSE(CONTROL!$C$26, $C$13, 100%, $E$13)</f>
        <v>6.6402999999999999</v>
      </c>
      <c r="F358" s="67">
        <f>6.6403 * CHOOSE(CONTROL!$C$26, $C$13, 100%, $E$13)</f>
        <v>6.6402999999999999</v>
      </c>
      <c r="G358" s="67">
        <f>6.6471 * CHOOSE(CONTROL!$C$26, $C$13, 100%, $E$13)</f>
        <v>6.6471</v>
      </c>
      <c r="H358" s="67">
        <f>11.9967* CHOOSE(CONTROL!$C$26, $C$13, 100%, $E$13)</f>
        <v>11.996700000000001</v>
      </c>
      <c r="I358" s="67">
        <f>12.0034 * CHOOSE(CONTROL!$C$26, $C$13, 100%, $E$13)</f>
        <v>12.003399999999999</v>
      </c>
      <c r="J358" s="67">
        <f>6.6403 * CHOOSE(CONTROL!$C$26, $C$13, 100%, $E$13)</f>
        <v>6.6402999999999999</v>
      </c>
      <c r="K358" s="67">
        <f>6.6471 * CHOOSE(CONTROL!$C$26, $C$13, 100%, $E$13)</f>
        <v>6.6471</v>
      </c>
    </row>
    <row r="359" spans="1:11" ht="15">
      <c r="A359" s="13">
        <v>52048</v>
      </c>
      <c r="B359" s="66">
        <f>5.5082 * CHOOSE(CONTROL!$C$26, $C$13, 100%, $E$13)</f>
        <v>5.5082000000000004</v>
      </c>
      <c r="C359" s="66">
        <f>5.5082 * CHOOSE(CONTROL!$C$26, $C$13, 100%, $E$13)</f>
        <v>5.5082000000000004</v>
      </c>
      <c r="D359" s="66">
        <f>5.5137 * CHOOSE(CONTROL!$C$26, $C$13, 100%, $E$13)</f>
        <v>5.5137</v>
      </c>
      <c r="E359" s="67">
        <f>6.7527 * CHOOSE(CONTROL!$C$26, $C$13, 100%, $E$13)</f>
        <v>6.7526999999999999</v>
      </c>
      <c r="F359" s="67">
        <f>6.7527 * CHOOSE(CONTROL!$C$26, $C$13, 100%, $E$13)</f>
        <v>6.7526999999999999</v>
      </c>
      <c r="G359" s="67">
        <f>6.7595 * CHOOSE(CONTROL!$C$26, $C$13, 100%, $E$13)</f>
        <v>6.7595000000000001</v>
      </c>
      <c r="H359" s="67">
        <f>12.0217* CHOOSE(CONTROL!$C$26, $C$13, 100%, $E$13)</f>
        <v>12.021699999999999</v>
      </c>
      <c r="I359" s="67">
        <f>12.0284 * CHOOSE(CONTROL!$C$26, $C$13, 100%, $E$13)</f>
        <v>12.0284</v>
      </c>
      <c r="J359" s="67">
        <f>6.7527 * CHOOSE(CONTROL!$C$26, $C$13, 100%, $E$13)</f>
        <v>6.7526999999999999</v>
      </c>
      <c r="K359" s="67">
        <f>6.7595 * CHOOSE(CONTROL!$C$26, $C$13, 100%, $E$13)</f>
        <v>6.7595000000000001</v>
      </c>
    </row>
    <row r="360" spans="1:11" ht="15">
      <c r="A360" s="13">
        <v>52079</v>
      </c>
      <c r="B360" s="66">
        <f>5.5149 * CHOOSE(CONTROL!$C$26, $C$13, 100%, $E$13)</f>
        <v>5.5148999999999999</v>
      </c>
      <c r="C360" s="66">
        <f>5.5149 * CHOOSE(CONTROL!$C$26, $C$13, 100%, $E$13)</f>
        <v>5.5148999999999999</v>
      </c>
      <c r="D360" s="66">
        <f>5.5204 * CHOOSE(CONTROL!$C$26, $C$13, 100%, $E$13)</f>
        <v>5.5204000000000004</v>
      </c>
      <c r="E360" s="67">
        <f>6.6583 * CHOOSE(CONTROL!$C$26, $C$13, 100%, $E$13)</f>
        <v>6.6582999999999997</v>
      </c>
      <c r="F360" s="67">
        <f>6.6583 * CHOOSE(CONTROL!$C$26, $C$13, 100%, $E$13)</f>
        <v>6.6582999999999997</v>
      </c>
      <c r="G360" s="67">
        <f>6.6651 * CHOOSE(CONTROL!$C$26, $C$13, 100%, $E$13)</f>
        <v>6.6650999999999998</v>
      </c>
      <c r="H360" s="67">
        <f>12.0467* CHOOSE(CONTROL!$C$26, $C$13, 100%, $E$13)</f>
        <v>12.0467</v>
      </c>
      <c r="I360" s="67">
        <f>12.0535 * CHOOSE(CONTROL!$C$26, $C$13, 100%, $E$13)</f>
        <v>12.0535</v>
      </c>
      <c r="J360" s="67">
        <f>6.6583 * CHOOSE(CONTROL!$C$26, $C$13, 100%, $E$13)</f>
        <v>6.6582999999999997</v>
      </c>
      <c r="K360" s="67">
        <f>6.6651 * CHOOSE(CONTROL!$C$26, $C$13, 100%, $E$13)</f>
        <v>6.6650999999999998</v>
      </c>
    </row>
    <row r="361" spans="1:11" ht="15">
      <c r="A361" s="13">
        <v>52110</v>
      </c>
      <c r="B361" s="66">
        <f>5.5119 * CHOOSE(CONTROL!$C$26, $C$13, 100%, $E$13)</f>
        <v>5.5118999999999998</v>
      </c>
      <c r="C361" s="66">
        <f>5.5119 * CHOOSE(CONTROL!$C$26, $C$13, 100%, $E$13)</f>
        <v>5.5118999999999998</v>
      </c>
      <c r="D361" s="66">
        <f>5.5174 * CHOOSE(CONTROL!$C$26, $C$13, 100%, $E$13)</f>
        <v>5.5174000000000003</v>
      </c>
      <c r="E361" s="67">
        <f>6.6452 * CHOOSE(CONTROL!$C$26, $C$13, 100%, $E$13)</f>
        <v>6.6452</v>
      </c>
      <c r="F361" s="67">
        <f>6.6452 * CHOOSE(CONTROL!$C$26, $C$13, 100%, $E$13)</f>
        <v>6.6452</v>
      </c>
      <c r="G361" s="67">
        <f>6.6519 * CHOOSE(CONTROL!$C$26, $C$13, 100%, $E$13)</f>
        <v>6.6519000000000004</v>
      </c>
      <c r="H361" s="67">
        <f>12.0718* CHOOSE(CONTROL!$C$26, $C$13, 100%, $E$13)</f>
        <v>12.0718</v>
      </c>
      <c r="I361" s="67">
        <f>12.0786 * CHOOSE(CONTROL!$C$26, $C$13, 100%, $E$13)</f>
        <v>12.0786</v>
      </c>
      <c r="J361" s="67">
        <f>6.6452 * CHOOSE(CONTROL!$C$26, $C$13, 100%, $E$13)</f>
        <v>6.6452</v>
      </c>
      <c r="K361" s="67">
        <f>6.6519 * CHOOSE(CONTROL!$C$26, $C$13, 100%, $E$13)</f>
        <v>6.6519000000000004</v>
      </c>
    </row>
    <row r="362" spans="1:11" ht="15">
      <c r="A362" s="13">
        <v>52140</v>
      </c>
      <c r="B362" s="66">
        <f>5.5119 * CHOOSE(CONTROL!$C$26, $C$13, 100%, $E$13)</f>
        <v>5.5118999999999998</v>
      </c>
      <c r="C362" s="66">
        <f>5.5119 * CHOOSE(CONTROL!$C$26, $C$13, 100%, $E$13)</f>
        <v>5.5118999999999998</v>
      </c>
      <c r="D362" s="66">
        <f>5.5158 * CHOOSE(CONTROL!$C$26, $C$13, 100%, $E$13)</f>
        <v>5.5157999999999996</v>
      </c>
      <c r="E362" s="67">
        <f>6.6758 * CHOOSE(CONTROL!$C$26, $C$13, 100%, $E$13)</f>
        <v>6.6757999999999997</v>
      </c>
      <c r="F362" s="67">
        <f>6.6758 * CHOOSE(CONTROL!$C$26, $C$13, 100%, $E$13)</f>
        <v>6.6757999999999997</v>
      </c>
      <c r="G362" s="67">
        <f>6.6806 * CHOOSE(CONTROL!$C$26, $C$13, 100%, $E$13)</f>
        <v>6.6806000000000001</v>
      </c>
      <c r="H362" s="67">
        <f>12.097* CHOOSE(CONTROL!$C$26, $C$13, 100%, $E$13)</f>
        <v>12.097</v>
      </c>
      <c r="I362" s="67">
        <f>12.1017 * CHOOSE(CONTROL!$C$26, $C$13, 100%, $E$13)</f>
        <v>12.101699999999999</v>
      </c>
      <c r="J362" s="67">
        <f>6.6758 * CHOOSE(CONTROL!$C$26, $C$13, 100%, $E$13)</f>
        <v>6.6757999999999997</v>
      </c>
      <c r="K362" s="67">
        <f>6.6806 * CHOOSE(CONTROL!$C$26, $C$13, 100%, $E$13)</f>
        <v>6.6806000000000001</v>
      </c>
    </row>
    <row r="363" spans="1:11" ht="15">
      <c r="A363" s="13">
        <v>52171</v>
      </c>
      <c r="B363" s="66">
        <f>5.515 * CHOOSE(CONTROL!$C$26, $C$13, 100%, $E$13)</f>
        <v>5.5149999999999997</v>
      </c>
      <c r="C363" s="66">
        <f>5.515 * CHOOSE(CONTROL!$C$26, $C$13, 100%, $E$13)</f>
        <v>5.5149999999999997</v>
      </c>
      <c r="D363" s="66">
        <f>5.5188 * CHOOSE(CONTROL!$C$26, $C$13, 100%, $E$13)</f>
        <v>5.5187999999999997</v>
      </c>
      <c r="E363" s="67">
        <f>6.6999 * CHOOSE(CONTROL!$C$26, $C$13, 100%, $E$13)</f>
        <v>6.6999000000000004</v>
      </c>
      <c r="F363" s="67">
        <f>6.6999 * CHOOSE(CONTROL!$C$26, $C$13, 100%, $E$13)</f>
        <v>6.6999000000000004</v>
      </c>
      <c r="G363" s="67">
        <f>6.7047 * CHOOSE(CONTROL!$C$26, $C$13, 100%, $E$13)</f>
        <v>6.7046999999999999</v>
      </c>
      <c r="H363" s="67">
        <f>12.1222* CHOOSE(CONTROL!$C$26, $C$13, 100%, $E$13)</f>
        <v>12.122199999999999</v>
      </c>
      <c r="I363" s="67">
        <f>12.1269 * CHOOSE(CONTROL!$C$26, $C$13, 100%, $E$13)</f>
        <v>12.126899999999999</v>
      </c>
      <c r="J363" s="67">
        <f>6.6999 * CHOOSE(CONTROL!$C$26, $C$13, 100%, $E$13)</f>
        <v>6.6999000000000004</v>
      </c>
      <c r="K363" s="67">
        <f>6.7047 * CHOOSE(CONTROL!$C$26, $C$13, 100%, $E$13)</f>
        <v>6.7046999999999999</v>
      </c>
    </row>
    <row r="364" spans="1:11" ht="15">
      <c r="A364" s="13">
        <v>52201</v>
      </c>
      <c r="B364" s="66">
        <f>5.515 * CHOOSE(CONTROL!$C$26, $C$13, 100%, $E$13)</f>
        <v>5.5149999999999997</v>
      </c>
      <c r="C364" s="66">
        <f>5.515 * CHOOSE(CONTROL!$C$26, $C$13, 100%, $E$13)</f>
        <v>5.5149999999999997</v>
      </c>
      <c r="D364" s="66">
        <f>5.5188 * CHOOSE(CONTROL!$C$26, $C$13, 100%, $E$13)</f>
        <v>5.5187999999999997</v>
      </c>
      <c r="E364" s="67">
        <f>6.6449 * CHOOSE(CONTROL!$C$26, $C$13, 100%, $E$13)</f>
        <v>6.6448999999999998</v>
      </c>
      <c r="F364" s="67">
        <f>6.6449 * CHOOSE(CONTROL!$C$26, $C$13, 100%, $E$13)</f>
        <v>6.6448999999999998</v>
      </c>
      <c r="G364" s="67">
        <f>6.6497 * CHOOSE(CONTROL!$C$26, $C$13, 100%, $E$13)</f>
        <v>6.6497000000000002</v>
      </c>
      <c r="H364" s="67">
        <f>12.1474* CHOOSE(CONTROL!$C$26, $C$13, 100%, $E$13)</f>
        <v>12.147399999999999</v>
      </c>
      <c r="I364" s="67">
        <f>12.1522 * CHOOSE(CONTROL!$C$26, $C$13, 100%, $E$13)</f>
        <v>12.152200000000001</v>
      </c>
      <c r="J364" s="67">
        <f>6.6449 * CHOOSE(CONTROL!$C$26, $C$13, 100%, $E$13)</f>
        <v>6.6448999999999998</v>
      </c>
      <c r="K364" s="67">
        <f>6.6497 * CHOOSE(CONTROL!$C$26, $C$13, 100%, $E$13)</f>
        <v>6.6497000000000002</v>
      </c>
    </row>
    <row r="365" spans="1:11" ht="15">
      <c r="A365" s="13">
        <v>52232</v>
      </c>
      <c r="B365" s="66">
        <f>5.5637 * CHOOSE(CONTROL!$C$26, $C$13, 100%, $E$13)</f>
        <v>5.5636999999999999</v>
      </c>
      <c r="C365" s="66">
        <f>5.5637 * CHOOSE(CONTROL!$C$26, $C$13, 100%, $E$13)</f>
        <v>5.5636999999999999</v>
      </c>
      <c r="D365" s="66">
        <f>5.5675 * CHOOSE(CONTROL!$C$26, $C$13, 100%, $E$13)</f>
        <v>5.5674999999999999</v>
      </c>
      <c r="E365" s="67">
        <f>6.7392 * CHOOSE(CONTROL!$C$26, $C$13, 100%, $E$13)</f>
        <v>6.7392000000000003</v>
      </c>
      <c r="F365" s="67">
        <f>6.7392 * CHOOSE(CONTROL!$C$26, $C$13, 100%, $E$13)</f>
        <v>6.7392000000000003</v>
      </c>
      <c r="G365" s="67">
        <f>6.744 * CHOOSE(CONTROL!$C$26, $C$13, 100%, $E$13)</f>
        <v>6.7439999999999998</v>
      </c>
      <c r="H365" s="67">
        <f>12.1727* CHOOSE(CONTROL!$C$26, $C$13, 100%, $E$13)</f>
        <v>12.172700000000001</v>
      </c>
      <c r="I365" s="67">
        <f>12.1775 * CHOOSE(CONTROL!$C$26, $C$13, 100%, $E$13)</f>
        <v>12.1775</v>
      </c>
      <c r="J365" s="67">
        <f>6.7392 * CHOOSE(CONTROL!$C$26, $C$13, 100%, $E$13)</f>
        <v>6.7392000000000003</v>
      </c>
      <c r="K365" s="67">
        <f>6.744 * CHOOSE(CONTROL!$C$26, $C$13, 100%, $E$13)</f>
        <v>6.7439999999999998</v>
      </c>
    </row>
    <row r="366" spans="1:11" ht="15">
      <c r="A366" s="13">
        <v>52263</v>
      </c>
      <c r="B366" s="66">
        <f>5.5606 * CHOOSE(CONTROL!$C$26, $C$13, 100%, $E$13)</f>
        <v>5.5606</v>
      </c>
      <c r="C366" s="66">
        <f>5.5606 * CHOOSE(CONTROL!$C$26, $C$13, 100%, $E$13)</f>
        <v>5.5606</v>
      </c>
      <c r="D366" s="66">
        <f>5.5645 * CHOOSE(CONTROL!$C$26, $C$13, 100%, $E$13)</f>
        <v>5.5644999999999998</v>
      </c>
      <c r="E366" s="67">
        <f>6.6302 * CHOOSE(CONTROL!$C$26, $C$13, 100%, $E$13)</f>
        <v>6.6302000000000003</v>
      </c>
      <c r="F366" s="67">
        <f>6.6302 * CHOOSE(CONTROL!$C$26, $C$13, 100%, $E$13)</f>
        <v>6.6302000000000003</v>
      </c>
      <c r="G366" s="67">
        <f>6.6349 * CHOOSE(CONTROL!$C$26, $C$13, 100%, $E$13)</f>
        <v>6.6349</v>
      </c>
      <c r="H366" s="67">
        <f>12.1981* CHOOSE(CONTROL!$C$26, $C$13, 100%, $E$13)</f>
        <v>12.1981</v>
      </c>
      <c r="I366" s="67">
        <f>12.2029 * CHOOSE(CONTROL!$C$26, $C$13, 100%, $E$13)</f>
        <v>12.2029</v>
      </c>
      <c r="J366" s="67">
        <f>6.6302 * CHOOSE(CONTROL!$C$26, $C$13, 100%, $E$13)</f>
        <v>6.6302000000000003</v>
      </c>
      <c r="K366" s="67">
        <f>6.6349 * CHOOSE(CONTROL!$C$26, $C$13, 100%, $E$13)</f>
        <v>6.6349</v>
      </c>
    </row>
    <row r="367" spans="1:11" ht="15">
      <c r="A367" s="13">
        <v>52291</v>
      </c>
      <c r="B367" s="66">
        <f>5.5576 * CHOOSE(CONTROL!$C$26, $C$13, 100%, $E$13)</f>
        <v>5.5575999999999999</v>
      </c>
      <c r="C367" s="66">
        <f>5.5576 * CHOOSE(CONTROL!$C$26, $C$13, 100%, $E$13)</f>
        <v>5.5575999999999999</v>
      </c>
      <c r="D367" s="66">
        <f>5.5614 * CHOOSE(CONTROL!$C$26, $C$13, 100%, $E$13)</f>
        <v>5.5613999999999999</v>
      </c>
      <c r="E367" s="67">
        <f>6.7123 * CHOOSE(CONTROL!$C$26, $C$13, 100%, $E$13)</f>
        <v>6.7122999999999999</v>
      </c>
      <c r="F367" s="67">
        <f>6.7123 * CHOOSE(CONTROL!$C$26, $C$13, 100%, $E$13)</f>
        <v>6.7122999999999999</v>
      </c>
      <c r="G367" s="67">
        <f>6.7171 * CHOOSE(CONTROL!$C$26, $C$13, 100%, $E$13)</f>
        <v>6.7171000000000003</v>
      </c>
      <c r="H367" s="67">
        <f>12.2235* CHOOSE(CONTROL!$C$26, $C$13, 100%, $E$13)</f>
        <v>12.2235</v>
      </c>
      <c r="I367" s="67">
        <f>12.2283 * CHOOSE(CONTROL!$C$26, $C$13, 100%, $E$13)</f>
        <v>12.228300000000001</v>
      </c>
      <c r="J367" s="67">
        <f>6.7123 * CHOOSE(CONTROL!$C$26, $C$13, 100%, $E$13)</f>
        <v>6.7122999999999999</v>
      </c>
      <c r="K367" s="67">
        <f>6.7171 * CHOOSE(CONTROL!$C$26, $C$13, 100%, $E$13)</f>
        <v>6.7171000000000003</v>
      </c>
    </row>
    <row r="368" spans="1:11" ht="15">
      <c r="A368" s="13">
        <v>52322</v>
      </c>
      <c r="B368" s="66">
        <f>5.5566 * CHOOSE(CONTROL!$C$26, $C$13, 100%, $E$13)</f>
        <v>5.5566000000000004</v>
      </c>
      <c r="C368" s="66">
        <f>5.5566 * CHOOSE(CONTROL!$C$26, $C$13, 100%, $E$13)</f>
        <v>5.5566000000000004</v>
      </c>
      <c r="D368" s="66">
        <f>5.5604 * CHOOSE(CONTROL!$C$26, $C$13, 100%, $E$13)</f>
        <v>5.5603999999999996</v>
      </c>
      <c r="E368" s="67">
        <f>6.7986 * CHOOSE(CONTROL!$C$26, $C$13, 100%, $E$13)</f>
        <v>6.7986000000000004</v>
      </c>
      <c r="F368" s="67">
        <f>6.7986 * CHOOSE(CONTROL!$C$26, $C$13, 100%, $E$13)</f>
        <v>6.7986000000000004</v>
      </c>
      <c r="G368" s="67">
        <f>6.8034 * CHOOSE(CONTROL!$C$26, $C$13, 100%, $E$13)</f>
        <v>6.8033999999999999</v>
      </c>
      <c r="H368" s="67">
        <f>12.249* CHOOSE(CONTROL!$C$26, $C$13, 100%, $E$13)</f>
        <v>12.249000000000001</v>
      </c>
      <c r="I368" s="67">
        <f>12.2537 * CHOOSE(CONTROL!$C$26, $C$13, 100%, $E$13)</f>
        <v>12.2537</v>
      </c>
      <c r="J368" s="67">
        <f>6.7986 * CHOOSE(CONTROL!$C$26, $C$13, 100%, $E$13)</f>
        <v>6.7986000000000004</v>
      </c>
      <c r="K368" s="67">
        <f>6.8034 * CHOOSE(CONTROL!$C$26, $C$13, 100%, $E$13)</f>
        <v>6.8033999999999999</v>
      </c>
    </row>
    <row r="369" spans="1:11" ht="15">
      <c r="A369" s="13">
        <v>52352</v>
      </c>
      <c r="B369" s="66">
        <f>5.5566 * CHOOSE(CONTROL!$C$26, $C$13, 100%, $E$13)</f>
        <v>5.5566000000000004</v>
      </c>
      <c r="C369" s="66">
        <f>5.5566 * CHOOSE(CONTROL!$C$26, $C$13, 100%, $E$13)</f>
        <v>5.5566000000000004</v>
      </c>
      <c r="D369" s="66">
        <f>5.5621 * CHOOSE(CONTROL!$C$26, $C$13, 100%, $E$13)</f>
        <v>5.5621</v>
      </c>
      <c r="E369" s="67">
        <f>6.8326 * CHOOSE(CONTROL!$C$26, $C$13, 100%, $E$13)</f>
        <v>6.8326000000000002</v>
      </c>
      <c r="F369" s="67">
        <f>6.8326 * CHOOSE(CONTROL!$C$26, $C$13, 100%, $E$13)</f>
        <v>6.8326000000000002</v>
      </c>
      <c r="G369" s="67">
        <f>6.8393 * CHOOSE(CONTROL!$C$26, $C$13, 100%, $E$13)</f>
        <v>6.8392999999999997</v>
      </c>
      <c r="H369" s="67">
        <f>12.2745* CHOOSE(CONTROL!$C$26, $C$13, 100%, $E$13)</f>
        <v>12.2745</v>
      </c>
      <c r="I369" s="67">
        <f>12.2812 * CHOOSE(CONTROL!$C$26, $C$13, 100%, $E$13)</f>
        <v>12.2812</v>
      </c>
      <c r="J369" s="67">
        <f>6.8326 * CHOOSE(CONTROL!$C$26, $C$13, 100%, $E$13)</f>
        <v>6.8326000000000002</v>
      </c>
      <c r="K369" s="67">
        <f>6.8393 * CHOOSE(CONTROL!$C$26, $C$13, 100%, $E$13)</f>
        <v>6.8392999999999997</v>
      </c>
    </row>
    <row r="370" spans="1:11" ht="15">
      <c r="A370" s="13">
        <v>52383</v>
      </c>
      <c r="B370" s="66">
        <f>5.5627 * CHOOSE(CONTROL!$C$26, $C$13, 100%, $E$13)</f>
        <v>5.5627000000000004</v>
      </c>
      <c r="C370" s="66">
        <f>5.5627 * CHOOSE(CONTROL!$C$26, $C$13, 100%, $E$13)</f>
        <v>5.5627000000000004</v>
      </c>
      <c r="D370" s="66">
        <f>5.5682 * CHOOSE(CONTROL!$C$26, $C$13, 100%, $E$13)</f>
        <v>5.5682</v>
      </c>
      <c r="E370" s="67">
        <f>6.8029 * CHOOSE(CONTROL!$C$26, $C$13, 100%, $E$13)</f>
        <v>6.8029000000000002</v>
      </c>
      <c r="F370" s="67">
        <f>6.8029 * CHOOSE(CONTROL!$C$26, $C$13, 100%, $E$13)</f>
        <v>6.8029000000000002</v>
      </c>
      <c r="G370" s="67">
        <f>6.8096 * CHOOSE(CONTROL!$C$26, $C$13, 100%, $E$13)</f>
        <v>6.8095999999999997</v>
      </c>
      <c r="H370" s="67">
        <f>12.3001* CHOOSE(CONTROL!$C$26, $C$13, 100%, $E$13)</f>
        <v>12.3001</v>
      </c>
      <c r="I370" s="67">
        <f>12.3068 * CHOOSE(CONTROL!$C$26, $C$13, 100%, $E$13)</f>
        <v>12.306800000000001</v>
      </c>
      <c r="J370" s="67">
        <f>6.8029 * CHOOSE(CONTROL!$C$26, $C$13, 100%, $E$13)</f>
        <v>6.8029000000000002</v>
      </c>
      <c r="K370" s="67">
        <f>6.8096 * CHOOSE(CONTROL!$C$26, $C$13, 100%, $E$13)</f>
        <v>6.8095999999999997</v>
      </c>
    </row>
    <row r="371" spans="1:11" ht="15">
      <c r="A371" s="13">
        <v>52413</v>
      </c>
      <c r="B371" s="66">
        <f>5.6532 * CHOOSE(CONTROL!$C$26, $C$13, 100%, $E$13)</f>
        <v>5.6532</v>
      </c>
      <c r="C371" s="66">
        <f>5.6532 * CHOOSE(CONTROL!$C$26, $C$13, 100%, $E$13)</f>
        <v>5.6532</v>
      </c>
      <c r="D371" s="66">
        <f>5.6587 * CHOOSE(CONTROL!$C$26, $C$13, 100%, $E$13)</f>
        <v>5.6586999999999996</v>
      </c>
      <c r="E371" s="67">
        <f>6.9177 * CHOOSE(CONTROL!$C$26, $C$13, 100%, $E$13)</f>
        <v>6.9177</v>
      </c>
      <c r="F371" s="67">
        <f>6.9177 * CHOOSE(CONTROL!$C$26, $C$13, 100%, $E$13)</f>
        <v>6.9177</v>
      </c>
      <c r="G371" s="67">
        <f>6.9244 * CHOOSE(CONTROL!$C$26, $C$13, 100%, $E$13)</f>
        <v>6.9244000000000003</v>
      </c>
      <c r="H371" s="67">
        <f>12.3257* CHOOSE(CONTROL!$C$26, $C$13, 100%, $E$13)</f>
        <v>12.325699999999999</v>
      </c>
      <c r="I371" s="67">
        <f>12.3324 * CHOOSE(CONTROL!$C$26, $C$13, 100%, $E$13)</f>
        <v>12.3324</v>
      </c>
      <c r="J371" s="67">
        <f>6.9177 * CHOOSE(CONTROL!$C$26, $C$13, 100%, $E$13)</f>
        <v>6.9177</v>
      </c>
      <c r="K371" s="67">
        <f>6.9244 * CHOOSE(CONTROL!$C$26, $C$13, 100%, $E$13)</f>
        <v>6.9244000000000003</v>
      </c>
    </row>
    <row r="372" spans="1:11" ht="15">
      <c r="A372" s="13">
        <v>52444</v>
      </c>
      <c r="B372" s="66">
        <f>5.6599 * CHOOSE(CONTROL!$C$26, $C$13, 100%, $E$13)</f>
        <v>5.6599000000000004</v>
      </c>
      <c r="C372" s="66">
        <f>5.6599 * CHOOSE(CONTROL!$C$26, $C$13, 100%, $E$13)</f>
        <v>5.6599000000000004</v>
      </c>
      <c r="D372" s="66">
        <f>5.6654 * CHOOSE(CONTROL!$C$26, $C$13, 100%, $E$13)</f>
        <v>5.6654</v>
      </c>
      <c r="E372" s="67">
        <f>6.8205 * CHOOSE(CONTROL!$C$26, $C$13, 100%, $E$13)</f>
        <v>6.8205</v>
      </c>
      <c r="F372" s="67">
        <f>6.8205 * CHOOSE(CONTROL!$C$26, $C$13, 100%, $E$13)</f>
        <v>6.8205</v>
      </c>
      <c r="G372" s="67">
        <f>6.8272 * CHOOSE(CONTROL!$C$26, $C$13, 100%, $E$13)</f>
        <v>6.8272000000000004</v>
      </c>
      <c r="H372" s="67">
        <f>12.3514* CHOOSE(CONTROL!$C$26, $C$13, 100%, $E$13)</f>
        <v>12.3514</v>
      </c>
      <c r="I372" s="67">
        <f>12.3581 * CHOOSE(CONTROL!$C$26, $C$13, 100%, $E$13)</f>
        <v>12.3581</v>
      </c>
      <c r="J372" s="67">
        <f>6.8205 * CHOOSE(CONTROL!$C$26, $C$13, 100%, $E$13)</f>
        <v>6.8205</v>
      </c>
      <c r="K372" s="67">
        <f>6.8272 * CHOOSE(CONTROL!$C$26, $C$13, 100%, $E$13)</f>
        <v>6.8272000000000004</v>
      </c>
    </row>
    <row r="373" spans="1:11" ht="15">
      <c r="A373" s="13">
        <v>52475</v>
      </c>
      <c r="B373" s="66">
        <f>5.6569 * CHOOSE(CONTROL!$C$26, $C$13, 100%, $E$13)</f>
        <v>5.6569000000000003</v>
      </c>
      <c r="C373" s="66">
        <f>5.6569 * CHOOSE(CONTROL!$C$26, $C$13, 100%, $E$13)</f>
        <v>5.6569000000000003</v>
      </c>
      <c r="D373" s="66">
        <f>5.6624 * CHOOSE(CONTROL!$C$26, $C$13, 100%, $E$13)</f>
        <v>5.6623999999999999</v>
      </c>
      <c r="E373" s="67">
        <f>6.8071 * CHOOSE(CONTROL!$C$26, $C$13, 100%, $E$13)</f>
        <v>6.8071000000000002</v>
      </c>
      <c r="F373" s="67">
        <f>6.8071 * CHOOSE(CONTROL!$C$26, $C$13, 100%, $E$13)</f>
        <v>6.8071000000000002</v>
      </c>
      <c r="G373" s="67">
        <f>6.8138 * CHOOSE(CONTROL!$C$26, $C$13, 100%, $E$13)</f>
        <v>6.8137999999999996</v>
      </c>
      <c r="H373" s="67">
        <f>12.3771* CHOOSE(CONTROL!$C$26, $C$13, 100%, $E$13)</f>
        <v>12.3771</v>
      </c>
      <c r="I373" s="67">
        <f>12.3838 * CHOOSE(CONTROL!$C$26, $C$13, 100%, $E$13)</f>
        <v>12.383800000000001</v>
      </c>
      <c r="J373" s="67">
        <f>6.8071 * CHOOSE(CONTROL!$C$26, $C$13, 100%, $E$13)</f>
        <v>6.8071000000000002</v>
      </c>
      <c r="K373" s="67">
        <f>6.8138 * CHOOSE(CONTROL!$C$26, $C$13, 100%, $E$13)</f>
        <v>6.8137999999999996</v>
      </c>
    </row>
    <row r="374" spans="1:11" ht="15">
      <c r="A374" s="13">
        <v>52505</v>
      </c>
      <c r="B374" s="66">
        <f>5.6574 * CHOOSE(CONTROL!$C$26, $C$13, 100%, $E$13)</f>
        <v>5.6574</v>
      </c>
      <c r="C374" s="66">
        <f>5.6574 * CHOOSE(CONTROL!$C$26, $C$13, 100%, $E$13)</f>
        <v>5.6574</v>
      </c>
      <c r="D374" s="66">
        <f>5.6613 * CHOOSE(CONTROL!$C$26, $C$13, 100%, $E$13)</f>
        <v>5.6612999999999998</v>
      </c>
      <c r="E374" s="67">
        <f>6.8389 * CHOOSE(CONTROL!$C$26, $C$13, 100%, $E$13)</f>
        <v>6.8388999999999998</v>
      </c>
      <c r="F374" s="67">
        <f>6.8389 * CHOOSE(CONTROL!$C$26, $C$13, 100%, $E$13)</f>
        <v>6.8388999999999998</v>
      </c>
      <c r="G374" s="67">
        <f>6.8437 * CHOOSE(CONTROL!$C$26, $C$13, 100%, $E$13)</f>
        <v>6.8437000000000001</v>
      </c>
      <c r="H374" s="67">
        <f>12.4029* CHOOSE(CONTROL!$C$26, $C$13, 100%, $E$13)</f>
        <v>12.402900000000001</v>
      </c>
      <c r="I374" s="67">
        <f>12.4076 * CHOOSE(CONTROL!$C$26, $C$13, 100%, $E$13)</f>
        <v>12.4076</v>
      </c>
      <c r="J374" s="67">
        <f>6.8389 * CHOOSE(CONTROL!$C$26, $C$13, 100%, $E$13)</f>
        <v>6.8388999999999998</v>
      </c>
      <c r="K374" s="67">
        <f>6.8437 * CHOOSE(CONTROL!$C$26, $C$13, 100%, $E$13)</f>
        <v>6.8437000000000001</v>
      </c>
    </row>
    <row r="375" spans="1:11" ht="15">
      <c r="A375" s="13">
        <v>52536</v>
      </c>
      <c r="B375" s="66">
        <f>5.6605 * CHOOSE(CONTROL!$C$26, $C$13, 100%, $E$13)</f>
        <v>5.6604999999999999</v>
      </c>
      <c r="C375" s="66">
        <f>5.6605 * CHOOSE(CONTROL!$C$26, $C$13, 100%, $E$13)</f>
        <v>5.6604999999999999</v>
      </c>
      <c r="D375" s="66">
        <f>5.6643 * CHOOSE(CONTROL!$C$26, $C$13, 100%, $E$13)</f>
        <v>5.6642999999999999</v>
      </c>
      <c r="E375" s="67">
        <f>6.8636 * CHOOSE(CONTROL!$C$26, $C$13, 100%, $E$13)</f>
        <v>6.8635999999999999</v>
      </c>
      <c r="F375" s="67">
        <f>6.8636 * CHOOSE(CONTROL!$C$26, $C$13, 100%, $E$13)</f>
        <v>6.8635999999999999</v>
      </c>
      <c r="G375" s="67">
        <f>6.8684 * CHOOSE(CONTROL!$C$26, $C$13, 100%, $E$13)</f>
        <v>6.8684000000000003</v>
      </c>
      <c r="H375" s="67">
        <f>12.4287* CHOOSE(CONTROL!$C$26, $C$13, 100%, $E$13)</f>
        <v>12.428699999999999</v>
      </c>
      <c r="I375" s="67">
        <f>12.4335 * CHOOSE(CONTROL!$C$26, $C$13, 100%, $E$13)</f>
        <v>12.4335</v>
      </c>
      <c r="J375" s="67">
        <f>6.8636 * CHOOSE(CONTROL!$C$26, $C$13, 100%, $E$13)</f>
        <v>6.8635999999999999</v>
      </c>
      <c r="K375" s="67">
        <f>6.8684 * CHOOSE(CONTROL!$C$26, $C$13, 100%, $E$13)</f>
        <v>6.8684000000000003</v>
      </c>
    </row>
    <row r="376" spans="1:11" ht="15">
      <c r="A376" s="13">
        <v>52566</v>
      </c>
      <c r="B376" s="66">
        <f>5.6605 * CHOOSE(CONTROL!$C$26, $C$13, 100%, $E$13)</f>
        <v>5.6604999999999999</v>
      </c>
      <c r="C376" s="66">
        <f>5.6605 * CHOOSE(CONTROL!$C$26, $C$13, 100%, $E$13)</f>
        <v>5.6604999999999999</v>
      </c>
      <c r="D376" s="66">
        <f>5.6643 * CHOOSE(CONTROL!$C$26, $C$13, 100%, $E$13)</f>
        <v>5.6642999999999999</v>
      </c>
      <c r="E376" s="67">
        <f>6.8071 * CHOOSE(CONTROL!$C$26, $C$13, 100%, $E$13)</f>
        <v>6.8071000000000002</v>
      </c>
      <c r="F376" s="67">
        <f>6.8071 * CHOOSE(CONTROL!$C$26, $C$13, 100%, $E$13)</f>
        <v>6.8071000000000002</v>
      </c>
      <c r="G376" s="67">
        <f>6.8118 * CHOOSE(CONTROL!$C$26, $C$13, 100%, $E$13)</f>
        <v>6.8117999999999999</v>
      </c>
      <c r="H376" s="67">
        <f>12.4546* CHOOSE(CONTROL!$C$26, $C$13, 100%, $E$13)</f>
        <v>12.454599999999999</v>
      </c>
      <c r="I376" s="67">
        <f>12.4594 * CHOOSE(CONTROL!$C$26, $C$13, 100%, $E$13)</f>
        <v>12.4594</v>
      </c>
      <c r="J376" s="67">
        <f>6.8071 * CHOOSE(CONTROL!$C$26, $C$13, 100%, $E$13)</f>
        <v>6.8071000000000002</v>
      </c>
      <c r="K376" s="67">
        <f>6.8118 * CHOOSE(CONTROL!$C$26, $C$13, 100%, $E$13)</f>
        <v>6.8117999999999999</v>
      </c>
    </row>
    <row r="377" spans="1:11" ht="15">
      <c r="A377" s="13">
        <v>52597</v>
      </c>
      <c r="B377" s="66">
        <f>5.7103 * CHOOSE(CONTROL!$C$26, $C$13, 100%, $E$13)</f>
        <v>5.7103000000000002</v>
      </c>
      <c r="C377" s="66">
        <f>5.7103 * CHOOSE(CONTROL!$C$26, $C$13, 100%, $E$13)</f>
        <v>5.7103000000000002</v>
      </c>
      <c r="D377" s="66">
        <f>5.7142 * CHOOSE(CONTROL!$C$26, $C$13, 100%, $E$13)</f>
        <v>5.7141999999999999</v>
      </c>
      <c r="E377" s="67">
        <f>6.9038 * CHOOSE(CONTROL!$C$26, $C$13, 100%, $E$13)</f>
        <v>6.9038000000000004</v>
      </c>
      <c r="F377" s="67">
        <f>6.9038 * CHOOSE(CONTROL!$C$26, $C$13, 100%, $E$13)</f>
        <v>6.9038000000000004</v>
      </c>
      <c r="G377" s="67">
        <f>6.9085 * CHOOSE(CONTROL!$C$26, $C$13, 100%, $E$13)</f>
        <v>6.9085000000000001</v>
      </c>
      <c r="H377" s="67">
        <f>12.4806* CHOOSE(CONTROL!$C$26, $C$13, 100%, $E$13)</f>
        <v>12.480600000000001</v>
      </c>
      <c r="I377" s="67">
        <f>12.4853 * CHOOSE(CONTROL!$C$26, $C$13, 100%, $E$13)</f>
        <v>12.485300000000001</v>
      </c>
      <c r="J377" s="67">
        <f>6.9038 * CHOOSE(CONTROL!$C$26, $C$13, 100%, $E$13)</f>
        <v>6.9038000000000004</v>
      </c>
      <c r="K377" s="67">
        <f>6.9085 * CHOOSE(CONTROL!$C$26, $C$13, 100%, $E$13)</f>
        <v>6.9085000000000001</v>
      </c>
    </row>
    <row r="378" spans="1:11" ht="15">
      <c r="A378" s="13">
        <v>52628</v>
      </c>
      <c r="B378" s="66">
        <f>5.7073 * CHOOSE(CONTROL!$C$26, $C$13, 100%, $E$13)</f>
        <v>5.7073</v>
      </c>
      <c r="C378" s="66">
        <f>5.7073 * CHOOSE(CONTROL!$C$26, $C$13, 100%, $E$13)</f>
        <v>5.7073</v>
      </c>
      <c r="D378" s="66">
        <f>5.7111 * CHOOSE(CONTROL!$C$26, $C$13, 100%, $E$13)</f>
        <v>5.7111000000000001</v>
      </c>
      <c r="E378" s="67">
        <f>6.7917 * CHOOSE(CONTROL!$C$26, $C$13, 100%, $E$13)</f>
        <v>6.7916999999999996</v>
      </c>
      <c r="F378" s="67">
        <f>6.7917 * CHOOSE(CONTROL!$C$26, $C$13, 100%, $E$13)</f>
        <v>6.7916999999999996</v>
      </c>
      <c r="G378" s="67">
        <f>6.7965 * CHOOSE(CONTROL!$C$26, $C$13, 100%, $E$13)</f>
        <v>6.7965</v>
      </c>
      <c r="H378" s="67">
        <f>12.5066* CHOOSE(CONTROL!$C$26, $C$13, 100%, $E$13)</f>
        <v>12.506600000000001</v>
      </c>
      <c r="I378" s="67">
        <f>12.5113 * CHOOSE(CONTROL!$C$26, $C$13, 100%, $E$13)</f>
        <v>12.5113</v>
      </c>
      <c r="J378" s="67">
        <f>6.7917 * CHOOSE(CONTROL!$C$26, $C$13, 100%, $E$13)</f>
        <v>6.7916999999999996</v>
      </c>
      <c r="K378" s="67">
        <f>6.7965 * CHOOSE(CONTROL!$C$26, $C$13, 100%, $E$13)</f>
        <v>6.7965</v>
      </c>
    </row>
    <row r="379" spans="1:11" ht="15">
      <c r="A379" s="13">
        <v>52657</v>
      </c>
      <c r="B379" s="66">
        <f>5.7042 * CHOOSE(CONTROL!$C$26, $C$13, 100%, $E$13)</f>
        <v>5.7042000000000002</v>
      </c>
      <c r="C379" s="66">
        <f>5.7042 * CHOOSE(CONTROL!$C$26, $C$13, 100%, $E$13)</f>
        <v>5.7042000000000002</v>
      </c>
      <c r="D379" s="66">
        <f>5.7081 * CHOOSE(CONTROL!$C$26, $C$13, 100%, $E$13)</f>
        <v>5.7081</v>
      </c>
      <c r="E379" s="67">
        <f>6.8763 * CHOOSE(CONTROL!$C$26, $C$13, 100%, $E$13)</f>
        <v>6.8762999999999996</v>
      </c>
      <c r="F379" s="67">
        <f>6.8763 * CHOOSE(CONTROL!$C$26, $C$13, 100%, $E$13)</f>
        <v>6.8762999999999996</v>
      </c>
      <c r="G379" s="67">
        <f>6.881 * CHOOSE(CONTROL!$C$26, $C$13, 100%, $E$13)</f>
        <v>6.8810000000000002</v>
      </c>
      <c r="H379" s="67">
        <f>12.5326* CHOOSE(CONTROL!$C$26, $C$13, 100%, $E$13)</f>
        <v>12.5326</v>
      </c>
      <c r="I379" s="67">
        <f>12.5374 * CHOOSE(CONTROL!$C$26, $C$13, 100%, $E$13)</f>
        <v>12.5374</v>
      </c>
      <c r="J379" s="67">
        <f>6.8763 * CHOOSE(CONTROL!$C$26, $C$13, 100%, $E$13)</f>
        <v>6.8762999999999996</v>
      </c>
      <c r="K379" s="67">
        <f>6.881 * CHOOSE(CONTROL!$C$26, $C$13, 100%, $E$13)</f>
        <v>6.8810000000000002</v>
      </c>
    </row>
    <row r="380" spans="1:11" ht="15">
      <c r="A380" s="13">
        <v>52688</v>
      </c>
      <c r="B380" s="66">
        <f>5.7034 * CHOOSE(CONTROL!$C$26, $C$13, 100%, $E$13)</f>
        <v>5.7034000000000002</v>
      </c>
      <c r="C380" s="66">
        <f>5.7034 * CHOOSE(CONTROL!$C$26, $C$13, 100%, $E$13)</f>
        <v>5.7034000000000002</v>
      </c>
      <c r="D380" s="66">
        <f>5.7072 * CHOOSE(CONTROL!$C$26, $C$13, 100%, $E$13)</f>
        <v>5.7072000000000003</v>
      </c>
      <c r="E380" s="67">
        <f>6.9651 * CHOOSE(CONTROL!$C$26, $C$13, 100%, $E$13)</f>
        <v>6.9650999999999996</v>
      </c>
      <c r="F380" s="67">
        <f>6.9651 * CHOOSE(CONTROL!$C$26, $C$13, 100%, $E$13)</f>
        <v>6.9650999999999996</v>
      </c>
      <c r="G380" s="67">
        <f>6.9699 * CHOOSE(CONTROL!$C$26, $C$13, 100%, $E$13)</f>
        <v>6.9699</v>
      </c>
      <c r="H380" s="67">
        <f>12.5587* CHOOSE(CONTROL!$C$26, $C$13, 100%, $E$13)</f>
        <v>12.5587</v>
      </c>
      <c r="I380" s="67">
        <f>12.5635 * CHOOSE(CONTROL!$C$26, $C$13, 100%, $E$13)</f>
        <v>12.563499999999999</v>
      </c>
      <c r="J380" s="67">
        <f>6.9651 * CHOOSE(CONTROL!$C$26, $C$13, 100%, $E$13)</f>
        <v>6.9650999999999996</v>
      </c>
      <c r="K380" s="67">
        <f>6.9699 * CHOOSE(CONTROL!$C$26, $C$13, 100%, $E$13)</f>
        <v>6.9699</v>
      </c>
    </row>
    <row r="381" spans="1:11" ht="15">
      <c r="A381" s="13">
        <v>52718</v>
      </c>
      <c r="B381" s="66">
        <f>5.7034 * CHOOSE(CONTROL!$C$26, $C$13, 100%, $E$13)</f>
        <v>5.7034000000000002</v>
      </c>
      <c r="C381" s="66">
        <f>5.7034 * CHOOSE(CONTROL!$C$26, $C$13, 100%, $E$13)</f>
        <v>5.7034000000000002</v>
      </c>
      <c r="D381" s="66">
        <f>5.7089 * CHOOSE(CONTROL!$C$26, $C$13, 100%, $E$13)</f>
        <v>5.7088999999999999</v>
      </c>
      <c r="E381" s="67">
        <f>7 * CHOOSE(CONTROL!$C$26, $C$13, 100%, $E$13)</f>
        <v>7</v>
      </c>
      <c r="F381" s="67">
        <f>7 * CHOOSE(CONTROL!$C$26, $C$13, 100%, $E$13)</f>
        <v>7</v>
      </c>
      <c r="G381" s="67">
        <f>7.0067 * CHOOSE(CONTROL!$C$26, $C$13, 100%, $E$13)</f>
        <v>7.0067000000000004</v>
      </c>
      <c r="H381" s="67">
        <f>12.5849* CHOOSE(CONTROL!$C$26, $C$13, 100%, $E$13)</f>
        <v>12.584899999999999</v>
      </c>
      <c r="I381" s="67">
        <f>12.5916 * CHOOSE(CONTROL!$C$26, $C$13, 100%, $E$13)</f>
        <v>12.5916</v>
      </c>
      <c r="J381" s="67">
        <f>7 * CHOOSE(CONTROL!$C$26, $C$13, 100%, $E$13)</f>
        <v>7</v>
      </c>
      <c r="K381" s="67">
        <f>7.0067 * CHOOSE(CONTROL!$C$26, $C$13, 100%, $E$13)</f>
        <v>7.0067000000000004</v>
      </c>
    </row>
    <row r="382" spans="1:11" ht="15">
      <c r="A382" s="13">
        <v>52749</v>
      </c>
      <c r="B382" s="66">
        <f>5.7094 * CHOOSE(CONTROL!$C$26, $C$13, 100%, $E$13)</f>
        <v>5.7093999999999996</v>
      </c>
      <c r="C382" s="66">
        <f>5.7094 * CHOOSE(CONTROL!$C$26, $C$13, 100%, $E$13)</f>
        <v>5.7093999999999996</v>
      </c>
      <c r="D382" s="66">
        <f>5.7149 * CHOOSE(CONTROL!$C$26, $C$13, 100%, $E$13)</f>
        <v>5.7149000000000001</v>
      </c>
      <c r="E382" s="67">
        <f>6.9693 * CHOOSE(CONTROL!$C$26, $C$13, 100%, $E$13)</f>
        <v>6.9692999999999996</v>
      </c>
      <c r="F382" s="67">
        <f>6.9693 * CHOOSE(CONTROL!$C$26, $C$13, 100%, $E$13)</f>
        <v>6.9692999999999996</v>
      </c>
      <c r="G382" s="67">
        <f>6.9761 * CHOOSE(CONTROL!$C$26, $C$13, 100%, $E$13)</f>
        <v>6.9760999999999997</v>
      </c>
      <c r="H382" s="67">
        <f>12.6111* CHOOSE(CONTROL!$C$26, $C$13, 100%, $E$13)</f>
        <v>12.6111</v>
      </c>
      <c r="I382" s="67">
        <f>12.6178 * CHOOSE(CONTROL!$C$26, $C$13, 100%, $E$13)</f>
        <v>12.617800000000001</v>
      </c>
      <c r="J382" s="67">
        <f>6.9693 * CHOOSE(CONTROL!$C$26, $C$13, 100%, $E$13)</f>
        <v>6.9692999999999996</v>
      </c>
      <c r="K382" s="67">
        <f>6.9761 * CHOOSE(CONTROL!$C$26, $C$13, 100%, $E$13)</f>
        <v>6.9760999999999997</v>
      </c>
    </row>
    <row r="383" spans="1:11" ht="15">
      <c r="A383" s="13">
        <v>52779</v>
      </c>
      <c r="B383" s="66">
        <f>5.8021 * CHOOSE(CONTROL!$C$26, $C$13, 100%, $E$13)</f>
        <v>5.8021000000000003</v>
      </c>
      <c r="C383" s="66">
        <f>5.8021 * CHOOSE(CONTROL!$C$26, $C$13, 100%, $E$13)</f>
        <v>5.8021000000000003</v>
      </c>
      <c r="D383" s="66">
        <f>5.8076 * CHOOSE(CONTROL!$C$26, $C$13, 100%, $E$13)</f>
        <v>5.8075999999999999</v>
      </c>
      <c r="E383" s="67">
        <f>7.0867 * CHOOSE(CONTROL!$C$26, $C$13, 100%, $E$13)</f>
        <v>7.0867000000000004</v>
      </c>
      <c r="F383" s="67">
        <f>7.0867 * CHOOSE(CONTROL!$C$26, $C$13, 100%, $E$13)</f>
        <v>7.0867000000000004</v>
      </c>
      <c r="G383" s="67">
        <f>7.0935 * CHOOSE(CONTROL!$C$26, $C$13, 100%, $E$13)</f>
        <v>7.0934999999999997</v>
      </c>
      <c r="H383" s="67">
        <f>12.6374* CHOOSE(CONTROL!$C$26, $C$13, 100%, $E$13)</f>
        <v>12.6374</v>
      </c>
      <c r="I383" s="67">
        <f>12.6441 * CHOOSE(CONTROL!$C$26, $C$13, 100%, $E$13)</f>
        <v>12.6441</v>
      </c>
      <c r="J383" s="67">
        <f>7.0867 * CHOOSE(CONTROL!$C$26, $C$13, 100%, $E$13)</f>
        <v>7.0867000000000004</v>
      </c>
      <c r="K383" s="67">
        <f>7.0935 * CHOOSE(CONTROL!$C$26, $C$13, 100%, $E$13)</f>
        <v>7.0934999999999997</v>
      </c>
    </row>
    <row r="384" spans="1:11" ht="15">
      <c r="A384" s="13">
        <v>52810</v>
      </c>
      <c r="B384" s="66">
        <f>5.8088 * CHOOSE(CONTROL!$C$26, $C$13, 100%, $E$13)</f>
        <v>5.8087999999999997</v>
      </c>
      <c r="C384" s="66">
        <f>5.8088 * CHOOSE(CONTROL!$C$26, $C$13, 100%, $E$13)</f>
        <v>5.8087999999999997</v>
      </c>
      <c r="D384" s="66">
        <f>5.8143 * CHOOSE(CONTROL!$C$26, $C$13, 100%, $E$13)</f>
        <v>5.8143000000000002</v>
      </c>
      <c r="E384" s="67">
        <f>6.9867 * CHOOSE(CONTROL!$C$26, $C$13, 100%, $E$13)</f>
        <v>6.9866999999999999</v>
      </c>
      <c r="F384" s="67">
        <f>6.9867 * CHOOSE(CONTROL!$C$26, $C$13, 100%, $E$13)</f>
        <v>6.9866999999999999</v>
      </c>
      <c r="G384" s="67">
        <f>6.9934 * CHOOSE(CONTROL!$C$26, $C$13, 100%, $E$13)</f>
        <v>6.9934000000000003</v>
      </c>
      <c r="H384" s="67">
        <f>12.6637* CHOOSE(CONTROL!$C$26, $C$13, 100%, $E$13)</f>
        <v>12.6637</v>
      </c>
      <c r="I384" s="67">
        <f>12.6704 * CHOOSE(CONTROL!$C$26, $C$13, 100%, $E$13)</f>
        <v>12.670400000000001</v>
      </c>
      <c r="J384" s="67">
        <f>6.9867 * CHOOSE(CONTROL!$C$26, $C$13, 100%, $E$13)</f>
        <v>6.9866999999999999</v>
      </c>
      <c r="K384" s="67">
        <f>6.9934 * CHOOSE(CONTROL!$C$26, $C$13, 100%, $E$13)</f>
        <v>6.9934000000000003</v>
      </c>
    </row>
    <row r="385" spans="1:11" ht="15">
      <c r="A385" s="13">
        <v>52841</v>
      </c>
      <c r="B385" s="66">
        <f>5.8058 * CHOOSE(CONTROL!$C$26, $C$13, 100%, $E$13)</f>
        <v>5.8057999999999996</v>
      </c>
      <c r="C385" s="66">
        <f>5.8058 * CHOOSE(CONTROL!$C$26, $C$13, 100%, $E$13)</f>
        <v>5.8057999999999996</v>
      </c>
      <c r="D385" s="66">
        <f>5.8113 * CHOOSE(CONTROL!$C$26, $C$13, 100%, $E$13)</f>
        <v>5.8113000000000001</v>
      </c>
      <c r="E385" s="67">
        <f>6.9729 * CHOOSE(CONTROL!$C$26, $C$13, 100%, $E$13)</f>
        <v>6.9729000000000001</v>
      </c>
      <c r="F385" s="67">
        <f>6.9729 * CHOOSE(CONTROL!$C$26, $C$13, 100%, $E$13)</f>
        <v>6.9729000000000001</v>
      </c>
      <c r="G385" s="67">
        <f>6.9797 * CHOOSE(CONTROL!$C$26, $C$13, 100%, $E$13)</f>
        <v>6.9797000000000002</v>
      </c>
      <c r="H385" s="67">
        <f>12.6901* CHOOSE(CONTROL!$C$26, $C$13, 100%, $E$13)</f>
        <v>12.690099999999999</v>
      </c>
      <c r="I385" s="67">
        <f>12.6968 * CHOOSE(CONTROL!$C$26, $C$13, 100%, $E$13)</f>
        <v>12.6968</v>
      </c>
      <c r="J385" s="67">
        <f>6.9729 * CHOOSE(CONTROL!$C$26, $C$13, 100%, $E$13)</f>
        <v>6.9729000000000001</v>
      </c>
      <c r="K385" s="67">
        <f>6.9797 * CHOOSE(CONTROL!$C$26, $C$13, 100%, $E$13)</f>
        <v>6.9797000000000002</v>
      </c>
    </row>
    <row r="386" spans="1:11" ht="15">
      <c r="A386" s="13">
        <v>52871</v>
      </c>
      <c r="B386" s="66">
        <f>5.8068 * CHOOSE(CONTROL!$C$26, $C$13, 100%, $E$13)</f>
        <v>5.8068</v>
      </c>
      <c r="C386" s="66">
        <f>5.8068 * CHOOSE(CONTROL!$C$26, $C$13, 100%, $E$13)</f>
        <v>5.8068</v>
      </c>
      <c r="D386" s="66">
        <f>5.8107 * CHOOSE(CONTROL!$C$26, $C$13, 100%, $E$13)</f>
        <v>5.8106999999999998</v>
      </c>
      <c r="E386" s="67">
        <f>7.0061 * CHOOSE(CONTROL!$C$26, $C$13, 100%, $E$13)</f>
        <v>7.0061</v>
      </c>
      <c r="F386" s="67">
        <f>7.0061 * CHOOSE(CONTROL!$C$26, $C$13, 100%, $E$13)</f>
        <v>7.0061</v>
      </c>
      <c r="G386" s="67">
        <f>7.0108 * CHOOSE(CONTROL!$C$26, $C$13, 100%, $E$13)</f>
        <v>7.0107999999999997</v>
      </c>
      <c r="H386" s="67">
        <f>12.7165* CHOOSE(CONTROL!$C$26, $C$13, 100%, $E$13)</f>
        <v>12.7165</v>
      </c>
      <c r="I386" s="67">
        <f>12.7213 * CHOOSE(CONTROL!$C$26, $C$13, 100%, $E$13)</f>
        <v>12.721299999999999</v>
      </c>
      <c r="J386" s="67">
        <f>7.0061 * CHOOSE(CONTROL!$C$26, $C$13, 100%, $E$13)</f>
        <v>7.0061</v>
      </c>
      <c r="K386" s="67">
        <f>7.0108 * CHOOSE(CONTROL!$C$26, $C$13, 100%, $E$13)</f>
        <v>7.0107999999999997</v>
      </c>
    </row>
    <row r="387" spans="1:11" ht="15">
      <c r="A387" s="13">
        <v>52902</v>
      </c>
      <c r="B387" s="66">
        <f>5.8099 * CHOOSE(CONTROL!$C$26, $C$13, 100%, $E$13)</f>
        <v>5.8098999999999998</v>
      </c>
      <c r="C387" s="66">
        <f>5.8099 * CHOOSE(CONTROL!$C$26, $C$13, 100%, $E$13)</f>
        <v>5.8098999999999998</v>
      </c>
      <c r="D387" s="66">
        <f>5.8137 * CHOOSE(CONTROL!$C$26, $C$13, 100%, $E$13)</f>
        <v>5.8136999999999999</v>
      </c>
      <c r="E387" s="67">
        <f>7.0314 * CHOOSE(CONTROL!$C$26, $C$13, 100%, $E$13)</f>
        <v>7.0313999999999997</v>
      </c>
      <c r="F387" s="67">
        <f>7.0314 * CHOOSE(CONTROL!$C$26, $C$13, 100%, $E$13)</f>
        <v>7.0313999999999997</v>
      </c>
      <c r="G387" s="67">
        <f>7.0362 * CHOOSE(CONTROL!$C$26, $C$13, 100%, $E$13)</f>
        <v>7.0362</v>
      </c>
      <c r="H387" s="67">
        <f>12.743* CHOOSE(CONTROL!$C$26, $C$13, 100%, $E$13)</f>
        <v>12.743</v>
      </c>
      <c r="I387" s="67">
        <f>12.7478 * CHOOSE(CONTROL!$C$26, $C$13, 100%, $E$13)</f>
        <v>12.7478</v>
      </c>
      <c r="J387" s="67">
        <f>7.0314 * CHOOSE(CONTROL!$C$26, $C$13, 100%, $E$13)</f>
        <v>7.0313999999999997</v>
      </c>
      <c r="K387" s="67">
        <f>7.0362 * CHOOSE(CONTROL!$C$26, $C$13, 100%, $E$13)</f>
        <v>7.0362</v>
      </c>
    </row>
    <row r="388" spans="1:11" ht="15">
      <c r="A388" s="13">
        <v>52932</v>
      </c>
      <c r="B388" s="66">
        <f>5.8099 * CHOOSE(CONTROL!$C$26, $C$13, 100%, $E$13)</f>
        <v>5.8098999999999998</v>
      </c>
      <c r="C388" s="66">
        <f>5.8099 * CHOOSE(CONTROL!$C$26, $C$13, 100%, $E$13)</f>
        <v>5.8098999999999998</v>
      </c>
      <c r="D388" s="66">
        <f>5.8137 * CHOOSE(CONTROL!$C$26, $C$13, 100%, $E$13)</f>
        <v>5.8136999999999999</v>
      </c>
      <c r="E388" s="67">
        <f>6.9733 * CHOOSE(CONTROL!$C$26, $C$13, 100%, $E$13)</f>
        <v>6.9733000000000001</v>
      </c>
      <c r="F388" s="67">
        <f>6.9733 * CHOOSE(CONTROL!$C$26, $C$13, 100%, $E$13)</f>
        <v>6.9733000000000001</v>
      </c>
      <c r="G388" s="67">
        <f>6.978 * CHOOSE(CONTROL!$C$26, $C$13, 100%, $E$13)</f>
        <v>6.9779999999999998</v>
      </c>
      <c r="H388" s="67">
        <f>12.7696* CHOOSE(CONTROL!$C$26, $C$13, 100%, $E$13)</f>
        <v>12.769600000000001</v>
      </c>
      <c r="I388" s="67">
        <f>12.7743 * CHOOSE(CONTROL!$C$26, $C$13, 100%, $E$13)</f>
        <v>12.7743</v>
      </c>
      <c r="J388" s="67">
        <f>6.9733 * CHOOSE(CONTROL!$C$26, $C$13, 100%, $E$13)</f>
        <v>6.9733000000000001</v>
      </c>
      <c r="K388" s="67">
        <f>6.978 * CHOOSE(CONTROL!$C$26, $C$13, 100%, $E$13)</f>
        <v>6.9779999999999998</v>
      </c>
    </row>
    <row r="389" spans="1:11" ht="15">
      <c r="A389" s="13">
        <v>52963</v>
      </c>
      <c r="B389" s="66">
        <f>5.8609 * CHOOSE(CONTROL!$C$26, $C$13, 100%, $E$13)</f>
        <v>5.8609</v>
      </c>
      <c r="C389" s="66">
        <f>5.8609 * CHOOSE(CONTROL!$C$26, $C$13, 100%, $E$13)</f>
        <v>5.8609</v>
      </c>
      <c r="D389" s="66">
        <f>5.8648 * CHOOSE(CONTROL!$C$26, $C$13, 100%, $E$13)</f>
        <v>5.8647999999999998</v>
      </c>
      <c r="E389" s="67">
        <f>7.0724 * CHOOSE(CONTROL!$C$26, $C$13, 100%, $E$13)</f>
        <v>7.0724</v>
      </c>
      <c r="F389" s="67">
        <f>7.0724 * CHOOSE(CONTROL!$C$26, $C$13, 100%, $E$13)</f>
        <v>7.0724</v>
      </c>
      <c r="G389" s="67">
        <f>7.0772 * CHOOSE(CONTROL!$C$26, $C$13, 100%, $E$13)</f>
        <v>7.0772000000000004</v>
      </c>
      <c r="H389" s="67">
        <f>12.7962* CHOOSE(CONTROL!$C$26, $C$13, 100%, $E$13)</f>
        <v>12.796200000000001</v>
      </c>
      <c r="I389" s="67">
        <f>12.8009 * CHOOSE(CONTROL!$C$26, $C$13, 100%, $E$13)</f>
        <v>12.8009</v>
      </c>
      <c r="J389" s="67">
        <f>7.0724 * CHOOSE(CONTROL!$C$26, $C$13, 100%, $E$13)</f>
        <v>7.0724</v>
      </c>
      <c r="K389" s="67">
        <f>7.0772 * CHOOSE(CONTROL!$C$26, $C$13, 100%, $E$13)</f>
        <v>7.0772000000000004</v>
      </c>
    </row>
    <row r="390" spans="1:11" ht="15">
      <c r="A390" s="13">
        <v>52994</v>
      </c>
      <c r="B390" s="66">
        <f>5.8579 * CHOOSE(CONTROL!$C$26, $C$13, 100%, $E$13)</f>
        <v>5.8578999999999999</v>
      </c>
      <c r="C390" s="66">
        <f>5.8579 * CHOOSE(CONTROL!$C$26, $C$13, 100%, $E$13)</f>
        <v>5.8578999999999999</v>
      </c>
      <c r="D390" s="66">
        <f>5.8618 * CHOOSE(CONTROL!$C$26, $C$13, 100%, $E$13)</f>
        <v>5.8617999999999997</v>
      </c>
      <c r="E390" s="67">
        <f>6.9573 * CHOOSE(CONTROL!$C$26, $C$13, 100%, $E$13)</f>
        <v>6.9573</v>
      </c>
      <c r="F390" s="67">
        <f>6.9573 * CHOOSE(CONTROL!$C$26, $C$13, 100%, $E$13)</f>
        <v>6.9573</v>
      </c>
      <c r="G390" s="67">
        <f>6.9621 * CHOOSE(CONTROL!$C$26, $C$13, 100%, $E$13)</f>
        <v>6.9621000000000004</v>
      </c>
      <c r="H390" s="67">
        <f>12.8228* CHOOSE(CONTROL!$C$26, $C$13, 100%, $E$13)</f>
        <v>12.822800000000001</v>
      </c>
      <c r="I390" s="67">
        <f>12.8276 * CHOOSE(CONTROL!$C$26, $C$13, 100%, $E$13)</f>
        <v>12.8276</v>
      </c>
      <c r="J390" s="67">
        <f>6.9573 * CHOOSE(CONTROL!$C$26, $C$13, 100%, $E$13)</f>
        <v>6.9573</v>
      </c>
      <c r="K390" s="67">
        <f>6.9621 * CHOOSE(CONTROL!$C$26, $C$13, 100%, $E$13)</f>
        <v>6.9621000000000004</v>
      </c>
    </row>
    <row r="391" spans="1:11" ht="15">
      <c r="A391" s="13">
        <v>53022</v>
      </c>
      <c r="B391" s="66">
        <f>5.8548 * CHOOSE(CONTROL!$C$26, $C$13, 100%, $E$13)</f>
        <v>5.8548</v>
      </c>
      <c r="C391" s="66">
        <f>5.8548 * CHOOSE(CONTROL!$C$26, $C$13, 100%, $E$13)</f>
        <v>5.8548</v>
      </c>
      <c r="D391" s="66">
        <f>5.8587 * CHOOSE(CONTROL!$C$26, $C$13, 100%, $E$13)</f>
        <v>5.8586999999999998</v>
      </c>
      <c r="E391" s="67">
        <f>7.0443 * CHOOSE(CONTROL!$C$26, $C$13, 100%, $E$13)</f>
        <v>7.0442999999999998</v>
      </c>
      <c r="F391" s="67">
        <f>7.0443 * CHOOSE(CONTROL!$C$26, $C$13, 100%, $E$13)</f>
        <v>7.0442999999999998</v>
      </c>
      <c r="G391" s="67">
        <f>7.049 * CHOOSE(CONTROL!$C$26, $C$13, 100%, $E$13)</f>
        <v>7.0490000000000004</v>
      </c>
      <c r="H391" s="67">
        <f>12.8495* CHOOSE(CONTROL!$C$26, $C$13, 100%, $E$13)</f>
        <v>12.849500000000001</v>
      </c>
      <c r="I391" s="67">
        <f>12.8543 * CHOOSE(CONTROL!$C$26, $C$13, 100%, $E$13)</f>
        <v>12.8543</v>
      </c>
      <c r="J391" s="67">
        <f>7.0443 * CHOOSE(CONTROL!$C$26, $C$13, 100%, $E$13)</f>
        <v>7.0442999999999998</v>
      </c>
      <c r="K391" s="67">
        <f>7.049 * CHOOSE(CONTROL!$C$26, $C$13, 100%, $E$13)</f>
        <v>7.0490000000000004</v>
      </c>
    </row>
    <row r="392" spans="1:11" ht="15">
      <c r="A392" s="13">
        <v>53053</v>
      </c>
      <c r="B392" s="66">
        <f>5.8541 * CHOOSE(CONTROL!$C$26, $C$13, 100%, $E$13)</f>
        <v>5.8540999999999999</v>
      </c>
      <c r="C392" s="66">
        <f>5.8541 * CHOOSE(CONTROL!$C$26, $C$13, 100%, $E$13)</f>
        <v>5.8540999999999999</v>
      </c>
      <c r="D392" s="66">
        <f>5.858 * CHOOSE(CONTROL!$C$26, $C$13, 100%, $E$13)</f>
        <v>5.8579999999999997</v>
      </c>
      <c r="E392" s="67">
        <f>7.1357 * CHOOSE(CONTROL!$C$26, $C$13, 100%, $E$13)</f>
        <v>7.1356999999999999</v>
      </c>
      <c r="F392" s="67">
        <f>7.1357 * CHOOSE(CONTROL!$C$26, $C$13, 100%, $E$13)</f>
        <v>7.1356999999999999</v>
      </c>
      <c r="G392" s="67">
        <f>7.1405 * CHOOSE(CONTROL!$C$26, $C$13, 100%, $E$13)</f>
        <v>7.1405000000000003</v>
      </c>
      <c r="H392" s="67">
        <f>12.8763* CHOOSE(CONTROL!$C$26, $C$13, 100%, $E$13)</f>
        <v>12.876300000000001</v>
      </c>
      <c r="I392" s="67">
        <f>12.8811 * CHOOSE(CONTROL!$C$26, $C$13, 100%, $E$13)</f>
        <v>12.8811</v>
      </c>
      <c r="J392" s="67">
        <f>7.1357 * CHOOSE(CONTROL!$C$26, $C$13, 100%, $E$13)</f>
        <v>7.1356999999999999</v>
      </c>
      <c r="K392" s="67">
        <f>7.1405 * CHOOSE(CONTROL!$C$26, $C$13, 100%, $E$13)</f>
        <v>7.1405000000000003</v>
      </c>
    </row>
    <row r="393" spans="1:11" ht="15">
      <c r="A393" s="13">
        <v>53083</v>
      </c>
      <c r="B393" s="66">
        <f>5.8541 * CHOOSE(CONTROL!$C$26, $C$13, 100%, $E$13)</f>
        <v>5.8540999999999999</v>
      </c>
      <c r="C393" s="66">
        <f>5.8541 * CHOOSE(CONTROL!$C$26, $C$13, 100%, $E$13)</f>
        <v>5.8540999999999999</v>
      </c>
      <c r="D393" s="66">
        <f>5.8596 * CHOOSE(CONTROL!$C$26, $C$13, 100%, $E$13)</f>
        <v>5.8596000000000004</v>
      </c>
      <c r="E393" s="67">
        <f>7.1716 * CHOOSE(CONTROL!$C$26, $C$13, 100%, $E$13)</f>
        <v>7.1715999999999998</v>
      </c>
      <c r="F393" s="67">
        <f>7.1716 * CHOOSE(CONTROL!$C$26, $C$13, 100%, $E$13)</f>
        <v>7.1715999999999998</v>
      </c>
      <c r="G393" s="67">
        <f>7.1783 * CHOOSE(CONTROL!$C$26, $C$13, 100%, $E$13)</f>
        <v>7.1783000000000001</v>
      </c>
      <c r="H393" s="67">
        <f>12.9031* CHOOSE(CONTROL!$C$26, $C$13, 100%, $E$13)</f>
        <v>12.9031</v>
      </c>
      <c r="I393" s="67">
        <f>12.9099 * CHOOSE(CONTROL!$C$26, $C$13, 100%, $E$13)</f>
        <v>12.9099</v>
      </c>
      <c r="J393" s="67">
        <f>7.1716 * CHOOSE(CONTROL!$C$26, $C$13, 100%, $E$13)</f>
        <v>7.1715999999999998</v>
      </c>
      <c r="K393" s="67">
        <f>7.1783 * CHOOSE(CONTROL!$C$26, $C$13, 100%, $E$13)</f>
        <v>7.1783000000000001</v>
      </c>
    </row>
    <row r="394" spans="1:11" ht="15">
      <c r="A394" s="13">
        <v>53114</v>
      </c>
      <c r="B394" s="66">
        <f>5.8602 * CHOOSE(CONTROL!$C$26, $C$13, 100%, $E$13)</f>
        <v>5.8601999999999999</v>
      </c>
      <c r="C394" s="66">
        <f>5.8602 * CHOOSE(CONTROL!$C$26, $C$13, 100%, $E$13)</f>
        <v>5.8601999999999999</v>
      </c>
      <c r="D394" s="66">
        <f>5.8657 * CHOOSE(CONTROL!$C$26, $C$13, 100%, $E$13)</f>
        <v>5.8657000000000004</v>
      </c>
      <c r="E394" s="67">
        <f>7.1399 * CHOOSE(CONTROL!$C$26, $C$13, 100%, $E$13)</f>
        <v>7.1398999999999999</v>
      </c>
      <c r="F394" s="67">
        <f>7.1399 * CHOOSE(CONTROL!$C$26, $C$13, 100%, $E$13)</f>
        <v>7.1398999999999999</v>
      </c>
      <c r="G394" s="67">
        <f>7.1467 * CHOOSE(CONTROL!$C$26, $C$13, 100%, $E$13)</f>
        <v>7.1467000000000001</v>
      </c>
      <c r="H394" s="67">
        <f>12.93* CHOOSE(CONTROL!$C$26, $C$13, 100%, $E$13)</f>
        <v>12.93</v>
      </c>
      <c r="I394" s="67">
        <f>12.9368 * CHOOSE(CONTROL!$C$26, $C$13, 100%, $E$13)</f>
        <v>12.9368</v>
      </c>
      <c r="J394" s="67">
        <f>7.1399 * CHOOSE(CONTROL!$C$26, $C$13, 100%, $E$13)</f>
        <v>7.1398999999999999</v>
      </c>
      <c r="K394" s="67">
        <f>7.1467 * CHOOSE(CONTROL!$C$26, $C$13, 100%, $E$13)</f>
        <v>7.1467000000000001</v>
      </c>
    </row>
    <row r="395" spans="1:11" ht="15">
      <c r="A395" s="13">
        <v>53144</v>
      </c>
      <c r="B395" s="66">
        <f>5.955 * CHOOSE(CONTROL!$C$26, $C$13, 100%, $E$13)</f>
        <v>5.9550000000000001</v>
      </c>
      <c r="C395" s="66">
        <f>5.955 * CHOOSE(CONTROL!$C$26, $C$13, 100%, $E$13)</f>
        <v>5.9550000000000001</v>
      </c>
      <c r="D395" s="66">
        <f>5.9605 * CHOOSE(CONTROL!$C$26, $C$13, 100%, $E$13)</f>
        <v>5.9604999999999997</v>
      </c>
      <c r="E395" s="67">
        <f>7.2599 * CHOOSE(CONTROL!$C$26, $C$13, 100%, $E$13)</f>
        <v>7.2599</v>
      </c>
      <c r="F395" s="67">
        <f>7.2599 * CHOOSE(CONTROL!$C$26, $C$13, 100%, $E$13)</f>
        <v>7.2599</v>
      </c>
      <c r="G395" s="67">
        <f>7.2666 * CHOOSE(CONTROL!$C$26, $C$13, 100%, $E$13)</f>
        <v>7.2666000000000004</v>
      </c>
      <c r="H395" s="67">
        <f>12.957* CHOOSE(CONTROL!$C$26, $C$13, 100%, $E$13)</f>
        <v>12.957000000000001</v>
      </c>
      <c r="I395" s="67">
        <f>12.9637 * CHOOSE(CONTROL!$C$26, $C$13, 100%, $E$13)</f>
        <v>12.963699999999999</v>
      </c>
      <c r="J395" s="67">
        <f>7.2599 * CHOOSE(CONTROL!$C$26, $C$13, 100%, $E$13)</f>
        <v>7.2599</v>
      </c>
      <c r="K395" s="67">
        <f>7.2666 * CHOOSE(CONTROL!$C$26, $C$13, 100%, $E$13)</f>
        <v>7.2666000000000004</v>
      </c>
    </row>
    <row r="396" spans="1:11" ht="15">
      <c r="A396" s="13">
        <v>53175</v>
      </c>
      <c r="B396" s="66">
        <f>5.9617 * CHOOSE(CONTROL!$C$26, $C$13, 100%, $E$13)</f>
        <v>5.9617000000000004</v>
      </c>
      <c r="C396" s="66">
        <f>5.9617 * CHOOSE(CONTROL!$C$26, $C$13, 100%, $E$13)</f>
        <v>5.9617000000000004</v>
      </c>
      <c r="D396" s="66">
        <f>5.9672 * CHOOSE(CONTROL!$C$26, $C$13, 100%, $E$13)</f>
        <v>5.9672000000000001</v>
      </c>
      <c r="E396" s="67">
        <f>7.1569 * CHOOSE(CONTROL!$C$26, $C$13, 100%, $E$13)</f>
        <v>7.1569000000000003</v>
      </c>
      <c r="F396" s="67">
        <f>7.1569 * CHOOSE(CONTROL!$C$26, $C$13, 100%, $E$13)</f>
        <v>7.1569000000000003</v>
      </c>
      <c r="G396" s="67">
        <f>7.1637 * CHOOSE(CONTROL!$C$26, $C$13, 100%, $E$13)</f>
        <v>7.1637000000000004</v>
      </c>
      <c r="H396" s="67">
        <f>12.984* CHOOSE(CONTROL!$C$26, $C$13, 100%, $E$13)</f>
        <v>12.984</v>
      </c>
      <c r="I396" s="67">
        <f>12.9907 * CHOOSE(CONTROL!$C$26, $C$13, 100%, $E$13)</f>
        <v>12.9907</v>
      </c>
      <c r="J396" s="67">
        <f>7.1569 * CHOOSE(CONTROL!$C$26, $C$13, 100%, $E$13)</f>
        <v>7.1569000000000003</v>
      </c>
      <c r="K396" s="67">
        <f>7.1637 * CHOOSE(CONTROL!$C$26, $C$13, 100%, $E$13)</f>
        <v>7.1637000000000004</v>
      </c>
    </row>
    <row r="397" spans="1:11" ht="15">
      <c r="A397" s="13">
        <v>53206</v>
      </c>
      <c r="B397" s="66">
        <f>5.9586 * CHOOSE(CONTROL!$C$26, $C$13, 100%, $E$13)</f>
        <v>5.9585999999999997</v>
      </c>
      <c r="C397" s="66">
        <f>5.9586 * CHOOSE(CONTROL!$C$26, $C$13, 100%, $E$13)</f>
        <v>5.9585999999999997</v>
      </c>
      <c r="D397" s="66">
        <f>5.9641 * CHOOSE(CONTROL!$C$26, $C$13, 100%, $E$13)</f>
        <v>5.9641000000000002</v>
      </c>
      <c r="E397" s="67">
        <f>7.1429 * CHOOSE(CONTROL!$C$26, $C$13, 100%, $E$13)</f>
        <v>7.1429</v>
      </c>
      <c r="F397" s="67">
        <f>7.1429 * CHOOSE(CONTROL!$C$26, $C$13, 100%, $E$13)</f>
        <v>7.1429</v>
      </c>
      <c r="G397" s="67">
        <f>7.1496 * CHOOSE(CONTROL!$C$26, $C$13, 100%, $E$13)</f>
        <v>7.1496000000000004</v>
      </c>
      <c r="H397" s="67">
        <f>13.011* CHOOSE(CONTROL!$C$26, $C$13, 100%, $E$13)</f>
        <v>13.010999999999999</v>
      </c>
      <c r="I397" s="67">
        <f>13.0177 * CHOOSE(CONTROL!$C$26, $C$13, 100%, $E$13)</f>
        <v>13.0177</v>
      </c>
      <c r="J397" s="67">
        <f>7.1429 * CHOOSE(CONTROL!$C$26, $C$13, 100%, $E$13)</f>
        <v>7.1429</v>
      </c>
      <c r="K397" s="67">
        <f>7.1496 * CHOOSE(CONTROL!$C$26, $C$13, 100%, $E$13)</f>
        <v>7.1496000000000004</v>
      </c>
    </row>
    <row r="398" spans="1:11" ht="15">
      <c r="A398" s="13">
        <v>53236</v>
      </c>
      <c r="B398" s="66">
        <f>5.9602 * CHOOSE(CONTROL!$C$26, $C$13, 100%, $E$13)</f>
        <v>5.9602000000000004</v>
      </c>
      <c r="C398" s="66">
        <f>5.9602 * CHOOSE(CONTROL!$C$26, $C$13, 100%, $E$13)</f>
        <v>5.9602000000000004</v>
      </c>
      <c r="D398" s="66">
        <f>5.9641 * CHOOSE(CONTROL!$C$26, $C$13, 100%, $E$13)</f>
        <v>5.9641000000000002</v>
      </c>
      <c r="E398" s="67">
        <f>7.1773 * CHOOSE(CONTROL!$C$26, $C$13, 100%, $E$13)</f>
        <v>7.1772999999999998</v>
      </c>
      <c r="F398" s="67">
        <f>7.1773 * CHOOSE(CONTROL!$C$26, $C$13, 100%, $E$13)</f>
        <v>7.1772999999999998</v>
      </c>
      <c r="G398" s="67">
        <f>7.182 * CHOOSE(CONTROL!$C$26, $C$13, 100%, $E$13)</f>
        <v>7.1820000000000004</v>
      </c>
      <c r="H398" s="67">
        <f>13.0381* CHOOSE(CONTROL!$C$26, $C$13, 100%, $E$13)</f>
        <v>13.0381</v>
      </c>
      <c r="I398" s="67">
        <f>13.0429 * CHOOSE(CONTROL!$C$26, $C$13, 100%, $E$13)</f>
        <v>13.042899999999999</v>
      </c>
      <c r="J398" s="67">
        <f>7.1773 * CHOOSE(CONTROL!$C$26, $C$13, 100%, $E$13)</f>
        <v>7.1772999999999998</v>
      </c>
      <c r="K398" s="67">
        <f>7.182 * CHOOSE(CONTROL!$C$26, $C$13, 100%, $E$13)</f>
        <v>7.1820000000000004</v>
      </c>
    </row>
    <row r="399" spans="1:11" ht="15">
      <c r="A399" s="13">
        <v>53267</v>
      </c>
      <c r="B399" s="66">
        <f>5.9632 * CHOOSE(CONTROL!$C$26, $C$13, 100%, $E$13)</f>
        <v>5.9631999999999996</v>
      </c>
      <c r="C399" s="66">
        <f>5.9632 * CHOOSE(CONTROL!$C$26, $C$13, 100%, $E$13)</f>
        <v>5.9631999999999996</v>
      </c>
      <c r="D399" s="66">
        <f>5.9671 * CHOOSE(CONTROL!$C$26, $C$13, 100%, $E$13)</f>
        <v>5.9671000000000003</v>
      </c>
      <c r="E399" s="67">
        <f>7.2033 * CHOOSE(CONTROL!$C$26, $C$13, 100%, $E$13)</f>
        <v>7.2032999999999996</v>
      </c>
      <c r="F399" s="67">
        <f>7.2033 * CHOOSE(CONTROL!$C$26, $C$13, 100%, $E$13)</f>
        <v>7.2032999999999996</v>
      </c>
      <c r="G399" s="67">
        <f>7.2081 * CHOOSE(CONTROL!$C$26, $C$13, 100%, $E$13)</f>
        <v>7.2081</v>
      </c>
      <c r="H399" s="67">
        <f>13.0653* CHOOSE(CONTROL!$C$26, $C$13, 100%, $E$13)</f>
        <v>13.065300000000001</v>
      </c>
      <c r="I399" s="67">
        <f>13.07 * CHOOSE(CONTROL!$C$26, $C$13, 100%, $E$13)</f>
        <v>13.07</v>
      </c>
      <c r="J399" s="67">
        <f>7.2033 * CHOOSE(CONTROL!$C$26, $C$13, 100%, $E$13)</f>
        <v>7.2032999999999996</v>
      </c>
      <c r="K399" s="67">
        <f>7.2081 * CHOOSE(CONTROL!$C$26, $C$13, 100%, $E$13)</f>
        <v>7.2081</v>
      </c>
    </row>
    <row r="400" spans="1:11" ht="15">
      <c r="A400" s="13">
        <v>53297</v>
      </c>
      <c r="B400" s="66">
        <f>5.9632 * CHOOSE(CONTROL!$C$26, $C$13, 100%, $E$13)</f>
        <v>5.9631999999999996</v>
      </c>
      <c r="C400" s="66">
        <f>5.9632 * CHOOSE(CONTROL!$C$26, $C$13, 100%, $E$13)</f>
        <v>5.9631999999999996</v>
      </c>
      <c r="D400" s="66">
        <f>5.9671 * CHOOSE(CONTROL!$C$26, $C$13, 100%, $E$13)</f>
        <v>5.9671000000000003</v>
      </c>
      <c r="E400" s="67">
        <f>7.1435 * CHOOSE(CONTROL!$C$26, $C$13, 100%, $E$13)</f>
        <v>7.1435000000000004</v>
      </c>
      <c r="F400" s="67">
        <f>7.1435 * CHOOSE(CONTROL!$C$26, $C$13, 100%, $E$13)</f>
        <v>7.1435000000000004</v>
      </c>
      <c r="G400" s="67">
        <f>7.1483 * CHOOSE(CONTROL!$C$26, $C$13, 100%, $E$13)</f>
        <v>7.1482999999999999</v>
      </c>
      <c r="H400" s="67">
        <f>13.0925* CHOOSE(CONTROL!$C$26, $C$13, 100%, $E$13)</f>
        <v>13.092499999999999</v>
      </c>
      <c r="I400" s="67">
        <f>13.0973 * CHOOSE(CONTROL!$C$26, $C$13, 100%, $E$13)</f>
        <v>13.097300000000001</v>
      </c>
      <c r="J400" s="67">
        <f>7.1435 * CHOOSE(CONTROL!$C$26, $C$13, 100%, $E$13)</f>
        <v>7.1435000000000004</v>
      </c>
      <c r="K400" s="67">
        <f>7.1483 * CHOOSE(CONTROL!$C$26, $C$13, 100%, $E$13)</f>
        <v>7.1482999999999999</v>
      </c>
    </row>
    <row r="401" spans="1:11" ht="15">
      <c r="A401" s="13">
        <v>53328</v>
      </c>
      <c r="B401" s="66">
        <f>6.0155 * CHOOSE(CONTROL!$C$26, $C$13, 100%, $E$13)</f>
        <v>6.0155000000000003</v>
      </c>
      <c r="C401" s="66">
        <f>6.0155 * CHOOSE(CONTROL!$C$26, $C$13, 100%, $E$13)</f>
        <v>6.0155000000000003</v>
      </c>
      <c r="D401" s="66">
        <f>6.0194 * CHOOSE(CONTROL!$C$26, $C$13, 100%, $E$13)</f>
        <v>6.0194000000000001</v>
      </c>
      <c r="E401" s="67">
        <f>7.2452 * CHOOSE(CONTROL!$C$26, $C$13, 100%, $E$13)</f>
        <v>7.2451999999999996</v>
      </c>
      <c r="F401" s="67">
        <f>7.2452 * CHOOSE(CONTROL!$C$26, $C$13, 100%, $E$13)</f>
        <v>7.2451999999999996</v>
      </c>
      <c r="G401" s="67">
        <f>7.25 * CHOOSE(CONTROL!$C$26, $C$13, 100%, $E$13)</f>
        <v>7.25</v>
      </c>
      <c r="H401" s="67">
        <f>13.1198* CHOOSE(CONTROL!$C$26, $C$13, 100%, $E$13)</f>
        <v>13.1198</v>
      </c>
      <c r="I401" s="67">
        <f>13.1245 * CHOOSE(CONTROL!$C$26, $C$13, 100%, $E$13)</f>
        <v>13.124499999999999</v>
      </c>
      <c r="J401" s="67">
        <f>7.2452 * CHOOSE(CONTROL!$C$26, $C$13, 100%, $E$13)</f>
        <v>7.2451999999999996</v>
      </c>
      <c r="K401" s="67">
        <f>7.25 * CHOOSE(CONTROL!$C$26, $C$13, 100%, $E$13)</f>
        <v>7.25</v>
      </c>
    </row>
    <row r="402" spans="1:11" ht="15">
      <c r="A402" s="13">
        <v>53359</v>
      </c>
      <c r="B402" s="66">
        <f>6.0125 * CHOOSE(CONTROL!$C$26, $C$13, 100%, $E$13)</f>
        <v>6.0125000000000002</v>
      </c>
      <c r="C402" s="66">
        <f>6.0125 * CHOOSE(CONTROL!$C$26, $C$13, 100%, $E$13)</f>
        <v>6.0125000000000002</v>
      </c>
      <c r="D402" s="66">
        <f>6.0163 * CHOOSE(CONTROL!$C$26, $C$13, 100%, $E$13)</f>
        <v>6.0163000000000002</v>
      </c>
      <c r="E402" s="67">
        <f>7.1269 * CHOOSE(CONTROL!$C$26, $C$13, 100%, $E$13)</f>
        <v>7.1269</v>
      </c>
      <c r="F402" s="67">
        <f>7.1269 * CHOOSE(CONTROL!$C$26, $C$13, 100%, $E$13)</f>
        <v>7.1269</v>
      </c>
      <c r="G402" s="67">
        <f>7.1317 * CHOOSE(CONTROL!$C$26, $C$13, 100%, $E$13)</f>
        <v>7.1317000000000004</v>
      </c>
      <c r="H402" s="67">
        <f>13.1471* CHOOSE(CONTROL!$C$26, $C$13, 100%, $E$13)</f>
        <v>13.1471</v>
      </c>
      <c r="I402" s="67">
        <f>13.1519 * CHOOSE(CONTROL!$C$26, $C$13, 100%, $E$13)</f>
        <v>13.151899999999999</v>
      </c>
      <c r="J402" s="67">
        <f>7.1269 * CHOOSE(CONTROL!$C$26, $C$13, 100%, $E$13)</f>
        <v>7.1269</v>
      </c>
      <c r="K402" s="67">
        <f>7.1317 * CHOOSE(CONTROL!$C$26, $C$13, 100%, $E$13)</f>
        <v>7.1317000000000004</v>
      </c>
    </row>
    <row r="403" spans="1:11" ht="15">
      <c r="A403" s="13">
        <v>53387</v>
      </c>
      <c r="B403" s="66">
        <f>6.0094 * CHOOSE(CONTROL!$C$26, $C$13, 100%, $E$13)</f>
        <v>6.0094000000000003</v>
      </c>
      <c r="C403" s="66">
        <f>6.0094 * CHOOSE(CONTROL!$C$26, $C$13, 100%, $E$13)</f>
        <v>6.0094000000000003</v>
      </c>
      <c r="D403" s="66">
        <f>6.0133 * CHOOSE(CONTROL!$C$26, $C$13, 100%, $E$13)</f>
        <v>6.0133000000000001</v>
      </c>
      <c r="E403" s="67">
        <f>7.2164 * CHOOSE(CONTROL!$C$26, $C$13, 100%, $E$13)</f>
        <v>7.2164000000000001</v>
      </c>
      <c r="F403" s="67">
        <f>7.2164 * CHOOSE(CONTROL!$C$26, $C$13, 100%, $E$13)</f>
        <v>7.2164000000000001</v>
      </c>
      <c r="G403" s="67">
        <f>7.2211 * CHOOSE(CONTROL!$C$26, $C$13, 100%, $E$13)</f>
        <v>7.2210999999999999</v>
      </c>
      <c r="H403" s="67">
        <f>13.1745* CHOOSE(CONTROL!$C$26, $C$13, 100%, $E$13)</f>
        <v>13.1745</v>
      </c>
      <c r="I403" s="67">
        <f>13.1793 * CHOOSE(CONTROL!$C$26, $C$13, 100%, $E$13)</f>
        <v>13.1793</v>
      </c>
      <c r="J403" s="67">
        <f>7.2164 * CHOOSE(CONTROL!$C$26, $C$13, 100%, $E$13)</f>
        <v>7.2164000000000001</v>
      </c>
      <c r="K403" s="67">
        <f>7.2211 * CHOOSE(CONTROL!$C$26, $C$13, 100%, $E$13)</f>
        <v>7.2210999999999999</v>
      </c>
    </row>
    <row r="404" spans="1:11" ht="15">
      <c r="A404" s="13">
        <v>53418</v>
      </c>
      <c r="B404" s="66">
        <f>6.0088 * CHOOSE(CONTROL!$C$26, $C$13, 100%, $E$13)</f>
        <v>6.0087999999999999</v>
      </c>
      <c r="C404" s="66">
        <f>6.0088 * CHOOSE(CONTROL!$C$26, $C$13, 100%, $E$13)</f>
        <v>6.0087999999999999</v>
      </c>
      <c r="D404" s="66">
        <f>6.0127 * CHOOSE(CONTROL!$C$26, $C$13, 100%, $E$13)</f>
        <v>6.0126999999999997</v>
      </c>
      <c r="E404" s="67">
        <f>7.3105 * CHOOSE(CONTROL!$C$26, $C$13, 100%, $E$13)</f>
        <v>7.3105000000000002</v>
      </c>
      <c r="F404" s="67">
        <f>7.3105 * CHOOSE(CONTROL!$C$26, $C$13, 100%, $E$13)</f>
        <v>7.3105000000000002</v>
      </c>
      <c r="G404" s="67">
        <f>7.3152 * CHOOSE(CONTROL!$C$26, $C$13, 100%, $E$13)</f>
        <v>7.3151999999999999</v>
      </c>
      <c r="H404" s="67">
        <f>13.2019* CHOOSE(CONTROL!$C$26, $C$13, 100%, $E$13)</f>
        <v>13.2019</v>
      </c>
      <c r="I404" s="67">
        <f>13.2067 * CHOOSE(CONTROL!$C$26, $C$13, 100%, $E$13)</f>
        <v>13.2067</v>
      </c>
      <c r="J404" s="67">
        <f>7.3105 * CHOOSE(CONTROL!$C$26, $C$13, 100%, $E$13)</f>
        <v>7.3105000000000002</v>
      </c>
      <c r="K404" s="67">
        <f>7.3152 * CHOOSE(CONTROL!$C$26, $C$13, 100%, $E$13)</f>
        <v>7.3151999999999999</v>
      </c>
    </row>
    <row r="405" spans="1:11" ht="15">
      <c r="A405" s="13">
        <v>53448</v>
      </c>
      <c r="B405" s="66">
        <f>6.0088 * CHOOSE(CONTROL!$C$26, $C$13, 100%, $E$13)</f>
        <v>6.0087999999999999</v>
      </c>
      <c r="C405" s="66">
        <f>6.0088 * CHOOSE(CONTROL!$C$26, $C$13, 100%, $E$13)</f>
        <v>6.0087999999999999</v>
      </c>
      <c r="D405" s="66">
        <f>6.0143 * CHOOSE(CONTROL!$C$26, $C$13, 100%, $E$13)</f>
        <v>6.0143000000000004</v>
      </c>
      <c r="E405" s="67">
        <f>7.3474 * CHOOSE(CONTROL!$C$26, $C$13, 100%, $E$13)</f>
        <v>7.3474000000000004</v>
      </c>
      <c r="F405" s="67">
        <f>7.3474 * CHOOSE(CONTROL!$C$26, $C$13, 100%, $E$13)</f>
        <v>7.3474000000000004</v>
      </c>
      <c r="G405" s="67">
        <f>7.3541 * CHOOSE(CONTROL!$C$26, $C$13, 100%, $E$13)</f>
        <v>7.3540999999999999</v>
      </c>
      <c r="H405" s="67">
        <f>13.2294* CHOOSE(CONTROL!$C$26, $C$13, 100%, $E$13)</f>
        <v>13.2294</v>
      </c>
      <c r="I405" s="67">
        <f>13.2362 * CHOOSE(CONTROL!$C$26, $C$13, 100%, $E$13)</f>
        <v>13.2362</v>
      </c>
      <c r="J405" s="67">
        <f>7.3474 * CHOOSE(CONTROL!$C$26, $C$13, 100%, $E$13)</f>
        <v>7.3474000000000004</v>
      </c>
      <c r="K405" s="67">
        <f>7.3541 * CHOOSE(CONTROL!$C$26, $C$13, 100%, $E$13)</f>
        <v>7.3540999999999999</v>
      </c>
    </row>
    <row r="406" spans="1:11" ht="15">
      <c r="A406" s="13">
        <v>53479</v>
      </c>
      <c r="B406" s="66">
        <f>6.0149 * CHOOSE(CONTROL!$C$26, $C$13, 100%, $E$13)</f>
        <v>6.0148999999999999</v>
      </c>
      <c r="C406" s="66">
        <f>6.0149 * CHOOSE(CONTROL!$C$26, $C$13, 100%, $E$13)</f>
        <v>6.0148999999999999</v>
      </c>
      <c r="D406" s="66">
        <f>6.0204 * CHOOSE(CONTROL!$C$26, $C$13, 100%, $E$13)</f>
        <v>6.0204000000000004</v>
      </c>
      <c r="E406" s="67">
        <f>7.3147 * CHOOSE(CONTROL!$C$26, $C$13, 100%, $E$13)</f>
        <v>7.3147000000000002</v>
      </c>
      <c r="F406" s="67">
        <f>7.3147 * CHOOSE(CONTROL!$C$26, $C$13, 100%, $E$13)</f>
        <v>7.3147000000000002</v>
      </c>
      <c r="G406" s="67">
        <f>7.3215 * CHOOSE(CONTROL!$C$26, $C$13, 100%, $E$13)</f>
        <v>7.3215000000000003</v>
      </c>
      <c r="H406" s="67">
        <f>13.257* CHOOSE(CONTROL!$C$26, $C$13, 100%, $E$13)</f>
        <v>13.257</v>
      </c>
      <c r="I406" s="67">
        <f>13.2637 * CHOOSE(CONTROL!$C$26, $C$13, 100%, $E$13)</f>
        <v>13.2637</v>
      </c>
      <c r="J406" s="67">
        <f>7.3147 * CHOOSE(CONTROL!$C$26, $C$13, 100%, $E$13)</f>
        <v>7.3147000000000002</v>
      </c>
      <c r="K406" s="67">
        <f>7.3215 * CHOOSE(CONTROL!$C$26, $C$13, 100%, $E$13)</f>
        <v>7.3215000000000003</v>
      </c>
    </row>
    <row r="407" spans="1:11" ht="15">
      <c r="A407" s="13">
        <v>53509</v>
      </c>
      <c r="B407" s="66">
        <f>6.1119 * CHOOSE(CONTROL!$C$26, $C$13, 100%, $E$13)</f>
        <v>6.1119000000000003</v>
      </c>
      <c r="C407" s="66">
        <f>6.1119 * CHOOSE(CONTROL!$C$26, $C$13, 100%, $E$13)</f>
        <v>6.1119000000000003</v>
      </c>
      <c r="D407" s="66">
        <f>6.1174 * CHOOSE(CONTROL!$C$26, $C$13, 100%, $E$13)</f>
        <v>6.1173999999999999</v>
      </c>
      <c r="E407" s="67">
        <f>7.4374 * CHOOSE(CONTROL!$C$26, $C$13, 100%, $E$13)</f>
        <v>7.4374000000000002</v>
      </c>
      <c r="F407" s="67">
        <f>7.4374 * CHOOSE(CONTROL!$C$26, $C$13, 100%, $E$13)</f>
        <v>7.4374000000000002</v>
      </c>
      <c r="G407" s="67">
        <f>7.4441 * CHOOSE(CONTROL!$C$26, $C$13, 100%, $E$13)</f>
        <v>7.4440999999999997</v>
      </c>
      <c r="H407" s="67">
        <f>13.2846* CHOOSE(CONTROL!$C$26, $C$13, 100%, $E$13)</f>
        <v>13.284599999999999</v>
      </c>
      <c r="I407" s="67">
        <f>13.2914 * CHOOSE(CONTROL!$C$26, $C$13, 100%, $E$13)</f>
        <v>13.291399999999999</v>
      </c>
      <c r="J407" s="67">
        <f>7.4374 * CHOOSE(CONTROL!$C$26, $C$13, 100%, $E$13)</f>
        <v>7.4374000000000002</v>
      </c>
      <c r="K407" s="67">
        <f>7.4441 * CHOOSE(CONTROL!$C$26, $C$13, 100%, $E$13)</f>
        <v>7.4440999999999997</v>
      </c>
    </row>
    <row r="408" spans="1:11" ht="15">
      <c r="A408" s="13">
        <v>53540</v>
      </c>
      <c r="B408" s="66">
        <f>6.1186 * CHOOSE(CONTROL!$C$26, $C$13, 100%, $E$13)</f>
        <v>6.1185999999999998</v>
      </c>
      <c r="C408" s="66">
        <f>6.1186 * CHOOSE(CONTROL!$C$26, $C$13, 100%, $E$13)</f>
        <v>6.1185999999999998</v>
      </c>
      <c r="D408" s="66">
        <f>6.1241 * CHOOSE(CONTROL!$C$26, $C$13, 100%, $E$13)</f>
        <v>6.1241000000000003</v>
      </c>
      <c r="E408" s="67">
        <f>7.3314 * CHOOSE(CONTROL!$C$26, $C$13, 100%, $E$13)</f>
        <v>7.3314000000000004</v>
      </c>
      <c r="F408" s="67">
        <f>7.3314 * CHOOSE(CONTROL!$C$26, $C$13, 100%, $E$13)</f>
        <v>7.3314000000000004</v>
      </c>
      <c r="G408" s="67">
        <f>7.3381 * CHOOSE(CONTROL!$C$26, $C$13, 100%, $E$13)</f>
        <v>7.3380999999999998</v>
      </c>
      <c r="H408" s="67">
        <f>13.3123* CHOOSE(CONTROL!$C$26, $C$13, 100%, $E$13)</f>
        <v>13.3123</v>
      </c>
      <c r="I408" s="67">
        <f>13.319 * CHOOSE(CONTROL!$C$26, $C$13, 100%, $E$13)</f>
        <v>13.319000000000001</v>
      </c>
      <c r="J408" s="67">
        <f>7.3314 * CHOOSE(CONTROL!$C$26, $C$13, 100%, $E$13)</f>
        <v>7.3314000000000004</v>
      </c>
      <c r="K408" s="67">
        <f>7.3381 * CHOOSE(CONTROL!$C$26, $C$13, 100%, $E$13)</f>
        <v>7.3380999999999998</v>
      </c>
    </row>
    <row r="409" spans="1:11" ht="15">
      <c r="A409" s="13">
        <v>53571</v>
      </c>
      <c r="B409" s="66">
        <f>6.1156 * CHOOSE(CONTROL!$C$26, $C$13, 100%, $E$13)</f>
        <v>6.1155999999999997</v>
      </c>
      <c r="C409" s="66">
        <f>6.1156 * CHOOSE(CONTROL!$C$26, $C$13, 100%, $E$13)</f>
        <v>6.1155999999999997</v>
      </c>
      <c r="D409" s="66">
        <f>6.1211 * CHOOSE(CONTROL!$C$26, $C$13, 100%, $E$13)</f>
        <v>6.1211000000000002</v>
      </c>
      <c r="E409" s="67">
        <f>7.317 * CHOOSE(CONTROL!$C$26, $C$13, 100%, $E$13)</f>
        <v>7.3170000000000002</v>
      </c>
      <c r="F409" s="67">
        <f>7.317 * CHOOSE(CONTROL!$C$26, $C$13, 100%, $E$13)</f>
        <v>7.3170000000000002</v>
      </c>
      <c r="G409" s="67">
        <f>7.3237 * CHOOSE(CONTROL!$C$26, $C$13, 100%, $E$13)</f>
        <v>7.3236999999999997</v>
      </c>
      <c r="H409" s="67">
        <f>13.34* CHOOSE(CONTROL!$C$26, $C$13, 100%, $E$13)</f>
        <v>13.34</v>
      </c>
      <c r="I409" s="67">
        <f>13.3468 * CHOOSE(CONTROL!$C$26, $C$13, 100%, $E$13)</f>
        <v>13.3468</v>
      </c>
      <c r="J409" s="67">
        <f>7.317 * CHOOSE(CONTROL!$C$26, $C$13, 100%, $E$13)</f>
        <v>7.3170000000000002</v>
      </c>
      <c r="K409" s="67">
        <f>7.3237 * CHOOSE(CONTROL!$C$26, $C$13, 100%, $E$13)</f>
        <v>7.3236999999999997</v>
      </c>
    </row>
    <row r="410" spans="1:11" ht="15">
      <c r="A410" s="13">
        <v>53601</v>
      </c>
      <c r="B410" s="66">
        <f>6.1176 * CHOOSE(CONTROL!$C$26, $C$13, 100%, $E$13)</f>
        <v>6.1176000000000004</v>
      </c>
      <c r="C410" s="66">
        <f>6.1176 * CHOOSE(CONTROL!$C$26, $C$13, 100%, $E$13)</f>
        <v>6.1176000000000004</v>
      </c>
      <c r="D410" s="66">
        <f>6.1215 * CHOOSE(CONTROL!$C$26, $C$13, 100%, $E$13)</f>
        <v>6.1215000000000002</v>
      </c>
      <c r="E410" s="67">
        <f>7.3527 * CHOOSE(CONTROL!$C$26, $C$13, 100%, $E$13)</f>
        <v>7.3526999999999996</v>
      </c>
      <c r="F410" s="67">
        <f>7.3527 * CHOOSE(CONTROL!$C$26, $C$13, 100%, $E$13)</f>
        <v>7.3526999999999996</v>
      </c>
      <c r="G410" s="67">
        <f>7.3575 * CHOOSE(CONTROL!$C$26, $C$13, 100%, $E$13)</f>
        <v>7.3574999999999999</v>
      </c>
      <c r="H410" s="67">
        <f>13.3678* CHOOSE(CONTROL!$C$26, $C$13, 100%, $E$13)</f>
        <v>13.367800000000001</v>
      </c>
      <c r="I410" s="67">
        <f>13.3726 * CHOOSE(CONTROL!$C$26, $C$13, 100%, $E$13)</f>
        <v>13.3726</v>
      </c>
      <c r="J410" s="67">
        <f>7.3527 * CHOOSE(CONTROL!$C$26, $C$13, 100%, $E$13)</f>
        <v>7.3526999999999996</v>
      </c>
      <c r="K410" s="67">
        <f>7.3575 * CHOOSE(CONTROL!$C$26, $C$13, 100%, $E$13)</f>
        <v>7.3574999999999999</v>
      </c>
    </row>
    <row r="411" spans="1:11" ht="15">
      <c r="A411" s="13">
        <v>53632</v>
      </c>
      <c r="B411" s="66">
        <f>6.1207 * CHOOSE(CONTROL!$C$26, $C$13, 100%, $E$13)</f>
        <v>6.1207000000000003</v>
      </c>
      <c r="C411" s="66">
        <f>6.1207 * CHOOSE(CONTROL!$C$26, $C$13, 100%, $E$13)</f>
        <v>6.1207000000000003</v>
      </c>
      <c r="D411" s="66">
        <f>6.1246 * CHOOSE(CONTROL!$C$26, $C$13, 100%, $E$13)</f>
        <v>6.1246</v>
      </c>
      <c r="E411" s="67">
        <f>7.3794 * CHOOSE(CONTROL!$C$26, $C$13, 100%, $E$13)</f>
        <v>7.3794000000000004</v>
      </c>
      <c r="F411" s="67">
        <f>7.3794 * CHOOSE(CONTROL!$C$26, $C$13, 100%, $E$13)</f>
        <v>7.3794000000000004</v>
      </c>
      <c r="G411" s="67">
        <f>7.3842 * CHOOSE(CONTROL!$C$26, $C$13, 100%, $E$13)</f>
        <v>7.3841999999999999</v>
      </c>
      <c r="H411" s="67">
        <f>13.3957* CHOOSE(CONTROL!$C$26, $C$13, 100%, $E$13)</f>
        <v>13.3957</v>
      </c>
      <c r="I411" s="67">
        <f>13.4004 * CHOOSE(CONTROL!$C$26, $C$13, 100%, $E$13)</f>
        <v>13.400399999999999</v>
      </c>
      <c r="J411" s="67">
        <f>7.3794 * CHOOSE(CONTROL!$C$26, $C$13, 100%, $E$13)</f>
        <v>7.3794000000000004</v>
      </c>
      <c r="K411" s="67">
        <f>7.3842 * CHOOSE(CONTROL!$C$26, $C$13, 100%, $E$13)</f>
        <v>7.3841999999999999</v>
      </c>
    </row>
    <row r="412" spans="1:11" ht="15">
      <c r="A412" s="13">
        <v>53662</v>
      </c>
      <c r="B412" s="66">
        <f>6.1207 * CHOOSE(CONTROL!$C$26, $C$13, 100%, $E$13)</f>
        <v>6.1207000000000003</v>
      </c>
      <c r="C412" s="66">
        <f>6.1207 * CHOOSE(CONTROL!$C$26, $C$13, 100%, $E$13)</f>
        <v>6.1207000000000003</v>
      </c>
      <c r="D412" s="66">
        <f>6.1246 * CHOOSE(CONTROL!$C$26, $C$13, 100%, $E$13)</f>
        <v>6.1246</v>
      </c>
      <c r="E412" s="67">
        <f>7.318 * CHOOSE(CONTROL!$C$26, $C$13, 100%, $E$13)</f>
        <v>7.3179999999999996</v>
      </c>
      <c r="F412" s="67">
        <f>7.318 * CHOOSE(CONTROL!$C$26, $C$13, 100%, $E$13)</f>
        <v>7.3179999999999996</v>
      </c>
      <c r="G412" s="67">
        <f>7.3227 * CHOOSE(CONTROL!$C$26, $C$13, 100%, $E$13)</f>
        <v>7.3227000000000002</v>
      </c>
      <c r="H412" s="67">
        <f>13.4236* CHOOSE(CONTROL!$C$26, $C$13, 100%, $E$13)</f>
        <v>13.4236</v>
      </c>
      <c r="I412" s="67">
        <f>13.4284 * CHOOSE(CONTROL!$C$26, $C$13, 100%, $E$13)</f>
        <v>13.4284</v>
      </c>
      <c r="J412" s="67">
        <f>7.318 * CHOOSE(CONTROL!$C$26, $C$13, 100%, $E$13)</f>
        <v>7.3179999999999996</v>
      </c>
      <c r="K412" s="67">
        <f>7.3227 * CHOOSE(CONTROL!$C$26, $C$13, 100%, $E$13)</f>
        <v>7.3227000000000002</v>
      </c>
    </row>
    <row r="413" spans="1:11" ht="15">
      <c r="A413" s="13">
        <v>53693</v>
      </c>
      <c r="B413" s="66">
        <f>6.1742 * CHOOSE(CONTROL!$C$26, $C$13, 100%, $E$13)</f>
        <v>6.1741999999999999</v>
      </c>
      <c r="C413" s="66">
        <f>6.1742 * CHOOSE(CONTROL!$C$26, $C$13, 100%, $E$13)</f>
        <v>6.1741999999999999</v>
      </c>
      <c r="D413" s="66">
        <f>6.1781 * CHOOSE(CONTROL!$C$26, $C$13, 100%, $E$13)</f>
        <v>6.1780999999999997</v>
      </c>
      <c r="E413" s="67">
        <f>7.4222 * CHOOSE(CONTROL!$C$26, $C$13, 100%, $E$13)</f>
        <v>7.4222000000000001</v>
      </c>
      <c r="F413" s="67">
        <f>7.4222 * CHOOSE(CONTROL!$C$26, $C$13, 100%, $E$13)</f>
        <v>7.4222000000000001</v>
      </c>
      <c r="G413" s="67">
        <f>7.427 * CHOOSE(CONTROL!$C$26, $C$13, 100%, $E$13)</f>
        <v>7.4269999999999996</v>
      </c>
      <c r="H413" s="67">
        <f>13.4515* CHOOSE(CONTROL!$C$26, $C$13, 100%, $E$13)</f>
        <v>13.451499999999999</v>
      </c>
      <c r="I413" s="67">
        <f>13.4563 * CHOOSE(CONTROL!$C$26, $C$13, 100%, $E$13)</f>
        <v>13.456300000000001</v>
      </c>
      <c r="J413" s="67">
        <f>7.4222 * CHOOSE(CONTROL!$C$26, $C$13, 100%, $E$13)</f>
        <v>7.4222000000000001</v>
      </c>
      <c r="K413" s="67">
        <f>7.427 * CHOOSE(CONTROL!$C$26, $C$13, 100%, $E$13)</f>
        <v>7.4269999999999996</v>
      </c>
    </row>
    <row r="414" spans="1:11" ht="15">
      <c r="A414" s="13">
        <v>53724</v>
      </c>
      <c r="B414" s="66">
        <f>6.1712 * CHOOSE(CONTROL!$C$26, $C$13, 100%, $E$13)</f>
        <v>6.1711999999999998</v>
      </c>
      <c r="C414" s="66">
        <f>6.1712 * CHOOSE(CONTROL!$C$26, $C$13, 100%, $E$13)</f>
        <v>6.1711999999999998</v>
      </c>
      <c r="D414" s="66">
        <f>6.1751 * CHOOSE(CONTROL!$C$26, $C$13, 100%, $E$13)</f>
        <v>6.1750999999999996</v>
      </c>
      <c r="E414" s="67">
        <f>7.3006 * CHOOSE(CONTROL!$C$26, $C$13, 100%, $E$13)</f>
        <v>7.3006000000000002</v>
      </c>
      <c r="F414" s="67">
        <f>7.3006 * CHOOSE(CONTROL!$C$26, $C$13, 100%, $E$13)</f>
        <v>7.3006000000000002</v>
      </c>
      <c r="G414" s="67">
        <f>7.3054 * CHOOSE(CONTROL!$C$26, $C$13, 100%, $E$13)</f>
        <v>7.3053999999999997</v>
      </c>
      <c r="H414" s="67">
        <f>13.4796* CHOOSE(CONTROL!$C$26, $C$13, 100%, $E$13)</f>
        <v>13.4796</v>
      </c>
      <c r="I414" s="67">
        <f>13.4843 * CHOOSE(CONTROL!$C$26, $C$13, 100%, $E$13)</f>
        <v>13.484299999999999</v>
      </c>
      <c r="J414" s="67">
        <f>7.3006 * CHOOSE(CONTROL!$C$26, $C$13, 100%, $E$13)</f>
        <v>7.3006000000000002</v>
      </c>
      <c r="K414" s="67">
        <f>7.3054 * CHOOSE(CONTROL!$C$26, $C$13, 100%, $E$13)</f>
        <v>7.3053999999999997</v>
      </c>
    </row>
    <row r="415" spans="1:11" ht="15">
      <c r="A415" s="13">
        <v>53752</v>
      </c>
      <c r="B415" s="66">
        <f>6.1681 * CHOOSE(CONTROL!$C$26, $C$13, 100%, $E$13)</f>
        <v>6.1680999999999999</v>
      </c>
      <c r="C415" s="66">
        <f>6.1681 * CHOOSE(CONTROL!$C$26, $C$13, 100%, $E$13)</f>
        <v>6.1680999999999999</v>
      </c>
      <c r="D415" s="66">
        <f>6.172 * CHOOSE(CONTROL!$C$26, $C$13, 100%, $E$13)</f>
        <v>6.1719999999999997</v>
      </c>
      <c r="E415" s="67">
        <f>7.3927 * CHOOSE(CONTROL!$C$26, $C$13, 100%, $E$13)</f>
        <v>7.3926999999999996</v>
      </c>
      <c r="F415" s="67">
        <f>7.3927 * CHOOSE(CONTROL!$C$26, $C$13, 100%, $E$13)</f>
        <v>7.3926999999999996</v>
      </c>
      <c r="G415" s="67">
        <f>7.3974 * CHOOSE(CONTROL!$C$26, $C$13, 100%, $E$13)</f>
        <v>7.3974000000000002</v>
      </c>
      <c r="H415" s="67">
        <f>13.5077* CHOOSE(CONTROL!$C$26, $C$13, 100%, $E$13)</f>
        <v>13.5077</v>
      </c>
      <c r="I415" s="67">
        <f>13.5124 * CHOOSE(CONTROL!$C$26, $C$13, 100%, $E$13)</f>
        <v>13.5124</v>
      </c>
      <c r="J415" s="67">
        <f>7.3927 * CHOOSE(CONTROL!$C$26, $C$13, 100%, $E$13)</f>
        <v>7.3926999999999996</v>
      </c>
      <c r="K415" s="67">
        <f>7.3974 * CHOOSE(CONTROL!$C$26, $C$13, 100%, $E$13)</f>
        <v>7.3974000000000002</v>
      </c>
    </row>
    <row r="416" spans="1:11" ht="15">
      <c r="A416" s="13">
        <v>53783</v>
      </c>
      <c r="B416" s="66">
        <f>6.1677 * CHOOSE(CONTROL!$C$26, $C$13, 100%, $E$13)</f>
        <v>6.1677</v>
      </c>
      <c r="C416" s="66">
        <f>6.1677 * CHOOSE(CONTROL!$C$26, $C$13, 100%, $E$13)</f>
        <v>6.1677</v>
      </c>
      <c r="D416" s="66">
        <f>6.1715 * CHOOSE(CONTROL!$C$26, $C$13, 100%, $E$13)</f>
        <v>6.1715</v>
      </c>
      <c r="E416" s="67">
        <f>7.4896 * CHOOSE(CONTROL!$C$26, $C$13, 100%, $E$13)</f>
        <v>7.4896000000000003</v>
      </c>
      <c r="F416" s="67">
        <f>7.4896 * CHOOSE(CONTROL!$C$26, $C$13, 100%, $E$13)</f>
        <v>7.4896000000000003</v>
      </c>
      <c r="G416" s="67">
        <f>7.4943 * CHOOSE(CONTROL!$C$26, $C$13, 100%, $E$13)</f>
        <v>7.4943</v>
      </c>
      <c r="H416" s="67">
        <f>13.5358* CHOOSE(CONTROL!$C$26, $C$13, 100%, $E$13)</f>
        <v>13.5358</v>
      </c>
      <c r="I416" s="67">
        <f>13.5406 * CHOOSE(CONTROL!$C$26, $C$13, 100%, $E$13)</f>
        <v>13.5406</v>
      </c>
      <c r="J416" s="67">
        <f>7.4896 * CHOOSE(CONTROL!$C$26, $C$13, 100%, $E$13)</f>
        <v>7.4896000000000003</v>
      </c>
      <c r="K416" s="67">
        <f>7.4943 * CHOOSE(CONTROL!$C$26, $C$13, 100%, $E$13)</f>
        <v>7.4943</v>
      </c>
    </row>
    <row r="417" spans="1:11" ht="15">
      <c r="A417" s="13">
        <v>53813</v>
      </c>
      <c r="B417" s="66">
        <f>6.1677 * CHOOSE(CONTROL!$C$26, $C$13, 100%, $E$13)</f>
        <v>6.1677</v>
      </c>
      <c r="C417" s="66">
        <f>6.1677 * CHOOSE(CONTROL!$C$26, $C$13, 100%, $E$13)</f>
        <v>6.1677</v>
      </c>
      <c r="D417" s="66">
        <f>6.1732 * CHOOSE(CONTROL!$C$26, $C$13, 100%, $E$13)</f>
        <v>6.1731999999999996</v>
      </c>
      <c r="E417" s="67">
        <f>7.5275 * CHOOSE(CONTROL!$C$26, $C$13, 100%, $E$13)</f>
        <v>7.5274999999999999</v>
      </c>
      <c r="F417" s="67">
        <f>7.5275 * CHOOSE(CONTROL!$C$26, $C$13, 100%, $E$13)</f>
        <v>7.5274999999999999</v>
      </c>
      <c r="G417" s="67">
        <f>7.5342 * CHOOSE(CONTROL!$C$26, $C$13, 100%, $E$13)</f>
        <v>7.5342000000000002</v>
      </c>
      <c r="H417" s="67">
        <f>13.564* CHOOSE(CONTROL!$C$26, $C$13, 100%, $E$13)</f>
        <v>13.564</v>
      </c>
      <c r="I417" s="67">
        <f>13.5707 * CHOOSE(CONTROL!$C$26, $C$13, 100%, $E$13)</f>
        <v>13.5707</v>
      </c>
      <c r="J417" s="67">
        <f>7.5275 * CHOOSE(CONTROL!$C$26, $C$13, 100%, $E$13)</f>
        <v>7.5274999999999999</v>
      </c>
      <c r="K417" s="67">
        <f>7.5342 * CHOOSE(CONTROL!$C$26, $C$13, 100%, $E$13)</f>
        <v>7.5342000000000002</v>
      </c>
    </row>
    <row r="418" spans="1:11" ht="15">
      <c r="A418" s="13">
        <v>53844</v>
      </c>
      <c r="B418" s="66">
        <f>6.1737 * CHOOSE(CONTROL!$C$26, $C$13, 100%, $E$13)</f>
        <v>6.1737000000000002</v>
      </c>
      <c r="C418" s="66">
        <f>6.1737 * CHOOSE(CONTROL!$C$26, $C$13, 100%, $E$13)</f>
        <v>6.1737000000000002</v>
      </c>
      <c r="D418" s="66">
        <f>6.1793 * CHOOSE(CONTROL!$C$26, $C$13, 100%, $E$13)</f>
        <v>6.1792999999999996</v>
      </c>
      <c r="E418" s="67">
        <f>7.4938 * CHOOSE(CONTROL!$C$26, $C$13, 100%, $E$13)</f>
        <v>7.4938000000000002</v>
      </c>
      <c r="F418" s="67">
        <f>7.4938 * CHOOSE(CONTROL!$C$26, $C$13, 100%, $E$13)</f>
        <v>7.4938000000000002</v>
      </c>
      <c r="G418" s="67">
        <f>7.5005 * CHOOSE(CONTROL!$C$26, $C$13, 100%, $E$13)</f>
        <v>7.5004999999999997</v>
      </c>
      <c r="H418" s="67">
        <f>13.5923* CHOOSE(CONTROL!$C$26, $C$13, 100%, $E$13)</f>
        <v>13.5923</v>
      </c>
      <c r="I418" s="67">
        <f>13.599 * CHOOSE(CONTROL!$C$26, $C$13, 100%, $E$13)</f>
        <v>13.599</v>
      </c>
      <c r="J418" s="67">
        <f>7.4938 * CHOOSE(CONTROL!$C$26, $C$13, 100%, $E$13)</f>
        <v>7.4938000000000002</v>
      </c>
      <c r="K418" s="67">
        <f>7.5005 * CHOOSE(CONTROL!$C$26, $C$13, 100%, $E$13)</f>
        <v>7.5004999999999997</v>
      </c>
    </row>
    <row r="419" spans="1:11" ht="15">
      <c r="A419" s="13">
        <v>53874</v>
      </c>
      <c r="B419" s="66">
        <f>6.273 * CHOOSE(CONTROL!$C$26, $C$13, 100%, $E$13)</f>
        <v>6.2729999999999997</v>
      </c>
      <c r="C419" s="66">
        <f>6.273 * CHOOSE(CONTROL!$C$26, $C$13, 100%, $E$13)</f>
        <v>6.2729999999999997</v>
      </c>
      <c r="D419" s="66">
        <f>6.2785 * CHOOSE(CONTROL!$C$26, $C$13, 100%, $E$13)</f>
        <v>6.2785000000000002</v>
      </c>
      <c r="E419" s="67">
        <f>7.6192 * CHOOSE(CONTROL!$C$26, $C$13, 100%, $E$13)</f>
        <v>7.6192000000000002</v>
      </c>
      <c r="F419" s="67">
        <f>7.6192 * CHOOSE(CONTROL!$C$26, $C$13, 100%, $E$13)</f>
        <v>7.6192000000000002</v>
      </c>
      <c r="G419" s="67">
        <f>7.6259 * CHOOSE(CONTROL!$C$26, $C$13, 100%, $E$13)</f>
        <v>7.6258999999999997</v>
      </c>
      <c r="H419" s="67">
        <f>13.6206* CHOOSE(CONTROL!$C$26, $C$13, 100%, $E$13)</f>
        <v>13.6206</v>
      </c>
      <c r="I419" s="67">
        <f>13.6273 * CHOOSE(CONTROL!$C$26, $C$13, 100%, $E$13)</f>
        <v>13.6273</v>
      </c>
      <c r="J419" s="67">
        <f>7.6192 * CHOOSE(CONTROL!$C$26, $C$13, 100%, $E$13)</f>
        <v>7.6192000000000002</v>
      </c>
      <c r="K419" s="67">
        <f>7.6259 * CHOOSE(CONTROL!$C$26, $C$13, 100%, $E$13)</f>
        <v>7.6258999999999997</v>
      </c>
    </row>
    <row r="420" spans="1:11" ht="15">
      <c r="A420" s="13">
        <v>53905</v>
      </c>
      <c r="B420" s="66">
        <f>6.2797 * CHOOSE(CONTROL!$C$26, $C$13, 100%, $E$13)</f>
        <v>6.2797000000000001</v>
      </c>
      <c r="C420" s="66">
        <f>6.2797 * CHOOSE(CONTROL!$C$26, $C$13, 100%, $E$13)</f>
        <v>6.2797000000000001</v>
      </c>
      <c r="D420" s="66">
        <f>6.2852 * CHOOSE(CONTROL!$C$26, $C$13, 100%, $E$13)</f>
        <v>6.2851999999999997</v>
      </c>
      <c r="E420" s="67">
        <f>7.5101 * CHOOSE(CONTROL!$C$26, $C$13, 100%, $E$13)</f>
        <v>7.5101000000000004</v>
      </c>
      <c r="F420" s="67">
        <f>7.5101 * CHOOSE(CONTROL!$C$26, $C$13, 100%, $E$13)</f>
        <v>7.5101000000000004</v>
      </c>
      <c r="G420" s="67">
        <f>7.5168 * CHOOSE(CONTROL!$C$26, $C$13, 100%, $E$13)</f>
        <v>7.5167999999999999</v>
      </c>
      <c r="H420" s="67">
        <f>13.6489* CHOOSE(CONTROL!$C$26, $C$13, 100%, $E$13)</f>
        <v>13.648899999999999</v>
      </c>
      <c r="I420" s="67">
        <f>13.6557 * CHOOSE(CONTROL!$C$26, $C$13, 100%, $E$13)</f>
        <v>13.6557</v>
      </c>
      <c r="J420" s="67">
        <f>7.5101 * CHOOSE(CONTROL!$C$26, $C$13, 100%, $E$13)</f>
        <v>7.5101000000000004</v>
      </c>
      <c r="K420" s="67">
        <f>7.5168 * CHOOSE(CONTROL!$C$26, $C$13, 100%, $E$13)</f>
        <v>7.5167999999999999</v>
      </c>
    </row>
    <row r="421" spans="1:11" ht="15">
      <c r="A421" s="13">
        <v>53936</v>
      </c>
      <c r="B421" s="66">
        <f>6.2767 * CHOOSE(CONTROL!$C$26, $C$13, 100%, $E$13)</f>
        <v>6.2766999999999999</v>
      </c>
      <c r="C421" s="66">
        <f>6.2767 * CHOOSE(CONTROL!$C$26, $C$13, 100%, $E$13)</f>
        <v>6.2766999999999999</v>
      </c>
      <c r="D421" s="66">
        <f>6.2822 * CHOOSE(CONTROL!$C$26, $C$13, 100%, $E$13)</f>
        <v>6.2821999999999996</v>
      </c>
      <c r="E421" s="67">
        <f>7.4953 * CHOOSE(CONTROL!$C$26, $C$13, 100%, $E$13)</f>
        <v>7.4953000000000003</v>
      </c>
      <c r="F421" s="67">
        <f>7.4953 * CHOOSE(CONTROL!$C$26, $C$13, 100%, $E$13)</f>
        <v>7.4953000000000003</v>
      </c>
      <c r="G421" s="67">
        <f>7.5021 * CHOOSE(CONTROL!$C$26, $C$13, 100%, $E$13)</f>
        <v>7.5021000000000004</v>
      </c>
      <c r="H421" s="67">
        <f>13.6774* CHOOSE(CONTROL!$C$26, $C$13, 100%, $E$13)</f>
        <v>13.6774</v>
      </c>
      <c r="I421" s="67">
        <f>13.6841 * CHOOSE(CONTROL!$C$26, $C$13, 100%, $E$13)</f>
        <v>13.684100000000001</v>
      </c>
      <c r="J421" s="67">
        <f>7.4953 * CHOOSE(CONTROL!$C$26, $C$13, 100%, $E$13)</f>
        <v>7.4953000000000003</v>
      </c>
      <c r="K421" s="67">
        <f>7.5021 * CHOOSE(CONTROL!$C$26, $C$13, 100%, $E$13)</f>
        <v>7.5021000000000004</v>
      </c>
    </row>
    <row r="422" spans="1:11" ht="15">
      <c r="A422" s="13">
        <v>53966</v>
      </c>
      <c r="B422" s="66">
        <f>6.2793 * CHOOSE(CONTROL!$C$26, $C$13, 100%, $E$13)</f>
        <v>6.2793000000000001</v>
      </c>
      <c r="C422" s="66">
        <f>6.2793 * CHOOSE(CONTROL!$C$26, $C$13, 100%, $E$13)</f>
        <v>6.2793000000000001</v>
      </c>
      <c r="D422" s="66">
        <f>6.2832 * CHOOSE(CONTROL!$C$26, $C$13, 100%, $E$13)</f>
        <v>6.2831999999999999</v>
      </c>
      <c r="E422" s="67">
        <f>7.5325 * CHOOSE(CONTROL!$C$26, $C$13, 100%, $E$13)</f>
        <v>7.5324999999999998</v>
      </c>
      <c r="F422" s="67">
        <f>7.5325 * CHOOSE(CONTROL!$C$26, $C$13, 100%, $E$13)</f>
        <v>7.5324999999999998</v>
      </c>
      <c r="G422" s="67">
        <f>7.5372 * CHOOSE(CONTROL!$C$26, $C$13, 100%, $E$13)</f>
        <v>7.5372000000000003</v>
      </c>
      <c r="H422" s="67">
        <f>13.7059* CHOOSE(CONTROL!$C$26, $C$13, 100%, $E$13)</f>
        <v>13.7059</v>
      </c>
      <c r="I422" s="67">
        <f>13.7106 * CHOOSE(CONTROL!$C$26, $C$13, 100%, $E$13)</f>
        <v>13.710599999999999</v>
      </c>
      <c r="J422" s="67">
        <f>7.5325 * CHOOSE(CONTROL!$C$26, $C$13, 100%, $E$13)</f>
        <v>7.5324999999999998</v>
      </c>
      <c r="K422" s="67">
        <f>7.5372 * CHOOSE(CONTROL!$C$26, $C$13, 100%, $E$13)</f>
        <v>7.5372000000000003</v>
      </c>
    </row>
    <row r="423" spans="1:11" ht="15">
      <c r="A423" s="13">
        <v>53997</v>
      </c>
      <c r="B423" s="66">
        <f>6.2823 * CHOOSE(CONTROL!$C$26, $C$13, 100%, $E$13)</f>
        <v>6.2823000000000002</v>
      </c>
      <c r="C423" s="66">
        <f>6.2823 * CHOOSE(CONTROL!$C$26, $C$13, 100%, $E$13)</f>
        <v>6.2823000000000002</v>
      </c>
      <c r="D423" s="66">
        <f>6.2862 * CHOOSE(CONTROL!$C$26, $C$13, 100%, $E$13)</f>
        <v>6.2862</v>
      </c>
      <c r="E423" s="67">
        <f>7.5599 * CHOOSE(CONTROL!$C$26, $C$13, 100%, $E$13)</f>
        <v>7.5598999999999998</v>
      </c>
      <c r="F423" s="67">
        <f>7.5599 * CHOOSE(CONTROL!$C$26, $C$13, 100%, $E$13)</f>
        <v>7.5598999999999998</v>
      </c>
      <c r="G423" s="67">
        <f>7.5646 * CHOOSE(CONTROL!$C$26, $C$13, 100%, $E$13)</f>
        <v>7.5646000000000004</v>
      </c>
      <c r="H423" s="67">
        <f>13.7344* CHOOSE(CONTROL!$C$26, $C$13, 100%, $E$13)</f>
        <v>13.734400000000001</v>
      </c>
      <c r="I423" s="67">
        <f>13.7392 * CHOOSE(CONTROL!$C$26, $C$13, 100%, $E$13)</f>
        <v>13.7392</v>
      </c>
      <c r="J423" s="67">
        <f>7.5599 * CHOOSE(CONTROL!$C$26, $C$13, 100%, $E$13)</f>
        <v>7.5598999999999998</v>
      </c>
      <c r="K423" s="67">
        <f>7.5646 * CHOOSE(CONTROL!$C$26, $C$13, 100%, $E$13)</f>
        <v>7.5646000000000004</v>
      </c>
    </row>
    <row r="424" spans="1:11" ht="15">
      <c r="A424" s="13">
        <v>54027</v>
      </c>
      <c r="B424" s="66">
        <f>6.2823 * CHOOSE(CONTROL!$C$26, $C$13, 100%, $E$13)</f>
        <v>6.2823000000000002</v>
      </c>
      <c r="C424" s="66">
        <f>6.2823 * CHOOSE(CONTROL!$C$26, $C$13, 100%, $E$13)</f>
        <v>6.2823000000000002</v>
      </c>
      <c r="D424" s="66">
        <f>6.2862 * CHOOSE(CONTROL!$C$26, $C$13, 100%, $E$13)</f>
        <v>6.2862</v>
      </c>
      <c r="E424" s="67">
        <f>7.4967 * CHOOSE(CONTROL!$C$26, $C$13, 100%, $E$13)</f>
        <v>7.4966999999999997</v>
      </c>
      <c r="F424" s="67">
        <f>7.4967 * CHOOSE(CONTROL!$C$26, $C$13, 100%, $E$13)</f>
        <v>7.4966999999999997</v>
      </c>
      <c r="G424" s="67">
        <f>7.5014 * CHOOSE(CONTROL!$C$26, $C$13, 100%, $E$13)</f>
        <v>7.5014000000000003</v>
      </c>
      <c r="H424" s="67">
        <f>13.763* CHOOSE(CONTROL!$C$26, $C$13, 100%, $E$13)</f>
        <v>13.763</v>
      </c>
      <c r="I424" s="67">
        <f>13.7678 * CHOOSE(CONTROL!$C$26, $C$13, 100%, $E$13)</f>
        <v>13.767799999999999</v>
      </c>
      <c r="J424" s="67">
        <f>7.4967 * CHOOSE(CONTROL!$C$26, $C$13, 100%, $E$13)</f>
        <v>7.4966999999999997</v>
      </c>
      <c r="K424" s="67">
        <f>7.5014 * CHOOSE(CONTROL!$C$26, $C$13, 100%, $E$13)</f>
        <v>7.5014000000000003</v>
      </c>
    </row>
    <row r="425" spans="1:11" ht="15">
      <c r="A425" s="13">
        <v>54058</v>
      </c>
      <c r="B425" s="66">
        <f>6.3372 * CHOOSE(CONTROL!$C$26, $C$13, 100%, $E$13)</f>
        <v>6.3372000000000002</v>
      </c>
      <c r="C425" s="66">
        <f>6.3372 * CHOOSE(CONTROL!$C$26, $C$13, 100%, $E$13)</f>
        <v>6.3372000000000002</v>
      </c>
      <c r="D425" s="66">
        <f>6.341 * CHOOSE(CONTROL!$C$26, $C$13, 100%, $E$13)</f>
        <v>6.3410000000000002</v>
      </c>
      <c r="E425" s="67">
        <f>7.6035 * CHOOSE(CONTROL!$C$26, $C$13, 100%, $E$13)</f>
        <v>7.6035000000000004</v>
      </c>
      <c r="F425" s="67">
        <f>7.6035 * CHOOSE(CONTROL!$C$26, $C$13, 100%, $E$13)</f>
        <v>7.6035000000000004</v>
      </c>
      <c r="G425" s="67">
        <f>7.6083 * CHOOSE(CONTROL!$C$26, $C$13, 100%, $E$13)</f>
        <v>7.6082999999999998</v>
      </c>
      <c r="H425" s="67">
        <f>13.7917* CHOOSE(CONTROL!$C$26, $C$13, 100%, $E$13)</f>
        <v>13.791700000000001</v>
      </c>
      <c r="I425" s="67">
        <f>13.7965 * CHOOSE(CONTROL!$C$26, $C$13, 100%, $E$13)</f>
        <v>13.7965</v>
      </c>
      <c r="J425" s="67">
        <f>7.6035 * CHOOSE(CONTROL!$C$26, $C$13, 100%, $E$13)</f>
        <v>7.6035000000000004</v>
      </c>
      <c r="K425" s="67">
        <f>7.6083 * CHOOSE(CONTROL!$C$26, $C$13, 100%, $E$13)</f>
        <v>7.6082999999999998</v>
      </c>
    </row>
    <row r="426" spans="1:11" ht="15">
      <c r="A426" s="13">
        <v>54089</v>
      </c>
      <c r="B426" s="66">
        <f>6.3341 * CHOOSE(CONTROL!$C$26, $C$13, 100%, $E$13)</f>
        <v>6.3341000000000003</v>
      </c>
      <c r="C426" s="66">
        <f>6.3341 * CHOOSE(CONTROL!$C$26, $C$13, 100%, $E$13)</f>
        <v>6.3341000000000003</v>
      </c>
      <c r="D426" s="66">
        <f>6.338 * CHOOSE(CONTROL!$C$26, $C$13, 100%, $E$13)</f>
        <v>6.3380000000000001</v>
      </c>
      <c r="E426" s="67">
        <f>7.4786 * CHOOSE(CONTROL!$C$26, $C$13, 100%, $E$13)</f>
        <v>7.4786000000000001</v>
      </c>
      <c r="F426" s="67">
        <f>7.4786 * CHOOSE(CONTROL!$C$26, $C$13, 100%, $E$13)</f>
        <v>7.4786000000000001</v>
      </c>
      <c r="G426" s="67">
        <f>7.4834 * CHOOSE(CONTROL!$C$26, $C$13, 100%, $E$13)</f>
        <v>7.4833999999999996</v>
      </c>
      <c r="H426" s="67">
        <f>13.8204* CHOOSE(CONTROL!$C$26, $C$13, 100%, $E$13)</f>
        <v>13.820399999999999</v>
      </c>
      <c r="I426" s="67">
        <f>13.8252 * CHOOSE(CONTROL!$C$26, $C$13, 100%, $E$13)</f>
        <v>13.825200000000001</v>
      </c>
      <c r="J426" s="67">
        <f>7.4786 * CHOOSE(CONTROL!$C$26, $C$13, 100%, $E$13)</f>
        <v>7.4786000000000001</v>
      </c>
      <c r="K426" s="67">
        <f>7.4834 * CHOOSE(CONTROL!$C$26, $C$13, 100%, $E$13)</f>
        <v>7.4833999999999996</v>
      </c>
    </row>
    <row r="427" spans="1:11" ht="15">
      <c r="A427" s="13">
        <v>54118</v>
      </c>
      <c r="B427" s="66">
        <f>6.3311 * CHOOSE(CONTROL!$C$26, $C$13, 100%, $E$13)</f>
        <v>6.3311000000000002</v>
      </c>
      <c r="C427" s="66">
        <f>6.3311 * CHOOSE(CONTROL!$C$26, $C$13, 100%, $E$13)</f>
        <v>6.3311000000000002</v>
      </c>
      <c r="D427" s="66">
        <f>6.335 * CHOOSE(CONTROL!$C$26, $C$13, 100%, $E$13)</f>
        <v>6.335</v>
      </c>
      <c r="E427" s="67">
        <f>7.5733 * CHOOSE(CONTROL!$C$26, $C$13, 100%, $E$13)</f>
        <v>7.5732999999999997</v>
      </c>
      <c r="F427" s="67">
        <f>7.5733 * CHOOSE(CONTROL!$C$26, $C$13, 100%, $E$13)</f>
        <v>7.5732999999999997</v>
      </c>
      <c r="G427" s="67">
        <f>7.5781 * CHOOSE(CONTROL!$C$26, $C$13, 100%, $E$13)</f>
        <v>7.5781000000000001</v>
      </c>
      <c r="H427" s="67">
        <f>13.8492* CHOOSE(CONTROL!$C$26, $C$13, 100%, $E$13)</f>
        <v>13.8492</v>
      </c>
      <c r="I427" s="67">
        <f>13.854 * CHOOSE(CONTROL!$C$26, $C$13, 100%, $E$13)</f>
        <v>13.853999999999999</v>
      </c>
      <c r="J427" s="67">
        <f>7.5733 * CHOOSE(CONTROL!$C$26, $C$13, 100%, $E$13)</f>
        <v>7.5732999999999997</v>
      </c>
      <c r="K427" s="67">
        <f>7.5781 * CHOOSE(CONTROL!$C$26, $C$13, 100%, $E$13)</f>
        <v>7.5781000000000001</v>
      </c>
    </row>
    <row r="428" spans="1:11" ht="15">
      <c r="A428" s="13">
        <v>54149</v>
      </c>
      <c r="B428" s="66">
        <f>6.3307 * CHOOSE(CONTROL!$C$26, $C$13, 100%, $E$13)</f>
        <v>6.3307000000000002</v>
      </c>
      <c r="C428" s="66">
        <f>6.3307 * CHOOSE(CONTROL!$C$26, $C$13, 100%, $E$13)</f>
        <v>6.3307000000000002</v>
      </c>
      <c r="D428" s="66">
        <f>6.3346 * CHOOSE(CONTROL!$C$26, $C$13, 100%, $E$13)</f>
        <v>6.3346</v>
      </c>
      <c r="E428" s="67">
        <f>7.673 * CHOOSE(CONTROL!$C$26, $C$13, 100%, $E$13)</f>
        <v>7.673</v>
      </c>
      <c r="F428" s="67">
        <f>7.673 * CHOOSE(CONTROL!$C$26, $C$13, 100%, $E$13)</f>
        <v>7.673</v>
      </c>
      <c r="G428" s="67">
        <f>7.6778 * CHOOSE(CONTROL!$C$26, $C$13, 100%, $E$13)</f>
        <v>7.6778000000000004</v>
      </c>
      <c r="H428" s="67">
        <f>13.8781* CHOOSE(CONTROL!$C$26, $C$13, 100%, $E$13)</f>
        <v>13.8781</v>
      </c>
      <c r="I428" s="67">
        <f>13.8829 * CHOOSE(CONTROL!$C$26, $C$13, 100%, $E$13)</f>
        <v>13.882899999999999</v>
      </c>
      <c r="J428" s="67">
        <f>7.673 * CHOOSE(CONTROL!$C$26, $C$13, 100%, $E$13)</f>
        <v>7.673</v>
      </c>
      <c r="K428" s="67">
        <f>7.6778 * CHOOSE(CONTROL!$C$26, $C$13, 100%, $E$13)</f>
        <v>7.6778000000000004</v>
      </c>
    </row>
    <row r="429" spans="1:11" ht="15">
      <c r="A429" s="13">
        <v>54179</v>
      </c>
      <c r="B429" s="66">
        <f>6.3307 * CHOOSE(CONTROL!$C$26, $C$13, 100%, $E$13)</f>
        <v>6.3307000000000002</v>
      </c>
      <c r="C429" s="66">
        <f>6.3307 * CHOOSE(CONTROL!$C$26, $C$13, 100%, $E$13)</f>
        <v>6.3307000000000002</v>
      </c>
      <c r="D429" s="66">
        <f>6.3362 * CHOOSE(CONTROL!$C$26, $C$13, 100%, $E$13)</f>
        <v>6.3361999999999998</v>
      </c>
      <c r="E429" s="67">
        <f>7.712 * CHOOSE(CONTROL!$C$26, $C$13, 100%, $E$13)</f>
        <v>7.7119999999999997</v>
      </c>
      <c r="F429" s="67">
        <f>7.712 * CHOOSE(CONTROL!$C$26, $C$13, 100%, $E$13)</f>
        <v>7.7119999999999997</v>
      </c>
      <c r="G429" s="67">
        <f>7.7188 * CHOOSE(CONTROL!$C$26, $C$13, 100%, $E$13)</f>
        <v>7.7187999999999999</v>
      </c>
      <c r="H429" s="67">
        <f>13.907* CHOOSE(CONTROL!$C$26, $C$13, 100%, $E$13)</f>
        <v>13.907</v>
      </c>
      <c r="I429" s="67">
        <f>13.9137 * CHOOSE(CONTROL!$C$26, $C$13, 100%, $E$13)</f>
        <v>13.9137</v>
      </c>
      <c r="J429" s="67">
        <f>7.712 * CHOOSE(CONTROL!$C$26, $C$13, 100%, $E$13)</f>
        <v>7.7119999999999997</v>
      </c>
      <c r="K429" s="67">
        <f>7.7188 * CHOOSE(CONTROL!$C$26, $C$13, 100%, $E$13)</f>
        <v>7.7187999999999999</v>
      </c>
    </row>
    <row r="430" spans="1:11" ht="15">
      <c r="A430" s="13">
        <v>54210</v>
      </c>
      <c r="B430" s="66">
        <f>6.3368 * CHOOSE(CONTROL!$C$26, $C$13, 100%, $E$13)</f>
        <v>6.3368000000000002</v>
      </c>
      <c r="C430" s="66">
        <f>6.3368 * CHOOSE(CONTROL!$C$26, $C$13, 100%, $E$13)</f>
        <v>6.3368000000000002</v>
      </c>
      <c r="D430" s="66">
        <f>6.3423 * CHOOSE(CONTROL!$C$26, $C$13, 100%, $E$13)</f>
        <v>6.3422999999999998</v>
      </c>
      <c r="E430" s="67">
        <f>7.6773 * CHOOSE(CONTROL!$C$26, $C$13, 100%, $E$13)</f>
        <v>7.6772999999999998</v>
      </c>
      <c r="F430" s="67">
        <f>7.6773 * CHOOSE(CONTROL!$C$26, $C$13, 100%, $E$13)</f>
        <v>7.6772999999999998</v>
      </c>
      <c r="G430" s="67">
        <f>7.684 * CHOOSE(CONTROL!$C$26, $C$13, 100%, $E$13)</f>
        <v>7.6840000000000002</v>
      </c>
      <c r="H430" s="67">
        <f>13.936* CHOOSE(CONTROL!$C$26, $C$13, 100%, $E$13)</f>
        <v>13.936</v>
      </c>
      <c r="I430" s="67">
        <f>13.9427 * CHOOSE(CONTROL!$C$26, $C$13, 100%, $E$13)</f>
        <v>13.9427</v>
      </c>
      <c r="J430" s="67">
        <f>7.6773 * CHOOSE(CONTROL!$C$26, $C$13, 100%, $E$13)</f>
        <v>7.6772999999999998</v>
      </c>
      <c r="K430" s="67">
        <f>7.684 * CHOOSE(CONTROL!$C$26, $C$13, 100%, $E$13)</f>
        <v>7.6840000000000002</v>
      </c>
    </row>
    <row r="431" spans="1:11" ht="15">
      <c r="A431" s="13">
        <v>54240</v>
      </c>
      <c r="B431" s="66">
        <f>6.4385 * CHOOSE(CONTROL!$C$26, $C$13, 100%, $E$13)</f>
        <v>6.4385000000000003</v>
      </c>
      <c r="C431" s="66">
        <f>6.4385 * CHOOSE(CONTROL!$C$26, $C$13, 100%, $E$13)</f>
        <v>6.4385000000000003</v>
      </c>
      <c r="D431" s="66">
        <f>6.444 * CHOOSE(CONTROL!$C$26, $C$13, 100%, $E$13)</f>
        <v>6.444</v>
      </c>
      <c r="E431" s="67">
        <f>7.8054 * CHOOSE(CONTROL!$C$26, $C$13, 100%, $E$13)</f>
        <v>7.8053999999999997</v>
      </c>
      <c r="F431" s="67">
        <f>7.8054 * CHOOSE(CONTROL!$C$26, $C$13, 100%, $E$13)</f>
        <v>7.8053999999999997</v>
      </c>
      <c r="G431" s="67">
        <f>7.8122 * CHOOSE(CONTROL!$C$26, $C$13, 100%, $E$13)</f>
        <v>7.8121999999999998</v>
      </c>
      <c r="H431" s="67">
        <f>13.965* CHOOSE(CONTROL!$C$26, $C$13, 100%, $E$13)</f>
        <v>13.965</v>
      </c>
      <c r="I431" s="67">
        <f>13.9718 * CHOOSE(CONTROL!$C$26, $C$13, 100%, $E$13)</f>
        <v>13.9718</v>
      </c>
      <c r="J431" s="67">
        <f>7.8054 * CHOOSE(CONTROL!$C$26, $C$13, 100%, $E$13)</f>
        <v>7.8053999999999997</v>
      </c>
      <c r="K431" s="67">
        <f>7.8122 * CHOOSE(CONTROL!$C$26, $C$13, 100%, $E$13)</f>
        <v>7.8121999999999998</v>
      </c>
    </row>
    <row r="432" spans="1:11" ht="15">
      <c r="A432" s="13">
        <v>54271</v>
      </c>
      <c r="B432" s="66">
        <f>6.4451 * CHOOSE(CONTROL!$C$26, $C$13, 100%, $E$13)</f>
        <v>6.4451000000000001</v>
      </c>
      <c r="C432" s="66">
        <f>6.4451 * CHOOSE(CONTROL!$C$26, $C$13, 100%, $E$13)</f>
        <v>6.4451000000000001</v>
      </c>
      <c r="D432" s="66">
        <f>6.4506 * CHOOSE(CONTROL!$C$26, $C$13, 100%, $E$13)</f>
        <v>6.4505999999999997</v>
      </c>
      <c r="E432" s="67">
        <f>7.6932 * CHOOSE(CONTROL!$C$26, $C$13, 100%, $E$13)</f>
        <v>7.6932</v>
      </c>
      <c r="F432" s="67">
        <f>7.6932 * CHOOSE(CONTROL!$C$26, $C$13, 100%, $E$13)</f>
        <v>7.6932</v>
      </c>
      <c r="G432" s="67">
        <f>7.6999 * CHOOSE(CONTROL!$C$26, $C$13, 100%, $E$13)</f>
        <v>7.6999000000000004</v>
      </c>
      <c r="H432" s="67">
        <f>13.9941* CHOOSE(CONTROL!$C$26, $C$13, 100%, $E$13)</f>
        <v>13.9941</v>
      </c>
      <c r="I432" s="67">
        <f>14.0008 * CHOOSE(CONTROL!$C$26, $C$13, 100%, $E$13)</f>
        <v>14.0008</v>
      </c>
      <c r="J432" s="67">
        <f>7.6932 * CHOOSE(CONTROL!$C$26, $C$13, 100%, $E$13)</f>
        <v>7.6932</v>
      </c>
      <c r="K432" s="67">
        <f>7.6999 * CHOOSE(CONTROL!$C$26, $C$13, 100%, $E$13)</f>
        <v>7.6999000000000004</v>
      </c>
    </row>
    <row r="433" spans="1:11" ht="15">
      <c r="A433" s="13">
        <v>54302</v>
      </c>
      <c r="B433" s="66">
        <f>6.4421 * CHOOSE(CONTROL!$C$26, $C$13, 100%, $E$13)</f>
        <v>6.4420999999999999</v>
      </c>
      <c r="C433" s="66">
        <f>6.4421 * CHOOSE(CONTROL!$C$26, $C$13, 100%, $E$13)</f>
        <v>6.4420999999999999</v>
      </c>
      <c r="D433" s="66">
        <f>6.4476 * CHOOSE(CONTROL!$C$26, $C$13, 100%, $E$13)</f>
        <v>6.4476000000000004</v>
      </c>
      <c r="E433" s="67">
        <f>7.678 * CHOOSE(CONTROL!$C$26, $C$13, 100%, $E$13)</f>
        <v>7.6779999999999999</v>
      </c>
      <c r="F433" s="67">
        <f>7.678 * CHOOSE(CONTROL!$C$26, $C$13, 100%, $E$13)</f>
        <v>7.6779999999999999</v>
      </c>
      <c r="G433" s="67">
        <f>7.6848 * CHOOSE(CONTROL!$C$26, $C$13, 100%, $E$13)</f>
        <v>7.6848000000000001</v>
      </c>
      <c r="H433" s="67">
        <f>14.0233* CHOOSE(CONTROL!$C$26, $C$13, 100%, $E$13)</f>
        <v>14.023300000000001</v>
      </c>
      <c r="I433" s="67">
        <f>14.03 * CHOOSE(CONTROL!$C$26, $C$13, 100%, $E$13)</f>
        <v>14.03</v>
      </c>
      <c r="J433" s="67">
        <f>7.678 * CHOOSE(CONTROL!$C$26, $C$13, 100%, $E$13)</f>
        <v>7.6779999999999999</v>
      </c>
      <c r="K433" s="67">
        <f>7.6848 * CHOOSE(CONTROL!$C$26, $C$13, 100%, $E$13)</f>
        <v>7.6848000000000001</v>
      </c>
    </row>
    <row r="434" spans="1:11" ht="15">
      <c r="A434" s="13">
        <v>54332</v>
      </c>
      <c r="B434" s="66">
        <f>6.4452 * CHOOSE(CONTROL!$C$26, $C$13, 100%, $E$13)</f>
        <v>6.4451999999999998</v>
      </c>
      <c r="C434" s="66">
        <f>6.4452 * CHOOSE(CONTROL!$C$26, $C$13, 100%, $E$13)</f>
        <v>6.4451999999999998</v>
      </c>
      <c r="D434" s="66">
        <f>6.4491 * CHOOSE(CONTROL!$C$26, $C$13, 100%, $E$13)</f>
        <v>6.4490999999999996</v>
      </c>
      <c r="E434" s="67">
        <f>7.7166 * CHOOSE(CONTROL!$C$26, $C$13, 100%, $E$13)</f>
        <v>7.7165999999999997</v>
      </c>
      <c r="F434" s="67">
        <f>7.7166 * CHOOSE(CONTROL!$C$26, $C$13, 100%, $E$13)</f>
        <v>7.7165999999999997</v>
      </c>
      <c r="G434" s="67">
        <f>7.7214 * CHOOSE(CONTROL!$C$26, $C$13, 100%, $E$13)</f>
        <v>7.7214</v>
      </c>
      <c r="H434" s="67">
        <f>14.0525* CHOOSE(CONTROL!$C$26, $C$13, 100%, $E$13)</f>
        <v>14.0525</v>
      </c>
      <c r="I434" s="67">
        <f>14.0572 * CHOOSE(CONTROL!$C$26, $C$13, 100%, $E$13)</f>
        <v>14.0572</v>
      </c>
      <c r="J434" s="67">
        <f>7.7166 * CHOOSE(CONTROL!$C$26, $C$13, 100%, $E$13)</f>
        <v>7.7165999999999997</v>
      </c>
      <c r="K434" s="67">
        <f>7.7214 * CHOOSE(CONTROL!$C$26, $C$13, 100%, $E$13)</f>
        <v>7.7214</v>
      </c>
    </row>
    <row r="435" spans="1:11" ht="15">
      <c r="A435" s="13">
        <v>54363</v>
      </c>
      <c r="B435" s="66">
        <f>6.4483 * CHOOSE(CONTROL!$C$26, $C$13, 100%, $E$13)</f>
        <v>6.4482999999999997</v>
      </c>
      <c r="C435" s="66">
        <f>6.4483 * CHOOSE(CONTROL!$C$26, $C$13, 100%, $E$13)</f>
        <v>6.4482999999999997</v>
      </c>
      <c r="D435" s="66">
        <f>6.4521 * CHOOSE(CONTROL!$C$26, $C$13, 100%, $E$13)</f>
        <v>6.4520999999999997</v>
      </c>
      <c r="E435" s="67">
        <f>7.7447 * CHOOSE(CONTROL!$C$26, $C$13, 100%, $E$13)</f>
        <v>7.7446999999999999</v>
      </c>
      <c r="F435" s="67">
        <f>7.7447 * CHOOSE(CONTROL!$C$26, $C$13, 100%, $E$13)</f>
        <v>7.7446999999999999</v>
      </c>
      <c r="G435" s="67">
        <f>7.7495 * CHOOSE(CONTROL!$C$26, $C$13, 100%, $E$13)</f>
        <v>7.7495000000000003</v>
      </c>
      <c r="H435" s="67">
        <f>14.0818* CHOOSE(CONTROL!$C$26, $C$13, 100%, $E$13)</f>
        <v>14.081799999999999</v>
      </c>
      <c r="I435" s="67">
        <f>14.0865 * CHOOSE(CONTROL!$C$26, $C$13, 100%, $E$13)</f>
        <v>14.086499999999999</v>
      </c>
      <c r="J435" s="67">
        <f>7.7447 * CHOOSE(CONTROL!$C$26, $C$13, 100%, $E$13)</f>
        <v>7.7446999999999999</v>
      </c>
      <c r="K435" s="67">
        <f>7.7495 * CHOOSE(CONTROL!$C$26, $C$13, 100%, $E$13)</f>
        <v>7.7495000000000003</v>
      </c>
    </row>
    <row r="436" spans="1:11" ht="15">
      <c r="A436" s="13">
        <v>54393</v>
      </c>
      <c r="B436" s="66">
        <f>6.4483 * CHOOSE(CONTROL!$C$26, $C$13, 100%, $E$13)</f>
        <v>6.4482999999999997</v>
      </c>
      <c r="C436" s="66">
        <f>6.4483 * CHOOSE(CONTROL!$C$26, $C$13, 100%, $E$13)</f>
        <v>6.4482999999999997</v>
      </c>
      <c r="D436" s="66">
        <f>6.4521 * CHOOSE(CONTROL!$C$26, $C$13, 100%, $E$13)</f>
        <v>6.4520999999999997</v>
      </c>
      <c r="E436" s="67">
        <f>7.6797 * CHOOSE(CONTROL!$C$26, $C$13, 100%, $E$13)</f>
        <v>7.6797000000000004</v>
      </c>
      <c r="F436" s="67">
        <f>7.6797 * CHOOSE(CONTROL!$C$26, $C$13, 100%, $E$13)</f>
        <v>7.6797000000000004</v>
      </c>
      <c r="G436" s="67">
        <f>7.6845 * CHOOSE(CONTROL!$C$26, $C$13, 100%, $E$13)</f>
        <v>7.6844999999999999</v>
      </c>
      <c r="H436" s="67">
        <f>14.1111* CHOOSE(CONTROL!$C$26, $C$13, 100%, $E$13)</f>
        <v>14.1111</v>
      </c>
      <c r="I436" s="67">
        <f>14.1159 * CHOOSE(CONTROL!$C$26, $C$13, 100%, $E$13)</f>
        <v>14.1159</v>
      </c>
      <c r="J436" s="67">
        <f>7.6797 * CHOOSE(CONTROL!$C$26, $C$13, 100%, $E$13)</f>
        <v>7.6797000000000004</v>
      </c>
      <c r="K436" s="67">
        <f>7.6845 * CHOOSE(CONTROL!$C$26, $C$13, 100%, $E$13)</f>
        <v>7.6844999999999999</v>
      </c>
    </row>
    <row r="437" spans="1:11" ht="15">
      <c r="A437" s="13">
        <v>54424</v>
      </c>
      <c r="B437" s="66">
        <f>6.5044 * CHOOSE(CONTROL!$C$26, $C$13, 100%, $E$13)</f>
        <v>6.5044000000000004</v>
      </c>
      <c r="C437" s="66">
        <f>6.5044 * CHOOSE(CONTROL!$C$26, $C$13, 100%, $E$13)</f>
        <v>6.5044000000000004</v>
      </c>
      <c r="D437" s="66">
        <f>6.5083 * CHOOSE(CONTROL!$C$26, $C$13, 100%, $E$13)</f>
        <v>6.5083000000000002</v>
      </c>
      <c r="E437" s="67">
        <f>7.7893 * CHOOSE(CONTROL!$C$26, $C$13, 100%, $E$13)</f>
        <v>7.7892999999999999</v>
      </c>
      <c r="F437" s="67">
        <f>7.7893 * CHOOSE(CONTROL!$C$26, $C$13, 100%, $E$13)</f>
        <v>7.7892999999999999</v>
      </c>
      <c r="G437" s="67">
        <f>7.7941 * CHOOSE(CONTROL!$C$26, $C$13, 100%, $E$13)</f>
        <v>7.7941000000000003</v>
      </c>
      <c r="H437" s="67">
        <f>14.1405* CHOOSE(CONTROL!$C$26, $C$13, 100%, $E$13)</f>
        <v>14.140499999999999</v>
      </c>
      <c r="I437" s="67">
        <f>14.1453 * CHOOSE(CONTROL!$C$26, $C$13, 100%, $E$13)</f>
        <v>14.145300000000001</v>
      </c>
      <c r="J437" s="67">
        <f>7.7893 * CHOOSE(CONTROL!$C$26, $C$13, 100%, $E$13)</f>
        <v>7.7892999999999999</v>
      </c>
      <c r="K437" s="67">
        <f>7.7941 * CHOOSE(CONTROL!$C$26, $C$13, 100%, $E$13)</f>
        <v>7.7941000000000003</v>
      </c>
    </row>
    <row r="438" spans="1:11" ht="15">
      <c r="A438" s="13">
        <v>54455</v>
      </c>
      <c r="B438" s="66">
        <f>6.5014 * CHOOSE(CONTROL!$C$26, $C$13, 100%, $E$13)</f>
        <v>6.5014000000000003</v>
      </c>
      <c r="C438" s="66">
        <f>6.5014 * CHOOSE(CONTROL!$C$26, $C$13, 100%, $E$13)</f>
        <v>6.5014000000000003</v>
      </c>
      <c r="D438" s="66">
        <f>6.5053 * CHOOSE(CONTROL!$C$26, $C$13, 100%, $E$13)</f>
        <v>6.5053000000000001</v>
      </c>
      <c r="E438" s="67">
        <f>7.661 * CHOOSE(CONTROL!$C$26, $C$13, 100%, $E$13)</f>
        <v>7.6609999999999996</v>
      </c>
      <c r="F438" s="67">
        <f>7.661 * CHOOSE(CONTROL!$C$26, $C$13, 100%, $E$13)</f>
        <v>7.6609999999999996</v>
      </c>
      <c r="G438" s="67">
        <f>7.6658 * CHOOSE(CONTROL!$C$26, $C$13, 100%, $E$13)</f>
        <v>7.6657999999999999</v>
      </c>
      <c r="H438" s="67">
        <f>14.1699* CHOOSE(CONTROL!$C$26, $C$13, 100%, $E$13)</f>
        <v>14.1699</v>
      </c>
      <c r="I438" s="67">
        <f>14.1747 * CHOOSE(CONTROL!$C$26, $C$13, 100%, $E$13)</f>
        <v>14.1747</v>
      </c>
      <c r="J438" s="67">
        <f>7.661 * CHOOSE(CONTROL!$C$26, $C$13, 100%, $E$13)</f>
        <v>7.6609999999999996</v>
      </c>
      <c r="K438" s="67">
        <f>7.6658 * CHOOSE(CONTROL!$C$26, $C$13, 100%, $E$13)</f>
        <v>7.6657999999999999</v>
      </c>
    </row>
    <row r="439" spans="1:11" ht="15">
      <c r="A439" s="13">
        <v>54483</v>
      </c>
      <c r="B439" s="66">
        <f>6.4984 * CHOOSE(CONTROL!$C$26, $C$13, 100%, $E$13)</f>
        <v>6.4984000000000002</v>
      </c>
      <c r="C439" s="66">
        <f>6.4984 * CHOOSE(CONTROL!$C$26, $C$13, 100%, $E$13)</f>
        <v>6.4984000000000002</v>
      </c>
      <c r="D439" s="66">
        <f>6.5022 * CHOOSE(CONTROL!$C$26, $C$13, 100%, $E$13)</f>
        <v>6.5022000000000002</v>
      </c>
      <c r="E439" s="67">
        <f>7.7584 * CHOOSE(CONTROL!$C$26, $C$13, 100%, $E$13)</f>
        <v>7.7584</v>
      </c>
      <c r="F439" s="67">
        <f>7.7584 * CHOOSE(CONTROL!$C$26, $C$13, 100%, $E$13)</f>
        <v>7.7584</v>
      </c>
      <c r="G439" s="67">
        <f>7.7632 * CHOOSE(CONTROL!$C$26, $C$13, 100%, $E$13)</f>
        <v>7.7632000000000003</v>
      </c>
      <c r="H439" s="67">
        <f>14.1995* CHOOSE(CONTROL!$C$26, $C$13, 100%, $E$13)</f>
        <v>14.1995</v>
      </c>
      <c r="I439" s="67">
        <f>14.2042 * CHOOSE(CONTROL!$C$26, $C$13, 100%, $E$13)</f>
        <v>14.2042</v>
      </c>
      <c r="J439" s="67">
        <f>7.7584 * CHOOSE(CONTROL!$C$26, $C$13, 100%, $E$13)</f>
        <v>7.7584</v>
      </c>
      <c r="K439" s="67">
        <f>7.7632 * CHOOSE(CONTROL!$C$26, $C$13, 100%, $E$13)</f>
        <v>7.7632000000000003</v>
      </c>
    </row>
    <row r="440" spans="1:11" ht="15">
      <c r="A440" s="13">
        <v>54514</v>
      </c>
      <c r="B440" s="66">
        <f>6.4982 * CHOOSE(CONTROL!$C$26, $C$13, 100%, $E$13)</f>
        <v>6.4981999999999998</v>
      </c>
      <c r="C440" s="66">
        <f>6.4982 * CHOOSE(CONTROL!$C$26, $C$13, 100%, $E$13)</f>
        <v>6.4981999999999998</v>
      </c>
      <c r="D440" s="66">
        <f>6.502 * CHOOSE(CONTROL!$C$26, $C$13, 100%, $E$13)</f>
        <v>6.5019999999999998</v>
      </c>
      <c r="E440" s="67">
        <f>7.861 * CHOOSE(CONTROL!$C$26, $C$13, 100%, $E$13)</f>
        <v>7.8609999999999998</v>
      </c>
      <c r="F440" s="67">
        <f>7.861 * CHOOSE(CONTROL!$C$26, $C$13, 100%, $E$13)</f>
        <v>7.8609999999999998</v>
      </c>
      <c r="G440" s="67">
        <f>7.8658 * CHOOSE(CONTROL!$C$26, $C$13, 100%, $E$13)</f>
        <v>7.8658000000000001</v>
      </c>
      <c r="H440" s="67">
        <f>14.2291* CHOOSE(CONTROL!$C$26, $C$13, 100%, $E$13)</f>
        <v>14.229100000000001</v>
      </c>
      <c r="I440" s="67">
        <f>14.2338 * CHOOSE(CONTROL!$C$26, $C$13, 100%, $E$13)</f>
        <v>14.2338</v>
      </c>
      <c r="J440" s="67">
        <f>7.861 * CHOOSE(CONTROL!$C$26, $C$13, 100%, $E$13)</f>
        <v>7.8609999999999998</v>
      </c>
      <c r="K440" s="67">
        <f>7.8658 * CHOOSE(CONTROL!$C$26, $C$13, 100%, $E$13)</f>
        <v>7.8658000000000001</v>
      </c>
    </row>
    <row r="441" spans="1:11" ht="15">
      <c r="A441" s="13">
        <v>54544</v>
      </c>
      <c r="B441" s="66">
        <f>6.4982 * CHOOSE(CONTROL!$C$26, $C$13, 100%, $E$13)</f>
        <v>6.4981999999999998</v>
      </c>
      <c r="C441" s="66">
        <f>6.4982 * CHOOSE(CONTROL!$C$26, $C$13, 100%, $E$13)</f>
        <v>6.4981999999999998</v>
      </c>
      <c r="D441" s="66">
        <f>6.5037 * CHOOSE(CONTROL!$C$26, $C$13, 100%, $E$13)</f>
        <v>6.5037000000000003</v>
      </c>
      <c r="E441" s="67">
        <f>7.9011 * CHOOSE(CONTROL!$C$26, $C$13, 100%, $E$13)</f>
        <v>7.9010999999999996</v>
      </c>
      <c r="F441" s="67">
        <f>7.9011 * CHOOSE(CONTROL!$C$26, $C$13, 100%, $E$13)</f>
        <v>7.9010999999999996</v>
      </c>
      <c r="G441" s="67">
        <f>7.9078 * CHOOSE(CONTROL!$C$26, $C$13, 100%, $E$13)</f>
        <v>7.9077999999999999</v>
      </c>
      <c r="H441" s="67">
        <f>14.2587* CHOOSE(CONTROL!$C$26, $C$13, 100%, $E$13)</f>
        <v>14.258699999999999</v>
      </c>
      <c r="I441" s="67">
        <f>14.2654 * CHOOSE(CONTROL!$C$26, $C$13, 100%, $E$13)</f>
        <v>14.2654</v>
      </c>
      <c r="J441" s="67">
        <f>7.9011 * CHOOSE(CONTROL!$C$26, $C$13, 100%, $E$13)</f>
        <v>7.9010999999999996</v>
      </c>
      <c r="K441" s="67">
        <f>7.9078 * CHOOSE(CONTROL!$C$26, $C$13, 100%, $E$13)</f>
        <v>7.9077999999999999</v>
      </c>
    </row>
    <row r="442" spans="1:11" ht="15">
      <c r="A442" s="13">
        <v>54575</v>
      </c>
      <c r="B442" s="66">
        <f>6.5042 * CHOOSE(CONTROL!$C$26, $C$13, 100%, $E$13)</f>
        <v>6.5042</v>
      </c>
      <c r="C442" s="66">
        <f>6.5042 * CHOOSE(CONTROL!$C$26, $C$13, 100%, $E$13)</f>
        <v>6.5042</v>
      </c>
      <c r="D442" s="66">
        <f>6.5098 * CHOOSE(CONTROL!$C$26, $C$13, 100%, $E$13)</f>
        <v>6.5098000000000003</v>
      </c>
      <c r="E442" s="67">
        <f>7.8653 * CHOOSE(CONTROL!$C$26, $C$13, 100%, $E$13)</f>
        <v>7.8653000000000004</v>
      </c>
      <c r="F442" s="67">
        <f>7.8653 * CHOOSE(CONTROL!$C$26, $C$13, 100%, $E$13)</f>
        <v>7.8653000000000004</v>
      </c>
      <c r="G442" s="67">
        <f>7.872 * CHOOSE(CONTROL!$C$26, $C$13, 100%, $E$13)</f>
        <v>7.8719999999999999</v>
      </c>
      <c r="H442" s="67">
        <f>14.2884* CHOOSE(CONTROL!$C$26, $C$13, 100%, $E$13)</f>
        <v>14.288399999999999</v>
      </c>
      <c r="I442" s="67">
        <f>14.2951 * CHOOSE(CONTROL!$C$26, $C$13, 100%, $E$13)</f>
        <v>14.2951</v>
      </c>
      <c r="J442" s="67">
        <f>7.8653 * CHOOSE(CONTROL!$C$26, $C$13, 100%, $E$13)</f>
        <v>7.8653000000000004</v>
      </c>
      <c r="K442" s="67">
        <f>7.872 * CHOOSE(CONTROL!$C$26, $C$13, 100%, $E$13)</f>
        <v>7.8719999999999999</v>
      </c>
    </row>
    <row r="443" spans="1:11" ht="15">
      <c r="A443" s="13">
        <v>54605</v>
      </c>
      <c r="B443" s="66">
        <f>6.6083 * CHOOSE(CONTROL!$C$26, $C$13, 100%, $E$13)</f>
        <v>6.6082999999999998</v>
      </c>
      <c r="C443" s="66">
        <f>6.6083 * CHOOSE(CONTROL!$C$26, $C$13, 100%, $E$13)</f>
        <v>6.6082999999999998</v>
      </c>
      <c r="D443" s="66">
        <f>6.6138 * CHOOSE(CONTROL!$C$26, $C$13, 100%, $E$13)</f>
        <v>6.6138000000000003</v>
      </c>
      <c r="E443" s="67">
        <f>7.9963 * CHOOSE(CONTROL!$C$26, $C$13, 100%, $E$13)</f>
        <v>7.9962999999999997</v>
      </c>
      <c r="F443" s="67">
        <f>7.9963 * CHOOSE(CONTROL!$C$26, $C$13, 100%, $E$13)</f>
        <v>7.9962999999999997</v>
      </c>
      <c r="G443" s="67">
        <f>8.003 * CHOOSE(CONTROL!$C$26, $C$13, 100%, $E$13)</f>
        <v>8.0030000000000001</v>
      </c>
      <c r="H443" s="67">
        <f>14.3182* CHOOSE(CONTROL!$C$26, $C$13, 100%, $E$13)</f>
        <v>14.318199999999999</v>
      </c>
      <c r="I443" s="67">
        <f>14.3249 * CHOOSE(CONTROL!$C$26, $C$13, 100%, $E$13)</f>
        <v>14.3249</v>
      </c>
      <c r="J443" s="67">
        <f>7.9963 * CHOOSE(CONTROL!$C$26, $C$13, 100%, $E$13)</f>
        <v>7.9962999999999997</v>
      </c>
      <c r="K443" s="67">
        <f>8.003 * CHOOSE(CONTROL!$C$26, $C$13, 100%, $E$13)</f>
        <v>8.0030000000000001</v>
      </c>
    </row>
    <row r="444" spans="1:11" ht="15">
      <c r="A444" s="13">
        <v>54636</v>
      </c>
      <c r="B444" s="66">
        <f>6.615 * CHOOSE(CONTROL!$C$26, $C$13, 100%, $E$13)</f>
        <v>6.6150000000000002</v>
      </c>
      <c r="C444" s="66">
        <f>6.615 * CHOOSE(CONTROL!$C$26, $C$13, 100%, $E$13)</f>
        <v>6.6150000000000002</v>
      </c>
      <c r="D444" s="66">
        <f>6.6205 * CHOOSE(CONTROL!$C$26, $C$13, 100%, $E$13)</f>
        <v>6.6204999999999998</v>
      </c>
      <c r="E444" s="67">
        <f>7.8807 * CHOOSE(CONTROL!$C$26, $C$13, 100%, $E$13)</f>
        <v>7.8807</v>
      </c>
      <c r="F444" s="67">
        <f>7.8807 * CHOOSE(CONTROL!$C$26, $C$13, 100%, $E$13)</f>
        <v>7.8807</v>
      </c>
      <c r="G444" s="67">
        <f>7.8875 * CHOOSE(CONTROL!$C$26, $C$13, 100%, $E$13)</f>
        <v>7.8875000000000002</v>
      </c>
      <c r="H444" s="67">
        <f>14.348* CHOOSE(CONTROL!$C$26, $C$13, 100%, $E$13)</f>
        <v>14.348000000000001</v>
      </c>
      <c r="I444" s="67">
        <f>14.3547 * CHOOSE(CONTROL!$C$26, $C$13, 100%, $E$13)</f>
        <v>14.354699999999999</v>
      </c>
      <c r="J444" s="67">
        <f>7.8807 * CHOOSE(CONTROL!$C$26, $C$13, 100%, $E$13)</f>
        <v>7.8807</v>
      </c>
      <c r="K444" s="67">
        <f>7.8875 * CHOOSE(CONTROL!$C$26, $C$13, 100%, $E$13)</f>
        <v>7.8875000000000002</v>
      </c>
    </row>
    <row r="445" spans="1:11" ht="15">
      <c r="A445" s="13">
        <v>54667</v>
      </c>
      <c r="B445" s="66">
        <f>6.6119 * CHOOSE(CONTROL!$C$26, $C$13, 100%, $E$13)</f>
        <v>6.6119000000000003</v>
      </c>
      <c r="C445" s="66">
        <f>6.6119 * CHOOSE(CONTROL!$C$26, $C$13, 100%, $E$13)</f>
        <v>6.6119000000000003</v>
      </c>
      <c r="D445" s="66">
        <f>6.6174 * CHOOSE(CONTROL!$C$26, $C$13, 100%, $E$13)</f>
        <v>6.6173999999999999</v>
      </c>
      <c r="E445" s="67">
        <f>7.8653 * CHOOSE(CONTROL!$C$26, $C$13, 100%, $E$13)</f>
        <v>7.8653000000000004</v>
      </c>
      <c r="F445" s="67">
        <f>7.8653 * CHOOSE(CONTROL!$C$26, $C$13, 100%, $E$13)</f>
        <v>7.8653000000000004</v>
      </c>
      <c r="G445" s="67">
        <f>7.872 * CHOOSE(CONTROL!$C$26, $C$13, 100%, $E$13)</f>
        <v>7.8719999999999999</v>
      </c>
      <c r="H445" s="67">
        <f>14.3779* CHOOSE(CONTROL!$C$26, $C$13, 100%, $E$13)</f>
        <v>14.3779</v>
      </c>
      <c r="I445" s="67">
        <f>14.3846 * CHOOSE(CONTROL!$C$26, $C$13, 100%, $E$13)</f>
        <v>14.384600000000001</v>
      </c>
      <c r="J445" s="67">
        <f>7.8653 * CHOOSE(CONTROL!$C$26, $C$13, 100%, $E$13)</f>
        <v>7.8653000000000004</v>
      </c>
      <c r="K445" s="67">
        <f>7.872 * CHOOSE(CONTROL!$C$26, $C$13, 100%, $E$13)</f>
        <v>7.8719999999999999</v>
      </c>
    </row>
    <row r="446" spans="1:11" ht="15">
      <c r="A446" s="13">
        <v>54697</v>
      </c>
      <c r="B446" s="66">
        <f>6.6156 * CHOOSE(CONTROL!$C$26, $C$13, 100%, $E$13)</f>
        <v>6.6155999999999997</v>
      </c>
      <c r="C446" s="66">
        <f>6.6156 * CHOOSE(CONTROL!$C$26, $C$13, 100%, $E$13)</f>
        <v>6.6155999999999997</v>
      </c>
      <c r="D446" s="66">
        <f>6.6195 * CHOOSE(CONTROL!$C$26, $C$13, 100%, $E$13)</f>
        <v>6.6195000000000004</v>
      </c>
      <c r="E446" s="67">
        <f>7.9053 * CHOOSE(CONTROL!$C$26, $C$13, 100%, $E$13)</f>
        <v>7.9053000000000004</v>
      </c>
      <c r="F446" s="67">
        <f>7.9053 * CHOOSE(CONTROL!$C$26, $C$13, 100%, $E$13)</f>
        <v>7.9053000000000004</v>
      </c>
      <c r="G446" s="67">
        <f>7.91 * CHOOSE(CONTROL!$C$26, $C$13, 100%, $E$13)</f>
        <v>7.91</v>
      </c>
      <c r="H446" s="67">
        <f>14.4078* CHOOSE(CONTROL!$C$26, $C$13, 100%, $E$13)</f>
        <v>14.4078</v>
      </c>
      <c r="I446" s="67">
        <f>14.4126 * CHOOSE(CONTROL!$C$26, $C$13, 100%, $E$13)</f>
        <v>14.412599999999999</v>
      </c>
      <c r="J446" s="67">
        <f>7.9053 * CHOOSE(CONTROL!$C$26, $C$13, 100%, $E$13)</f>
        <v>7.9053000000000004</v>
      </c>
      <c r="K446" s="67">
        <f>7.91 * CHOOSE(CONTROL!$C$26, $C$13, 100%, $E$13)</f>
        <v>7.91</v>
      </c>
    </row>
    <row r="447" spans="1:11" ht="15">
      <c r="A447" s="13">
        <v>54728</v>
      </c>
      <c r="B447" s="66">
        <f>6.6186 * CHOOSE(CONTROL!$C$26, $C$13, 100%, $E$13)</f>
        <v>6.6185999999999998</v>
      </c>
      <c r="C447" s="66">
        <f>6.6186 * CHOOSE(CONTROL!$C$26, $C$13, 100%, $E$13)</f>
        <v>6.6185999999999998</v>
      </c>
      <c r="D447" s="66">
        <f>6.6225 * CHOOSE(CONTROL!$C$26, $C$13, 100%, $E$13)</f>
        <v>6.6224999999999996</v>
      </c>
      <c r="E447" s="67">
        <f>7.9341 * CHOOSE(CONTROL!$C$26, $C$13, 100%, $E$13)</f>
        <v>7.9340999999999999</v>
      </c>
      <c r="F447" s="67">
        <f>7.9341 * CHOOSE(CONTROL!$C$26, $C$13, 100%, $E$13)</f>
        <v>7.9340999999999999</v>
      </c>
      <c r="G447" s="67">
        <f>7.9389 * CHOOSE(CONTROL!$C$26, $C$13, 100%, $E$13)</f>
        <v>7.9389000000000003</v>
      </c>
      <c r="H447" s="67">
        <f>14.4379* CHOOSE(CONTROL!$C$26, $C$13, 100%, $E$13)</f>
        <v>14.437900000000001</v>
      </c>
      <c r="I447" s="67">
        <f>14.4426 * CHOOSE(CONTROL!$C$26, $C$13, 100%, $E$13)</f>
        <v>14.442600000000001</v>
      </c>
      <c r="J447" s="67">
        <f>7.9341 * CHOOSE(CONTROL!$C$26, $C$13, 100%, $E$13)</f>
        <v>7.9340999999999999</v>
      </c>
      <c r="K447" s="67">
        <f>7.9389 * CHOOSE(CONTROL!$C$26, $C$13, 100%, $E$13)</f>
        <v>7.9389000000000003</v>
      </c>
    </row>
    <row r="448" spans="1:11" ht="15">
      <c r="A448" s="13">
        <v>54758</v>
      </c>
      <c r="B448" s="66">
        <f>6.6186 * CHOOSE(CONTROL!$C$26, $C$13, 100%, $E$13)</f>
        <v>6.6185999999999998</v>
      </c>
      <c r="C448" s="66">
        <f>6.6186 * CHOOSE(CONTROL!$C$26, $C$13, 100%, $E$13)</f>
        <v>6.6185999999999998</v>
      </c>
      <c r="D448" s="66">
        <f>6.6225 * CHOOSE(CONTROL!$C$26, $C$13, 100%, $E$13)</f>
        <v>6.6224999999999996</v>
      </c>
      <c r="E448" s="67">
        <f>7.8673 * CHOOSE(CONTROL!$C$26, $C$13, 100%, $E$13)</f>
        <v>7.8673000000000002</v>
      </c>
      <c r="F448" s="67">
        <f>7.8673 * CHOOSE(CONTROL!$C$26, $C$13, 100%, $E$13)</f>
        <v>7.8673000000000002</v>
      </c>
      <c r="G448" s="67">
        <f>7.8721 * CHOOSE(CONTROL!$C$26, $C$13, 100%, $E$13)</f>
        <v>7.8720999999999997</v>
      </c>
      <c r="H448" s="67">
        <f>14.4679* CHOOSE(CONTROL!$C$26, $C$13, 100%, $E$13)</f>
        <v>14.4679</v>
      </c>
      <c r="I448" s="67">
        <f>14.4727 * CHOOSE(CONTROL!$C$26, $C$13, 100%, $E$13)</f>
        <v>14.4727</v>
      </c>
      <c r="J448" s="67">
        <f>7.8673 * CHOOSE(CONTROL!$C$26, $C$13, 100%, $E$13)</f>
        <v>7.8673000000000002</v>
      </c>
      <c r="K448" s="67">
        <f>7.8721 * CHOOSE(CONTROL!$C$26, $C$13, 100%, $E$13)</f>
        <v>7.8720999999999997</v>
      </c>
    </row>
    <row r="449" spans="1:11" ht="15">
      <c r="A449" s="13">
        <v>54789</v>
      </c>
      <c r="B449" s="66">
        <f>6.6762 * CHOOSE(CONTROL!$C$26, $C$13, 100%, $E$13)</f>
        <v>6.6761999999999997</v>
      </c>
      <c r="C449" s="66">
        <f>6.6762 * CHOOSE(CONTROL!$C$26, $C$13, 100%, $E$13)</f>
        <v>6.6761999999999997</v>
      </c>
      <c r="D449" s="66">
        <f>6.68 * CHOOSE(CONTROL!$C$26, $C$13, 100%, $E$13)</f>
        <v>6.68</v>
      </c>
      <c r="E449" s="67">
        <f>7.9797 * CHOOSE(CONTROL!$C$26, $C$13, 100%, $E$13)</f>
        <v>7.9797000000000002</v>
      </c>
      <c r="F449" s="67">
        <f>7.9797 * CHOOSE(CONTROL!$C$26, $C$13, 100%, $E$13)</f>
        <v>7.9797000000000002</v>
      </c>
      <c r="G449" s="67">
        <f>7.9845 * CHOOSE(CONTROL!$C$26, $C$13, 100%, $E$13)</f>
        <v>7.9844999999999997</v>
      </c>
      <c r="H449" s="67">
        <f>14.4981* CHOOSE(CONTROL!$C$26, $C$13, 100%, $E$13)</f>
        <v>14.498100000000001</v>
      </c>
      <c r="I449" s="67">
        <f>14.5028 * CHOOSE(CONTROL!$C$26, $C$13, 100%, $E$13)</f>
        <v>14.502800000000001</v>
      </c>
      <c r="J449" s="67">
        <f>7.9797 * CHOOSE(CONTROL!$C$26, $C$13, 100%, $E$13)</f>
        <v>7.9797000000000002</v>
      </c>
      <c r="K449" s="67">
        <f>7.9845 * CHOOSE(CONTROL!$C$26, $C$13, 100%, $E$13)</f>
        <v>7.9844999999999997</v>
      </c>
    </row>
    <row r="450" spans="1:11" ht="15">
      <c r="A450" s="13">
        <v>54820</v>
      </c>
      <c r="B450" s="66">
        <f>6.6731 * CHOOSE(CONTROL!$C$26, $C$13, 100%, $E$13)</f>
        <v>6.6730999999999998</v>
      </c>
      <c r="C450" s="66">
        <f>6.6731 * CHOOSE(CONTROL!$C$26, $C$13, 100%, $E$13)</f>
        <v>6.6730999999999998</v>
      </c>
      <c r="D450" s="66">
        <f>6.677 * CHOOSE(CONTROL!$C$26, $C$13, 100%, $E$13)</f>
        <v>6.6769999999999996</v>
      </c>
      <c r="E450" s="67">
        <f>7.8478 * CHOOSE(CONTROL!$C$26, $C$13, 100%, $E$13)</f>
        <v>7.8478000000000003</v>
      </c>
      <c r="F450" s="67">
        <f>7.8478 * CHOOSE(CONTROL!$C$26, $C$13, 100%, $E$13)</f>
        <v>7.8478000000000003</v>
      </c>
      <c r="G450" s="67">
        <f>7.8526 * CHOOSE(CONTROL!$C$26, $C$13, 100%, $E$13)</f>
        <v>7.8525999999999998</v>
      </c>
      <c r="H450" s="67">
        <f>14.5283* CHOOSE(CONTROL!$C$26, $C$13, 100%, $E$13)</f>
        <v>14.5283</v>
      </c>
      <c r="I450" s="67">
        <f>14.5331 * CHOOSE(CONTROL!$C$26, $C$13, 100%, $E$13)</f>
        <v>14.533099999999999</v>
      </c>
      <c r="J450" s="67">
        <f>7.8478 * CHOOSE(CONTROL!$C$26, $C$13, 100%, $E$13)</f>
        <v>7.8478000000000003</v>
      </c>
      <c r="K450" s="67">
        <f>7.8526 * CHOOSE(CONTROL!$C$26, $C$13, 100%, $E$13)</f>
        <v>7.8525999999999998</v>
      </c>
    </row>
    <row r="451" spans="1:11" ht="15">
      <c r="A451" s="13">
        <v>54848</v>
      </c>
      <c r="B451" s="66">
        <f>6.6701 * CHOOSE(CONTROL!$C$26, $C$13, 100%, $E$13)</f>
        <v>6.6700999999999997</v>
      </c>
      <c r="C451" s="66">
        <f>6.6701 * CHOOSE(CONTROL!$C$26, $C$13, 100%, $E$13)</f>
        <v>6.6700999999999997</v>
      </c>
      <c r="D451" s="66">
        <f>6.674 * CHOOSE(CONTROL!$C$26, $C$13, 100%, $E$13)</f>
        <v>6.6740000000000004</v>
      </c>
      <c r="E451" s="67">
        <f>7.948 * CHOOSE(CONTROL!$C$26, $C$13, 100%, $E$13)</f>
        <v>7.9480000000000004</v>
      </c>
      <c r="F451" s="67">
        <f>7.948 * CHOOSE(CONTROL!$C$26, $C$13, 100%, $E$13)</f>
        <v>7.9480000000000004</v>
      </c>
      <c r="G451" s="67">
        <f>7.9528 * CHOOSE(CONTROL!$C$26, $C$13, 100%, $E$13)</f>
        <v>7.9527999999999999</v>
      </c>
      <c r="H451" s="67">
        <f>14.5586* CHOOSE(CONTROL!$C$26, $C$13, 100%, $E$13)</f>
        <v>14.5586</v>
      </c>
      <c r="I451" s="67">
        <f>14.5633 * CHOOSE(CONTROL!$C$26, $C$13, 100%, $E$13)</f>
        <v>14.5633</v>
      </c>
      <c r="J451" s="67">
        <f>7.948 * CHOOSE(CONTROL!$C$26, $C$13, 100%, $E$13)</f>
        <v>7.9480000000000004</v>
      </c>
      <c r="K451" s="67">
        <f>7.9528 * CHOOSE(CONTROL!$C$26, $C$13, 100%, $E$13)</f>
        <v>7.9527999999999999</v>
      </c>
    </row>
    <row r="452" spans="1:11" ht="15">
      <c r="A452" s="13">
        <v>54879</v>
      </c>
      <c r="B452" s="66">
        <f>6.67 * CHOOSE(CONTROL!$C$26, $C$13, 100%, $E$13)</f>
        <v>6.67</v>
      </c>
      <c r="C452" s="66">
        <f>6.67 * CHOOSE(CONTROL!$C$26, $C$13, 100%, $E$13)</f>
        <v>6.67</v>
      </c>
      <c r="D452" s="66">
        <f>6.6739 * CHOOSE(CONTROL!$C$26, $C$13, 100%, $E$13)</f>
        <v>6.6738999999999997</v>
      </c>
      <c r="E452" s="67">
        <f>8.0536 * CHOOSE(CONTROL!$C$26, $C$13, 100%, $E$13)</f>
        <v>8.0535999999999994</v>
      </c>
      <c r="F452" s="67">
        <f>8.0536 * CHOOSE(CONTROL!$C$26, $C$13, 100%, $E$13)</f>
        <v>8.0535999999999994</v>
      </c>
      <c r="G452" s="67">
        <f>8.0584 * CHOOSE(CONTROL!$C$26, $C$13, 100%, $E$13)</f>
        <v>8.0584000000000007</v>
      </c>
      <c r="H452" s="67">
        <f>14.5889* CHOOSE(CONTROL!$C$26, $C$13, 100%, $E$13)</f>
        <v>14.588900000000001</v>
      </c>
      <c r="I452" s="67">
        <f>14.5937 * CHOOSE(CONTROL!$C$26, $C$13, 100%, $E$13)</f>
        <v>14.5937</v>
      </c>
      <c r="J452" s="67">
        <f>8.0536 * CHOOSE(CONTROL!$C$26, $C$13, 100%, $E$13)</f>
        <v>8.0535999999999994</v>
      </c>
      <c r="K452" s="67">
        <f>8.0584 * CHOOSE(CONTROL!$C$26, $C$13, 100%, $E$13)</f>
        <v>8.0584000000000007</v>
      </c>
    </row>
    <row r="453" spans="1:11" ht="15">
      <c r="A453" s="13">
        <v>54909</v>
      </c>
      <c r="B453" s="66">
        <f>6.67 * CHOOSE(CONTROL!$C$26, $C$13, 100%, $E$13)</f>
        <v>6.67</v>
      </c>
      <c r="C453" s="66">
        <f>6.67 * CHOOSE(CONTROL!$C$26, $C$13, 100%, $E$13)</f>
        <v>6.67</v>
      </c>
      <c r="D453" s="66">
        <f>6.6756 * CHOOSE(CONTROL!$C$26, $C$13, 100%, $E$13)</f>
        <v>6.6756000000000002</v>
      </c>
      <c r="E453" s="67">
        <f>8.0948 * CHOOSE(CONTROL!$C$26, $C$13, 100%, $E$13)</f>
        <v>8.0947999999999993</v>
      </c>
      <c r="F453" s="67">
        <f>8.0948 * CHOOSE(CONTROL!$C$26, $C$13, 100%, $E$13)</f>
        <v>8.0947999999999993</v>
      </c>
      <c r="G453" s="67">
        <f>8.1016 * CHOOSE(CONTROL!$C$26, $C$13, 100%, $E$13)</f>
        <v>8.1015999999999995</v>
      </c>
      <c r="H453" s="67">
        <f>14.6193* CHOOSE(CONTROL!$C$26, $C$13, 100%, $E$13)</f>
        <v>14.619300000000001</v>
      </c>
      <c r="I453" s="67">
        <f>14.626 * CHOOSE(CONTROL!$C$26, $C$13, 100%, $E$13)</f>
        <v>14.625999999999999</v>
      </c>
      <c r="J453" s="67">
        <f>8.0948 * CHOOSE(CONTROL!$C$26, $C$13, 100%, $E$13)</f>
        <v>8.0947999999999993</v>
      </c>
      <c r="K453" s="67">
        <f>8.1016 * CHOOSE(CONTROL!$C$26, $C$13, 100%, $E$13)</f>
        <v>8.1015999999999995</v>
      </c>
    </row>
    <row r="454" spans="1:11" ht="15">
      <c r="A454" s="13">
        <v>54940</v>
      </c>
      <c r="B454" s="66">
        <f>6.6761 * CHOOSE(CONTROL!$C$26, $C$13, 100%, $E$13)</f>
        <v>6.6760999999999999</v>
      </c>
      <c r="C454" s="66">
        <f>6.6761 * CHOOSE(CONTROL!$C$26, $C$13, 100%, $E$13)</f>
        <v>6.6760999999999999</v>
      </c>
      <c r="D454" s="66">
        <f>6.6816 * CHOOSE(CONTROL!$C$26, $C$13, 100%, $E$13)</f>
        <v>6.6816000000000004</v>
      </c>
      <c r="E454" s="67">
        <f>8.0579 * CHOOSE(CONTROL!$C$26, $C$13, 100%, $E$13)</f>
        <v>8.0579000000000001</v>
      </c>
      <c r="F454" s="67">
        <f>8.0579 * CHOOSE(CONTROL!$C$26, $C$13, 100%, $E$13)</f>
        <v>8.0579000000000001</v>
      </c>
      <c r="G454" s="67">
        <f>8.0646 * CHOOSE(CONTROL!$C$26, $C$13, 100%, $E$13)</f>
        <v>8.0646000000000004</v>
      </c>
      <c r="H454" s="67">
        <f>14.6497* CHOOSE(CONTROL!$C$26, $C$13, 100%, $E$13)</f>
        <v>14.649699999999999</v>
      </c>
      <c r="I454" s="67">
        <f>14.6565 * CHOOSE(CONTROL!$C$26, $C$13, 100%, $E$13)</f>
        <v>14.656499999999999</v>
      </c>
      <c r="J454" s="67">
        <f>8.0579 * CHOOSE(CONTROL!$C$26, $C$13, 100%, $E$13)</f>
        <v>8.0579000000000001</v>
      </c>
      <c r="K454" s="67">
        <f>8.0646 * CHOOSE(CONTROL!$C$26, $C$13, 100%, $E$13)</f>
        <v>8.0646000000000004</v>
      </c>
    </row>
    <row r="455" spans="1:11" ht="15">
      <c r="A455" s="13">
        <v>54970</v>
      </c>
      <c r="B455" s="66">
        <f>6.7826 * CHOOSE(CONTROL!$C$26, $C$13, 100%, $E$13)</f>
        <v>6.7826000000000004</v>
      </c>
      <c r="C455" s="66">
        <f>6.7826 * CHOOSE(CONTROL!$C$26, $C$13, 100%, $E$13)</f>
        <v>6.7826000000000004</v>
      </c>
      <c r="D455" s="66">
        <f>6.7881 * CHOOSE(CONTROL!$C$26, $C$13, 100%, $E$13)</f>
        <v>6.7881</v>
      </c>
      <c r="E455" s="67">
        <f>8.1919 * CHOOSE(CONTROL!$C$26, $C$13, 100%, $E$13)</f>
        <v>8.1919000000000004</v>
      </c>
      <c r="F455" s="67">
        <f>8.1919 * CHOOSE(CONTROL!$C$26, $C$13, 100%, $E$13)</f>
        <v>8.1919000000000004</v>
      </c>
      <c r="G455" s="67">
        <f>8.1986 * CHOOSE(CONTROL!$C$26, $C$13, 100%, $E$13)</f>
        <v>8.1986000000000008</v>
      </c>
      <c r="H455" s="67">
        <f>14.6803* CHOOSE(CONTROL!$C$26, $C$13, 100%, $E$13)</f>
        <v>14.680300000000001</v>
      </c>
      <c r="I455" s="67">
        <f>14.687 * CHOOSE(CONTROL!$C$26, $C$13, 100%, $E$13)</f>
        <v>14.686999999999999</v>
      </c>
      <c r="J455" s="67">
        <f>8.1919 * CHOOSE(CONTROL!$C$26, $C$13, 100%, $E$13)</f>
        <v>8.1919000000000004</v>
      </c>
      <c r="K455" s="67">
        <f>8.1986 * CHOOSE(CONTROL!$C$26, $C$13, 100%, $E$13)</f>
        <v>8.1986000000000008</v>
      </c>
    </row>
    <row r="456" spans="1:11" ht="15">
      <c r="A456" s="13">
        <v>55001</v>
      </c>
      <c r="B456" s="66">
        <f>6.7893 * CHOOSE(CONTROL!$C$26, $C$13, 100%, $E$13)</f>
        <v>6.7892999999999999</v>
      </c>
      <c r="C456" s="66">
        <f>6.7893 * CHOOSE(CONTROL!$C$26, $C$13, 100%, $E$13)</f>
        <v>6.7892999999999999</v>
      </c>
      <c r="D456" s="66">
        <f>6.7948 * CHOOSE(CONTROL!$C$26, $C$13, 100%, $E$13)</f>
        <v>6.7948000000000004</v>
      </c>
      <c r="E456" s="67">
        <f>8.0729 * CHOOSE(CONTROL!$C$26, $C$13, 100%, $E$13)</f>
        <v>8.0729000000000006</v>
      </c>
      <c r="F456" s="67">
        <f>8.0729 * CHOOSE(CONTROL!$C$26, $C$13, 100%, $E$13)</f>
        <v>8.0729000000000006</v>
      </c>
      <c r="G456" s="67">
        <f>8.0796 * CHOOSE(CONTROL!$C$26, $C$13, 100%, $E$13)</f>
        <v>8.0795999999999992</v>
      </c>
      <c r="H456" s="67">
        <f>14.7108* CHOOSE(CONTROL!$C$26, $C$13, 100%, $E$13)</f>
        <v>14.710800000000001</v>
      </c>
      <c r="I456" s="67">
        <f>14.7176 * CHOOSE(CONTROL!$C$26, $C$13, 100%, $E$13)</f>
        <v>14.717599999999999</v>
      </c>
      <c r="J456" s="67">
        <f>8.0729 * CHOOSE(CONTROL!$C$26, $C$13, 100%, $E$13)</f>
        <v>8.0729000000000006</v>
      </c>
      <c r="K456" s="67">
        <f>8.0796 * CHOOSE(CONTROL!$C$26, $C$13, 100%, $E$13)</f>
        <v>8.0795999999999992</v>
      </c>
    </row>
    <row r="457" spans="1:11" ht="15">
      <c r="A457" s="13">
        <v>55032</v>
      </c>
      <c r="B457" s="66">
        <f>6.7863 * CHOOSE(CONTROL!$C$26, $C$13, 100%, $E$13)</f>
        <v>6.7862999999999998</v>
      </c>
      <c r="C457" s="66">
        <f>6.7863 * CHOOSE(CONTROL!$C$26, $C$13, 100%, $E$13)</f>
        <v>6.7862999999999998</v>
      </c>
      <c r="D457" s="66">
        <f>6.7918 * CHOOSE(CONTROL!$C$26, $C$13, 100%, $E$13)</f>
        <v>6.7918000000000003</v>
      </c>
      <c r="E457" s="67">
        <f>8.0571 * CHOOSE(CONTROL!$C$26, $C$13, 100%, $E$13)</f>
        <v>8.0571000000000002</v>
      </c>
      <c r="F457" s="67">
        <f>8.0571 * CHOOSE(CONTROL!$C$26, $C$13, 100%, $E$13)</f>
        <v>8.0571000000000002</v>
      </c>
      <c r="G457" s="67">
        <f>8.0638 * CHOOSE(CONTROL!$C$26, $C$13, 100%, $E$13)</f>
        <v>8.0638000000000005</v>
      </c>
      <c r="H457" s="67">
        <f>14.7415* CHOOSE(CONTROL!$C$26, $C$13, 100%, $E$13)</f>
        <v>14.7415</v>
      </c>
      <c r="I457" s="67">
        <f>14.7482 * CHOOSE(CONTROL!$C$26, $C$13, 100%, $E$13)</f>
        <v>14.748200000000001</v>
      </c>
      <c r="J457" s="67">
        <f>8.0571 * CHOOSE(CONTROL!$C$26, $C$13, 100%, $E$13)</f>
        <v>8.0571000000000002</v>
      </c>
      <c r="K457" s="67">
        <f>8.0638 * CHOOSE(CONTROL!$C$26, $C$13, 100%, $E$13)</f>
        <v>8.0638000000000005</v>
      </c>
    </row>
    <row r="458" spans="1:11" ht="15">
      <c r="A458" s="13">
        <v>55062</v>
      </c>
      <c r="B458" s="66">
        <f>6.7905 * CHOOSE(CONTROL!$C$26, $C$13, 100%, $E$13)</f>
        <v>6.7904999999999998</v>
      </c>
      <c r="C458" s="66">
        <f>6.7905 * CHOOSE(CONTROL!$C$26, $C$13, 100%, $E$13)</f>
        <v>6.7904999999999998</v>
      </c>
      <c r="D458" s="66">
        <f>6.7944 * CHOOSE(CONTROL!$C$26, $C$13, 100%, $E$13)</f>
        <v>6.7944000000000004</v>
      </c>
      <c r="E458" s="67">
        <f>8.0986 * CHOOSE(CONTROL!$C$26, $C$13, 100%, $E$13)</f>
        <v>8.0985999999999994</v>
      </c>
      <c r="F458" s="67">
        <f>8.0986 * CHOOSE(CONTROL!$C$26, $C$13, 100%, $E$13)</f>
        <v>8.0985999999999994</v>
      </c>
      <c r="G458" s="67">
        <f>8.1033 * CHOOSE(CONTROL!$C$26, $C$13, 100%, $E$13)</f>
        <v>8.1033000000000008</v>
      </c>
      <c r="H458" s="67">
        <f>14.7722* CHOOSE(CONTROL!$C$26, $C$13, 100%, $E$13)</f>
        <v>14.7722</v>
      </c>
      <c r="I458" s="67">
        <f>14.777 * CHOOSE(CONTROL!$C$26, $C$13, 100%, $E$13)</f>
        <v>14.776999999999999</v>
      </c>
      <c r="J458" s="67">
        <f>8.0986 * CHOOSE(CONTROL!$C$26, $C$13, 100%, $E$13)</f>
        <v>8.0985999999999994</v>
      </c>
      <c r="K458" s="67">
        <f>8.1033 * CHOOSE(CONTROL!$C$26, $C$13, 100%, $E$13)</f>
        <v>8.1033000000000008</v>
      </c>
    </row>
    <row r="459" spans="1:11" ht="15">
      <c r="A459" s="13">
        <v>55093</v>
      </c>
      <c r="B459" s="66">
        <f>6.7936 * CHOOSE(CONTROL!$C$26, $C$13, 100%, $E$13)</f>
        <v>6.7935999999999996</v>
      </c>
      <c r="C459" s="66">
        <f>6.7936 * CHOOSE(CONTROL!$C$26, $C$13, 100%, $E$13)</f>
        <v>6.7935999999999996</v>
      </c>
      <c r="D459" s="66">
        <f>6.7974 * CHOOSE(CONTROL!$C$26, $C$13, 100%, $E$13)</f>
        <v>6.7973999999999997</v>
      </c>
      <c r="E459" s="67">
        <f>8.1282 * CHOOSE(CONTROL!$C$26, $C$13, 100%, $E$13)</f>
        <v>8.1281999999999996</v>
      </c>
      <c r="F459" s="67">
        <f>8.1282 * CHOOSE(CONTROL!$C$26, $C$13, 100%, $E$13)</f>
        <v>8.1281999999999996</v>
      </c>
      <c r="G459" s="67">
        <f>8.1329 * CHOOSE(CONTROL!$C$26, $C$13, 100%, $E$13)</f>
        <v>8.1328999999999994</v>
      </c>
      <c r="H459" s="67">
        <f>14.803* CHOOSE(CONTROL!$C$26, $C$13, 100%, $E$13)</f>
        <v>14.803000000000001</v>
      </c>
      <c r="I459" s="67">
        <f>14.8077 * CHOOSE(CONTROL!$C$26, $C$13, 100%, $E$13)</f>
        <v>14.807700000000001</v>
      </c>
      <c r="J459" s="67">
        <f>8.1282 * CHOOSE(CONTROL!$C$26, $C$13, 100%, $E$13)</f>
        <v>8.1281999999999996</v>
      </c>
      <c r="K459" s="67">
        <f>8.1329 * CHOOSE(CONTROL!$C$26, $C$13, 100%, $E$13)</f>
        <v>8.1328999999999994</v>
      </c>
    </row>
    <row r="460" spans="1:11" ht="15">
      <c r="A460" s="13">
        <v>55123</v>
      </c>
      <c r="B460" s="66">
        <f>6.7936 * CHOOSE(CONTROL!$C$26, $C$13, 100%, $E$13)</f>
        <v>6.7935999999999996</v>
      </c>
      <c r="C460" s="66">
        <f>6.7936 * CHOOSE(CONTROL!$C$26, $C$13, 100%, $E$13)</f>
        <v>6.7935999999999996</v>
      </c>
      <c r="D460" s="66">
        <f>6.7974 * CHOOSE(CONTROL!$C$26, $C$13, 100%, $E$13)</f>
        <v>6.7973999999999997</v>
      </c>
      <c r="E460" s="67">
        <f>8.0595 * CHOOSE(CONTROL!$C$26, $C$13, 100%, $E$13)</f>
        <v>8.0594999999999999</v>
      </c>
      <c r="F460" s="67">
        <f>8.0595 * CHOOSE(CONTROL!$C$26, $C$13, 100%, $E$13)</f>
        <v>8.0594999999999999</v>
      </c>
      <c r="G460" s="67">
        <f>8.0643 * CHOOSE(CONTROL!$C$26, $C$13, 100%, $E$13)</f>
        <v>8.0642999999999994</v>
      </c>
      <c r="H460" s="67">
        <f>14.8338* CHOOSE(CONTROL!$C$26, $C$13, 100%, $E$13)</f>
        <v>14.8338</v>
      </c>
      <c r="I460" s="67">
        <f>14.8386 * CHOOSE(CONTROL!$C$26, $C$13, 100%, $E$13)</f>
        <v>14.8386</v>
      </c>
      <c r="J460" s="67">
        <f>8.0595 * CHOOSE(CONTROL!$C$26, $C$13, 100%, $E$13)</f>
        <v>8.0594999999999999</v>
      </c>
      <c r="K460" s="67">
        <f>8.0643 * CHOOSE(CONTROL!$C$26, $C$13, 100%, $E$13)</f>
        <v>8.0642999999999994</v>
      </c>
    </row>
    <row r="461" spans="1:11" ht="15">
      <c r="A461" s="13">
        <v>55154</v>
      </c>
      <c r="B461" s="66">
        <f>6.8525 * CHOOSE(CONTROL!$C$26, $C$13, 100%, $E$13)</f>
        <v>6.8525</v>
      </c>
      <c r="C461" s="66">
        <f>6.8525 * CHOOSE(CONTROL!$C$26, $C$13, 100%, $E$13)</f>
        <v>6.8525</v>
      </c>
      <c r="D461" s="66">
        <f>6.8564 * CHOOSE(CONTROL!$C$26, $C$13, 100%, $E$13)</f>
        <v>6.8563999999999998</v>
      </c>
      <c r="E461" s="67">
        <f>8.1748 * CHOOSE(CONTROL!$C$26, $C$13, 100%, $E$13)</f>
        <v>8.1747999999999994</v>
      </c>
      <c r="F461" s="67">
        <f>8.1748 * CHOOSE(CONTROL!$C$26, $C$13, 100%, $E$13)</f>
        <v>8.1747999999999994</v>
      </c>
      <c r="G461" s="67">
        <f>8.1795 * CHOOSE(CONTROL!$C$26, $C$13, 100%, $E$13)</f>
        <v>8.1795000000000009</v>
      </c>
      <c r="H461" s="67">
        <f>14.8647* CHOOSE(CONTROL!$C$26, $C$13, 100%, $E$13)</f>
        <v>14.864699999999999</v>
      </c>
      <c r="I461" s="67">
        <f>14.8695 * CHOOSE(CONTROL!$C$26, $C$13, 100%, $E$13)</f>
        <v>14.8695</v>
      </c>
      <c r="J461" s="67">
        <f>8.1748 * CHOOSE(CONTROL!$C$26, $C$13, 100%, $E$13)</f>
        <v>8.1747999999999994</v>
      </c>
      <c r="K461" s="67">
        <f>8.1795 * CHOOSE(CONTROL!$C$26, $C$13, 100%, $E$13)</f>
        <v>8.1795000000000009</v>
      </c>
    </row>
    <row r="462" spans="1:11" ht="15">
      <c r="A462" s="13">
        <v>55185</v>
      </c>
      <c r="B462" s="66">
        <f>6.8495 * CHOOSE(CONTROL!$C$26, $C$13, 100%, $E$13)</f>
        <v>6.8494999999999999</v>
      </c>
      <c r="C462" s="66">
        <f>6.8495 * CHOOSE(CONTROL!$C$26, $C$13, 100%, $E$13)</f>
        <v>6.8494999999999999</v>
      </c>
      <c r="D462" s="66">
        <f>6.8533 * CHOOSE(CONTROL!$C$26, $C$13, 100%, $E$13)</f>
        <v>6.8532999999999999</v>
      </c>
      <c r="E462" s="67">
        <f>8.0392 * CHOOSE(CONTROL!$C$26, $C$13, 100%, $E$13)</f>
        <v>8.0391999999999992</v>
      </c>
      <c r="F462" s="67">
        <f>8.0392 * CHOOSE(CONTROL!$C$26, $C$13, 100%, $E$13)</f>
        <v>8.0391999999999992</v>
      </c>
      <c r="G462" s="67">
        <f>8.044 * CHOOSE(CONTROL!$C$26, $C$13, 100%, $E$13)</f>
        <v>8.0440000000000005</v>
      </c>
      <c r="H462" s="67">
        <f>14.8957* CHOOSE(CONTROL!$C$26, $C$13, 100%, $E$13)</f>
        <v>14.8957</v>
      </c>
      <c r="I462" s="67">
        <f>14.9005 * CHOOSE(CONTROL!$C$26, $C$13, 100%, $E$13)</f>
        <v>14.900499999999999</v>
      </c>
      <c r="J462" s="67">
        <f>8.0392 * CHOOSE(CONTROL!$C$26, $C$13, 100%, $E$13)</f>
        <v>8.0391999999999992</v>
      </c>
      <c r="K462" s="67">
        <f>8.044 * CHOOSE(CONTROL!$C$26, $C$13, 100%, $E$13)</f>
        <v>8.0440000000000005</v>
      </c>
    </row>
    <row r="463" spans="1:11" ht="15">
      <c r="A463" s="13">
        <v>55213</v>
      </c>
      <c r="B463" s="66">
        <f>6.8464 * CHOOSE(CONTROL!$C$26, $C$13, 100%, $E$13)</f>
        <v>6.8464</v>
      </c>
      <c r="C463" s="66">
        <f>6.8464 * CHOOSE(CONTROL!$C$26, $C$13, 100%, $E$13)</f>
        <v>6.8464</v>
      </c>
      <c r="D463" s="66">
        <f>6.8503 * CHOOSE(CONTROL!$C$26, $C$13, 100%, $E$13)</f>
        <v>6.8502999999999998</v>
      </c>
      <c r="E463" s="67">
        <f>8.1423 * CHOOSE(CONTROL!$C$26, $C$13, 100%, $E$13)</f>
        <v>8.1423000000000005</v>
      </c>
      <c r="F463" s="67">
        <f>8.1423 * CHOOSE(CONTROL!$C$26, $C$13, 100%, $E$13)</f>
        <v>8.1423000000000005</v>
      </c>
      <c r="G463" s="67">
        <f>8.147 * CHOOSE(CONTROL!$C$26, $C$13, 100%, $E$13)</f>
        <v>8.1470000000000002</v>
      </c>
      <c r="H463" s="67">
        <f>14.9267* CHOOSE(CONTROL!$C$26, $C$13, 100%, $E$13)</f>
        <v>14.9267</v>
      </c>
      <c r="I463" s="67">
        <f>14.9315 * CHOOSE(CONTROL!$C$26, $C$13, 100%, $E$13)</f>
        <v>14.9315</v>
      </c>
      <c r="J463" s="67">
        <f>8.1423 * CHOOSE(CONTROL!$C$26, $C$13, 100%, $E$13)</f>
        <v>8.1423000000000005</v>
      </c>
      <c r="K463" s="67">
        <f>8.147 * CHOOSE(CONTROL!$C$26, $C$13, 100%, $E$13)</f>
        <v>8.1470000000000002</v>
      </c>
    </row>
    <row r="464" spans="1:11" ht="15">
      <c r="A464" s="13">
        <v>55244</v>
      </c>
      <c r="B464" s="66">
        <f>6.8465 * CHOOSE(CONTROL!$C$26, $C$13, 100%, $E$13)</f>
        <v>6.8464999999999998</v>
      </c>
      <c r="C464" s="66">
        <f>6.8465 * CHOOSE(CONTROL!$C$26, $C$13, 100%, $E$13)</f>
        <v>6.8464999999999998</v>
      </c>
      <c r="D464" s="66">
        <f>6.8504 * CHOOSE(CONTROL!$C$26, $C$13, 100%, $E$13)</f>
        <v>6.8503999999999996</v>
      </c>
      <c r="E464" s="67">
        <f>8.251 * CHOOSE(CONTROL!$C$26, $C$13, 100%, $E$13)</f>
        <v>8.2509999999999994</v>
      </c>
      <c r="F464" s="67">
        <f>8.251 * CHOOSE(CONTROL!$C$26, $C$13, 100%, $E$13)</f>
        <v>8.2509999999999994</v>
      </c>
      <c r="G464" s="67">
        <f>8.2558 * CHOOSE(CONTROL!$C$26, $C$13, 100%, $E$13)</f>
        <v>8.2558000000000007</v>
      </c>
      <c r="H464" s="67">
        <f>14.9578* CHOOSE(CONTROL!$C$26, $C$13, 100%, $E$13)</f>
        <v>14.957800000000001</v>
      </c>
      <c r="I464" s="67">
        <f>14.9626 * CHOOSE(CONTROL!$C$26, $C$13, 100%, $E$13)</f>
        <v>14.9626</v>
      </c>
      <c r="J464" s="67">
        <f>8.251 * CHOOSE(CONTROL!$C$26, $C$13, 100%, $E$13)</f>
        <v>8.2509999999999994</v>
      </c>
      <c r="K464" s="67">
        <f>8.2558 * CHOOSE(CONTROL!$C$26, $C$13, 100%, $E$13)</f>
        <v>8.2558000000000007</v>
      </c>
    </row>
    <row r="465" spans="1:11" ht="15">
      <c r="A465" s="13">
        <v>55274</v>
      </c>
      <c r="B465" s="66">
        <f>6.8465 * CHOOSE(CONTROL!$C$26, $C$13, 100%, $E$13)</f>
        <v>6.8464999999999998</v>
      </c>
      <c r="C465" s="66">
        <f>6.8465 * CHOOSE(CONTROL!$C$26, $C$13, 100%, $E$13)</f>
        <v>6.8464999999999998</v>
      </c>
      <c r="D465" s="66">
        <f>6.852 * CHOOSE(CONTROL!$C$26, $C$13, 100%, $E$13)</f>
        <v>6.8520000000000003</v>
      </c>
      <c r="E465" s="67">
        <f>8.2934 * CHOOSE(CONTROL!$C$26, $C$13, 100%, $E$13)</f>
        <v>8.2934000000000001</v>
      </c>
      <c r="F465" s="67">
        <f>8.2934 * CHOOSE(CONTROL!$C$26, $C$13, 100%, $E$13)</f>
        <v>8.2934000000000001</v>
      </c>
      <c r="G465" s="67">
        <f>8.3001 * CHOOSE(CONTROL!$C$26, $C$13, 100%, $E$13)</f>
        <v>8.3001000000000005</v>
      </c>
      <c r="H465" s="67">
        <f>14.989* CHOOSE(CONTROL!$C$26, $C$13, 100%, $E$13)</f>
        <v>14.989000000000001</v>
      </c>
      <c r="I465" s="67">
        <f>14.9957 * CHOOSE(CONTROL!$C$26, $C$13, 100%, $E$13)</f>
        <v>14.995699999999999</v>
      </c>
      <c r="J465" s="67">
        <f>8.2934 * CHOOSE(CONTROL!$C$26, $C$13, 100%, $E$13)</f>
        <v>8.2934000000000001</v>
      </c>
      <c r="K465" s="67">
        <f>8.3001 * CHOOSE(CONTROL!$C$26, $C$13, 100%, $E$13)</f>
        <v>8.3001000000000005</v>
      </c>
    </row>
    <row r="466" spans="1:11" ht="15">
      <c r="A466" s="13">
        <v>55305</v>
      </c>
      <c r="B466" s="66">
        <f>6.8526 * CHOOSE(CONTROL!$C$26, $C$13, 100%, $E$13)</f>
        <v>6.8525999999999998</v>
      </c>
      <c r="C466" s="66">
        <f>6.8526 * CHOOSE(CONTROL!$C$26, $C$13, 100%, $E$13)</f>
        <v>6.8525999999999998</v>
      </c>
      <c r="D466" s="66">
        <f>6.8581 * CHOOSE(CONTROL!$C$26, $C$13, 100%, $E$13)</f>
        <v>6.8581000000000003</v>
      </c>
      <c r="E466" s="67">
        <f>8.2552 * CHOOSE(CONTROL!$C$26, $C$13, 100%, $E$13)</f>
        <v>8.2552000000000003</v>
      </c>
      <c r="F466" s="67">
        <f>8.2552 * CHOOSE(CONTROL!$C$26, $C$13, 100%, $E$13)</f>
        <v>8.2552000000000003</v>
      </c>
      <c r="G466" s="67">
        <f>8.262 * CHOOSE(CONTROL!$C$26, $C$13, 100%, $E$13)</f>
        <v>8.2620000000000005</v>
      </c>
      <c r="H466" s="67">
        <f>15.0202* CHOOSE(CONTROL!$C$26, $C$13, 100%, $E$13)</f>
        <v>15.020200000000001</v>
      </c>
      <c r="I466" s="67">
        <f>15.0269 * CHOOSE(CONTROL!$C$26, $C$13, 100%, $E$13)</f>
        <v>15.026899999999999</v>
      </c>
      <c r="J466" s="67">
        <f>8.2552 * CHOOSE(CONTROL!$C$26, $C$13, 100%, $E$13)</f>
        <v>8.2552000000000003</v>
      </c>
      <c r="K466" s="67">
        <f>8.262 * CHOOSE(CONTROL!$C$26, $C$13, 100%, $E$13)</f>
        <v>8.2620000000000005</v>
      </c>
    </row>
    <row r="467" spans="1:11" ht="15">
      <c r="A467" s="13">
        <v>55335</v>
      </c>
      <c r="B467" s="66">
        <f>6.9616 * CHOOSE(CONTROL!$C$26, $C$13, 100%, $E$13)</f>
        <v>6.9615999999999998</v>
      </c>
      <c r="C467" s="66">
        <f>6.9616 * CHOOSE(CONTROL!$C$26, $C$13, 100%, $E$13)</f>
        <v>6.9615999999999998</v>
      </c>
      <c r="D467" s="66">
        <f>6.9671 * CHOOSE(CONTROL!$C$26, $C$13, 100%, $E$13)</f>
        <v>6.9671000000000003</v>
      </c>
      <c r="E467" s="67">
        <f>8.3922 * CHOOSE(CONTROL!$C$26, $C$13, 100%, $E$13)</f>
        <v>8.3922000000000008</v>
      </c>
      <c r="F467" s="67">
        <f>8.3922 * CHOOSE(CONTROL!$C$26, $C$13, 100%, $E$13)</f>
        <v>8.3922000000000008</v>
      </c>
      <c r="G467" s="67">
        <f>8.3989 * CHOOSE(CONTROL!$C$26, $C$13, 100%, $E$13)</f>
        <v>8.3988999999999994</v>
      </c>
      <c r="H467" s="67">
        <f>15.0515* CHOOSE(CONTROL!$C$26, $C$13, 100%, $E$13)</f>
        <v>15.051500000000001</v>
      </c>
      <c r="I467" s="67">
        <f>15.0582 * CHOOSE(CONTROL!$C$26, $C$13, 100%, $E$13)</f>
        <v>15.058199999999999</v>
      </c>
      <c r="J467" s="67">
        <f>8.3922 * CHOOSE(CONTROL!$C$26, $C$13, 100%, $E$13)</f>
        <v>8.3922000000000008</v>
      </c>
      <c r="K467" s="67">
        <f>8.3989 * CHOOSE(CONTROL!$C$26, $C$13, 100%, $E$13)</f>
        <v>8.3988999999999994</v>
      </c>
    </row>
    <row r="468" spans="1:11" ht="15">
      <c r="A468" s="13">
        <v>55366</v>
      </c>
      <c r="B468" s="66">
        <f>6.9683 * CHOOSE(CONTROL!$C$26, $C$13, 100%, $E$13)</f>
        <v>6.9683000000000002</v>
      </c>
      <c r="C468" s="66">
        <f>6.9683 * CHOOSE(CONTROL!$C$26, $C$13, 100%, $E$13)</f>
        <v>6.9683000000000002</v>
      </c>
      <c r="D468" s="66">
        <f>6.9738 * CHOOSE(CONTROL!$C$26, $C$13, 100%, $E$13)</f>
        <v>6.9737999999999998</v>
      </c>
      <c r="E468" s="67">
        <f>8.2698 * CHOOSE(CONTROL!$C$26, $C$13, 100%, $E$13)</f>
        <v>8.2698</v>
      </c>
      <c r="F468" s="67">
        <f>8.2698 * CHOOSE(CONTROL!$C$26, $C$13, 100%, $E$13)</f>
        <v>8.2698</v>
      </c>
      <c r="G468" s="67">
        <f>8.2765 * CHOOSE(CONTROL!$C$26, $C$13, 100%, $E$13)</f>
        <v>8.2765000000000004</v>
      </c>
      <c r="H468" s="67">
        <f>15.0828* CHOOSE(CONTROL!$C$26, $C$13, 100%, $E$13)</f>
        <v>15.082800000000001</v>
      </c>
      <c r="I468" s="67">
        <f>15.0896 * CHOOSE(CONTROL!$C$26, $C$13, 100%, $E$13)</f>
        <v>15.089600000000001</v>
      </c>
      <c r="J468" s="67">
        <f>8.2698 * CHOOSE(CONTROL!$C$26, $C$13, 100%, $E$13)</f>
        <v>8.2698</v>
      </c>
      <c r="K468" s="67">
        <f>8.2765 * CHOOSE(CONTROL!$C$26, $C$13, 100%, $E$13)</f>
        <v>8.2765000000000004</v>
      </c>
    </row>
    <row r="469" spans="1:11" ht="15">
      <c r="A469" s="13">
        <v>55397</v>
      </c>
      <c r="B469" s="66">
        <f>6.9653 * CHOOSE(CONTROL!$C$26, $C$13, 100%, $E$13)</f>
        <v>6.9653</v>
      </c>
      <c r="C469" s="66">
        <f>6.9653 * CHOOSE(CONTROL!$C$26, $C$13, 100%, $E$13)</f>
        <v>6.9653</v>
      </c>
      <c r="D469" s="66">
        <f>6.9708 * CHOOSE(CONTROL!$C$26, $C$13, 100%, $E$13)</f>
        <v>6.9707999999999997</v>
      </c>
      <c r="E469" s="67">
        <f>8.2536 * CHOOSE(CONTROL!$C$26, $C$13, 100%, $E$13)</f>
        <v>8.2536000000000005</v>
      </c>
      <c r="F469" s="67">
        <f>8.2536 * CHOOSE(CONTROL!$C$26, $C$13, 100%, $E$13)</f>
        <v>8.2536000000000005</v>
      </c>
      <c r="G469" s="67">
        <f>8.2603 * CHOOSE(CONTROL!$C$26, $C$13, 100%, $E$13)</f>
        <v>8.2603000000000009</v>
      </c>
      <c r="H469" s="67">
        <f>15.1143* CHOOSE(CONTROL!$C$26, $C$13, 100%, $E$13)</f>
        <v>15.1143</v>
      </c>
      <c r="I469" s="67">
        <f>15.121 * CHOOSE(CONTROL!$C$26, $C$13, 100%, $E$13)</f>
        <v>15.121</v>
      </c>
      <c r="J469" s="67">
        <f>8.2536 * CHOOSE(CONTROL!$C$26, $C$13, 100%, $E$13)</f>
        <v>8.2536000000000005</v>
      </c>
      <c r="K469" s="67">
        <f>8.2603 * CHOOSE(CONTROL!$C$26, $C$13, 100%, $E$13)</f>
        <v>8.2603000000000009</v>
      </c>
    </row>
    <row r="470" spans="1:11" ht="15">
      <c r="A470" s="13">
        <v>55427</v>
      </c>
      <c r="B470" s="66">
        <f>6.9701 * CHOOSE(CONTROL!$C$26, $C$13, 100%, $E$13)</f>
        <v>6.9701000000000004</v>
      </c>
      <c r="C470" s="66">
        <f>6.9701 * CHOOSE(CONTROL!$C$26, $C$13, 100%, $E$13)</f>
        <v>6.9701000000000004</v>
      </c>
      <c r="D470" s="66">
        <f>6.974 * CHOOSE(CONTROL!$C$26, $C$13, 100%, $E$13)</f>
        <v>6.9740000000000002</v>
      </c>
      <c r="E470" s="67">
        <f>8.2966 * CHOOSE(CONTROL!$C$26, $C$13, 100%, $E$13)</f>
        <v>8.2965999999999998</v>
      </c>
      <c r="F470" s="67">
        <f>8.2966 * CHOOSE(CONTROL!$C$26, $C$13, 100%, $E$13)</f>
        <v>8.2965999999999998</v>
      </c>
      <c r="G470" s="67">
        <f>8.3014 * CHOOSE(CONTROL!$C$26, $C$13, 100%, $E$13)</f>
        <v>8.3013999999999992</v>
      </c>
      <c r="H470" s="67">
        <f>15.1458* CHOOSE(CONTROL!$C$26, $C$13, 100%, $E$13)</f>
        <v>15.145799999999999</v>
      </c>
      <c r="I470" s="67">
        <f>15.1505 * CHOOSE(CONTROL!$C$26, $C$13, 100%, $E$13)</f>
        <v>15.150499999999999</v>
      </c>
      <c r="J470" s="67">
        <f>8.2966 * CHOOSE(CONTROL!$C$26, $C$13, 100%, $E$13)</f>
        <v>8.2965999999999998</v>
      </c>
      <c r="K470" s="67">
        <f>8.3014 * CHOOSE(CONTROL!$C$26, $C$13, 100%, $E$13)</f>
        <v>8.3013999999999992</v>
      </c>
    </row>
    <row r="471" spans="1:11" ht="15">
      <c r="A471" s="13">
        <v>55458</v>
      </c>
      <c r="B471" s="66">
        <f>6.9731 * CHOOSE(CONTROL!$C$26, $C$13, 100%, $E$13)</f>
        <v>6.9730999999999996</v>
      </c>
      <c r="C471" s="66">
        <f>6.9731 * CHOOSE(CONTROL!$C$26, $C$13, 100%, $E$13)</f>
        <v>6.9730999999999996</v>
      </c>
      <c r="D471" s="66">
        <f>6.977 * CHOOSE(CONTROL!$C$26, $C$13, 100%, $E$13)</f>
        <v>6.9770000000000003</v>
      </c>
      <c r="E471" s="67">
        <f>8.327 * CHOOSE(CONTROL!$C$26, $C$13, 100%, $E$13)</f>
        <v>8.327</v>
      </c>
      <c r="F471" s="67">
        <f>8.327 * CHOOSE(CONTROL!$C$26, $C$13, 100%, $E$13)</f>
        <v>8.327</v>
      </c>
      <c r="G471" s="67">
        <f>8.3317 * CHOOSE(CONTROL!$C$26, $C$13, 100%, $E$13)</f>
        <v>8.3316999999999997</v>
      </c>
      <c r="H471" s="67">
        <f>15.1773* CHOOSE(CONTROL!$C$26, $C$13, 100%, $E$13)</f>
        <v>15.177300000000001</v>
      </c>
      <c r="I471" s="67">
        <f>15.1821 * CHOOSE(CONTROL!$C$26, $C$13, 100%, $E$13)</f>
        <v>15.1821</v>
      </c>
      <c r="J471" s="67">
        <f>8.327 * CHOOSE(CONTROL!$C$26, $C$13, 100%, $E$13)</f>
        <v>8.327</v>
      </c>
      <c r="K471" s="67">
        <f>8.3317 * CHOOSE(CONTROL!$C$26, $C$13, 100%, $E$13)</f>
        <v>8.3316999999999997</v>
      </c>
    </row>
    <row r="472" spans="1:11" ht="15">
      <c r="A472" s="13">
        <v>55488</v>
      </c>
      <c r="B472" s="66">
        <f>6.9731 * CHOOSE(CONTROL!$C$26, $C$13, 100%, $E$13)</f>
        <v>6.9730999999999996</v>
      </c>
      <c r="C472" s="66">
        <f>6.9731 * CHOOSE(CONTROL!$C$26, $C$13, 100%, $E$13)</f>
        <v>6.9730999999999996</v>
      </c>
      <c r="D472" s="66">
        <f>6.977 * CHOOSE(CONTROL!$C$26, $C$13, 100%, $E$13)</f>
        <v>6.9770000000000003</v>
      </c>
      <c r="E472" s="67">
        <f>8.2564 * CHOOSE(CONTROL!$C$26, $C$13, 100%, $E$13)</f>
        <v>8.2563999999999993</v>
      </c>
      <c r="F472" s="67">
        <f>8.2564 * CHOOSE(CONTROL!$C$26, $C$13, 100%, $E$13)</f>
        <v>8.2563999999999993</v>
      </c>
      <c r="G472" s="67">
        <f>8.2611 * CHOOSE(CONTROL!$C$26, $C$13, 100%, $E$13)</f>
        <v>8.2611000000000008</v>
      </c>
      <c r="H472" s="67">
        <f>15.2089* CHOOSE(CONTROL!$C$26, $C$13, 100%, $E$13)</f>
        <v>15.2089</v>
      </c>
      <c r="I472" s="67">
        <f>15.2137 * CHOOSE(CONTROL!$C$26, $C$13, 100%, $E$13)</f>
        <v>15.213699999999999</v>
      </c>
      <c r="J472" s="67">
        <f>8.2564 * CHOOSE(CONTROL!$C$26, $C$13, 100%, $E$13)</f>
        <v>8.2563999999999993</v>
      </c>
      <c r="K472" s="67">
        <f>8.2611 * CHOOSE(CONTROL!$C$26, $C$13, 100%, $E$13)</f>
        <v>8.2611000000000008</v>
      </c>
    </row>
    <row r="473" spans="1:11" ht="15">
      <c r="A473" s="13">
        <v>55519</v>
      </c>
      <c r="B473" s="66">
        <f>7.0335 * CHOOSE(CONTROL!$C$26, $C$13, 100%, $E$13)</f>
        <v>7.0335000000000001</v>
      </c>
      <c r="C473" s="66">
        <f>7.0335 * CHOOSE(CONTROL!$C$26, $C$13, 100%, $E$13)</f>
        <v>7.0335000000000001</v>
      </c>
      <c r="D473" s="66">
        <f>7.0374 * CHOOSE(CONTROL!$C$26, $C$13, 100%, $E$13)</f>
        <v>7.0373999999999999</v>
      </c>
      <c r="E473" s="67">
        <f>8.3746 * CHOOSE(CONTROL!$C$26, $C$13, 100%, $E$13)</f>
        <v>8.3745999999999992</v>
      </c>
      <c r="F473" s="67">
        <f>8.3746 * CHOOSE(CONTROL!$C$26, $C$13, 100%, $E$13)</f>
        <v>8.3745999999999992</v>
      </c>
      <c r="G473" s="67">
        <f>8.3793 * CHOOSE(CONTROL!$C$26, $C$13, 100%, $E$13)</f>
        <v>8.3793000000000006</v>
      </c>
      <c r="H473" s="67">
        <f>15.2406* CHOOSE(CONTROL!$C$26, $C$13, 100%, $E$13)</f>
        <v>15.240600000000001</v>
      </c>
      <c r="I473" s="67">
        <f>15.2454 * CHOOSE(CONTROL!$C$26, $C$13, 100%, $E$13)</f>
        <v>15.2454</v>
      </c>
      <c r="J473" s="67">
        <f>8.3746 * CHOOSE(CONTROL!$C$26, $C$13, 100%, $E$13)</f>
        <v>8.3745999999999992</v>
      </c>
      <c r="K473" s="67">
        <f>8.3793 * CHOOSE(CONTROL!$C$26, $C$13, 100%, $E$13)</f>
        <v>8.3793000000000006</v>
      </c>
    </row>
    <row r="474" spans="1:11" ht="15">
      <c r="A474" s="13">
        <v>55550</v>
      </c>
      <c r="B474" s="66">
        <f>7.0305 * CHOOSE(CONTROL!$C$26, $C$13, 100%, $E$13)</f>
        <v>7.0305</v>
      </c>
      <c r="C474" s="66">
        <f>7.0305 * CHOOSE(CONTROL!$C$26, $C$13, 100%, $E$13)</f>
        <v>7.0305</v>
      </c>
      <c r="D474" s="66">
        <f>7.0343 * CHOOSE(CONTROL!$C$26, $C$13, 100%, $E$13)</f>
        <v>7.0343</v>
      </c>
      <c r="E474" s="67">
        <f>8.2353 * CHOOSE(CONTROL!$C$26, $C$13, 100%, $E$13)</f>
        <v>8.2353000000000005</v>
      </c>
      <c r="F474" s="67">
        <f>8.2353 * CHOOSE(CONTROL!$C$26, $C$13, 100%, $E$13)</f>
        <v>8.2353000000000005</v>
      </c>
      <c r="G474" s="67">
        <f>8.2401 * CHOOSE(CONTROL!$C$26, $C$13, 100%, $E$13)</f>
        <v>8.2401</v>
      </c>
      <c r="H474" s="67">
        <f>15.2724* CHOOSE(CONTROL!$C$26, $C$13, 100%, $E$13)</f>
        <v>15.272399999999999</v>
      </c>
      <c r="I474" s="67">
        <f>15.2771 * CHOOSE(CONTROL!$C$26, $C$13, 100%, $E$13)</f>
        <v>15.277100000000001</v>
      </c>
      <c r="J474" s="67">
        <f>8.2353 * CHOOSE(CONTROL!$C$26, $C$13, 100%, $E$13)</f>
        <v>8.2353000000000005</v>
      </c>
      <c r="K474" s="67">
        <f>8.2401 * CHOOSE(CONTROL!$C$26, $C$13, 100%, $E$13)</f>
        <v>8.2401</v>
      </c>
    </row>
    <row r="475" spans="1:11" ht="15">
      <c r="A475" s="13">
        <v>55579</v>
      </c>
      <c r="B475" s="66">
        <f>7.0274 * CHOOSE(CONTROL!$C$26, $C$13, 100%, $E$13)</f>
        <v>7.0274000000000001</v>
      </c>
      <c r="C475" s="66">
        <f>7.0274 * CHOOSE(CONTROL!$C$26, $C$13, 100%, $E$13)</f>
        <v>7.0274000000000001</v>
      </c>
      <c r="D475" s="66">
        <f>7.0313 * CHOOSE(CONTROL!$C$26, $C$13, 100%, $E$13)</f>
        <v>7.0312999999999999</v>
      </c>
      <c r="E475" s="67">
        <f>8.3413 * CHOOSE(CONTROL!$C$26, $C$13, 100%, $E$13)</f>
        <v>8.3413000000000004</v>
      </c>
      <c r="F475" s="67">
        <f>8.3413 * CHOOSE(CONTROL!$C$26, $C$13, 100%, $E$13)</f>
        <v>8.3413000000000004</v>
      </c>
      <c r="G475" s="67">
        <f>8.3461 * CHOOSE(CONTROL!$C$26, $C$13, 100%, $E$13)</f>
        <v>8.3460999999999999</v>
      </c>
      <c r="H475" s="67">
        <f>15.3042* CHOOSE(CONTROL!$C$26, $C$13, 100%, $E$13)</f>
        <v>15.3042</v>
      </c>
      <c r="I475" s="67">
        <f>15.309 * CHOOSE(CONTROL!$C$26, $C$13, 100%, $E$13)</f>
        <v>15.308999999999999</v>
      </c>
      <c r="J475" s="67">
        <f>8.3413 * CHOOSE(CONTROL!$C$26, $C$13, 100%, $E$13)</f>
        <v>8.3413000000000004</v>
      </c>
      <c r="K475" s="67">
        <f>8.3461 * CHOOSE(CONTROL!$C$26, $C$13, 100%, $E$13)</f>
        <v>8.3460999999999999</v>
      </c>
    </row>
    <row r="476" spans="1:11" ht="15">
      <c r="A476" s="13">
        <v>55610</v>
      </c>
      <c r="B476" s="66">
        <f>7.0277 * CHOOSE(CONTROL!$C$26, $C$13, 100%, $E$13)</f>
        <v>7.0277000000000003</v>
      </c>
      <c r="C476" s="66">
        <f>7.0277 * CHOOSE(CONTROL!$C$26, $C$13, 100%, $E$13)</f>
        <v>7.0277000000000003</v>
      </c>
      <c r="D476" s="66">
        <f>7.0315 * CHOOSE(CONTROL!$C$26, $C$13, 100%, $E$13)</f>
        <v>7.0315000000000003</v>
      </c>
      <c r="E476" s="67">
        <f>8.4532 * CHOOSE(CONTROL!$C$26, $C$13, 100%, $E$13)</f>
        <v>8.4532000000000007</v>
      </c>
      <c r="F476" s="67">
        <f>8.4532 * CHOOSE(CONTROL!$C$26, $C$13, 100%, $E$13)</f>
        <v>8.4532000000000007</v>
      </c>
      <c r="G476" s="67">
        <f>8.458 * CHOOSE(CONTROL!$C$26, $C$13, 100%, $E$13)</f>
        <v>8.4580000000000002</v>
      </c>
      <c r="H476" s="67">
        <f>15.3361* CHOOSE(CONTROL!$C$26, $C$13, 100%, $E$13)</f>
        <v>15.3361</v>
      </c>
      <c r="I476" s="67">
        <f>15.3408 * CHOOSE(CONTROL!$C$26, $C$13, 100%, $E$13)</f>
        <v>15.3408</v>
      </c>
      <c r="J476" s="67">
        <f>8.4532 * CHOOSE(CONTROL!$C$26, $C$13, 100%, $E$13)</f>
        <v>8.4532000000000007</v>
      </c>
      <c r="K476" s="67">
        <f>8.458 * CHOOSE(CONTROL!$C$26, $C$13, 100%, $E$13)</f>
        <v>8.4580000000000002</v>
      </c>
    </row>
    <row r="477" spans="1:11" ht="15">
      <c r="A477" s="13">
        <v>55640</v>
      </c>
      <c r="B477" s="66">
        <f>7.0277 * CHOOSE(CONTROL!$C$26, $C$13, 100%, $E$13)</f>
        <v>7.0277000000000003</v>
      </c>
      <c r="C477" s="66">
        <f>7.0277 * CHOOSE(CONTROL!$C$26, $C$13, 100%, $E$13)</f>
        <v>7.0277000000000003</v>
      </c>
      <c r="D477" s="66">
        <f>7.0332 * CHOOSE(CONTROL!$C$26, $C$13, 100%, $E$13)</f>
        <v>7.0331999999999999</v>
      </c>
      <c r="E477" s="67">
        <f>8.4967 * CHOOSE(CONTROL!$C$26, $C$13, 100%, $E$13)</f>
        <v>8.4967000000000006</v>
      </c>
      <c r="F477" s="67">
        <f>8.4967 * CHOOSE(CONTROL!$C$26, $C$13, 100%, $E$13)</f>
        <v>8.4967000000000006</v>
      </c>
      <c r="G477" s="67">
        <f>8.5035 * CHOOSE(CONTROL!$C$26, $C$13, 100%, $E$13)</f>
        <v>8.5035000000000007</v>
      </c>
      <c r="H477" s="67">
        <f>15.368* CHOOSE(CONTROL!$C$26, $C$13, 100%, $E$13)</f>
        <v>15.368</v>
      </c>
      <c r="I477" s="67">
        <f>15.3748 * CHOOSE(CONTROL!$C$26, $C$13, 100%, $E$13)</f>
        <v>15.3748</v>
      </c>
      <c r="J477" s="67">
        <f>8.4967 * CHOOSE(CONTROL!$C$26, $C$13, 100%, $E$13)</f>
        <v>8.4967000000000006</v>
      </c>
      <c r="K477" s="67">
        <f>8.5035 * CHOOSE(CONTROL!$C$26, $C$13, 100%, $E$13)</f>
        <v>8.5035000000000007</v>
      </c>
    </row>
    <row r="478" spans="1:11" ht="15">
      <c r="A478" s="13">
        <v>55671</v>
      </c>
      <c r="B478" s="66">
        <f>7.0338 * CHOOSE(CONTROL!$C$26, $C$13, 100%, $E$13)</f>
        <v>7.0338000000000003</v>
      </c>
      <c r="C478" s="66">
        <f>7.0338 * CHOOSE(CONTROL!$C$26, $C$13, 100%, $E$13)</f>
        <v>7.0338000000000003</v>
      </c>
      <c r="D478" s="66">
        <f>7.0393 * CHOOSE(CONTROL!$C$26, $C$13, 100%, $E$13)</f>
        <v>7.0392999999999999</v>
      </c>
      <c r="E478" s="67">
        <f>8.4574 * CHOOSE(CONTROL!$C$26, $C$13, 100%, $E$13)</f>
        <v>8.4573999999999998</v>
      </c>
      <c r="F478" s="67">
        <f>8.4574 * CHOOSE(CONTROL!$C$26, $C$13, 100%, $E$13)</f>
        <v>8.4573999999999998</v>
      </c>
      <c r="G478" s="67">
        <f>8.4642 * CHOOSE(CONTROL!$C$26, $C$13, 100%, $E$13)</f>
        <v>8.4641999999999999</v>
      </c>
      <c r="H478" s="67">
        <f>15.4* CHOOSE(CONTROL!$C$26, $C$13, 100%, $E$13)</f>
        <v>15.4</v>
      </c>
      <c r="I478" s="67">
        <f>15.4068 * CHOOSE(CONTROL!$C$26, $C$13, 100%, $E$13)</f>
        <v>15.4068</v>
      </c>
      <c r="J478" s="67">
        <f>8.4574 * CHOOSE(CONTROL!$C$26, $C$13, 100%, $E$13)</f>
        <v>8.4573999999999998</v>
      </c>
      <c r="K478" s="67">
        <f>8.4642 * CHOOSE(CONTROL!$C$26, $C$13, 100%, $E$13)</f>
        <v>8.4641999999999999</v>
      </c>
    </row>
    <row r="479" spans="1:11" ht="15">
      <c r="A479" s="13">
        <v>55701</v>
      </c>
      <c r="B479" s="66">
        <f>7.1454 * CHOOSE(CONTROL!$C$26, $C$13, 100%, $E$13)</f>
        <v>7.1454000000000004</v>
      </c>
      <c r="C479" s="66">
        <f>7.1454 * CHOOSE(CONTROL!$C$26, $C$13, 100%, $E$13)</f>
        <v>7.1454000000000004</v>
      </c>
      <c r="D479" s="66">
        <f>7.1509 * CHOOSE(CONTROL!$C$26, $C$13, 100%, $E$13)</f>
        <v>7.1509</v>
      </c>
      <c r="E479" s="67">
        <f>8.5975 * CHOOSE(CONTROL!$C$26, $C$13, 100%, $E$13)</f>
        <v>8.5975000000000001</v>
      </c>
      <c r="F479" s="67">
        <f>8.5975 * CHOOSE(CONTROL!$C$26, $C$13, 100%, $E$13)</f>
        <v>8.5975000000000001</v>
      </c>
      <c r="G479" s="67">
        <f>8.6042 * CHOOSE(CONTROL!$C$26, $C$13, 100%, $E$13)</f>
        <v>8.6042000000000005</v>
      </c>
      <c r="H479" s="67">
        <f>15.4321* CHOOSE(CONTROL!$C$26, $C$13, 100%, $E$13)</f>
        <v>15.4321</v>
      </c>
      <c r="I479" s="67">
        <f>15.4389 * CHOOSE(CONTROL!$C$26, $C$13, 100%, $E$13)</f>
        <v>15.4389</v>
      </c>
      <c r="J479" s="67">
        <f>8.5975 * CHOOSE(CONTROL!$C$26, $C$13, 100%, $E$13)</f>
        <v>8.5975000000000001</v>
      </c>
      <c r="K479" s="67">
        <f>8.6042 * CHOOSE(CONTROL!$C$26, $C$13, 100%, $E$13)</f>
        <v>8.6042000000000005</v>
      </c>
    </row>
    <row r="480" spans="1:11" ht="15">
      <c r="A480" s="13">
        <v>55732</v>
      </c>
      <c r="B480" s="66">
        <f>7.1521 * CHOOSE(CONTROL!$C$26, $C$13, 100%, $E$13)</f>
        <v>7.1520999999999999</v>
      </c>
      <c r="C480" s="66">
        <f>7.1521 * CHOOSE(CONTROL!$C$26, $C$13, 100%, $E$13)</f>
        <v>7.1520999999999999</v>
      </c>
      <c r="D480" s="66">
        <f>7.1576 * CHOOSE(CONTROL!$C$26, $C$13, 100%, $E$13)</f>
        <v>7.1576000000000004</v>
      </c>
      <c r="E480" s="67">
        <f>8.4715 * CHOOSE(CONTROL!$C$26, $C$13, 100%, $E$13)</f>
        <v>8.4715000000000007</v>
      </c>
      <c r="F480" s="67">
        <f>8.4715 * CHOOSE(CONTROL!$C$26, $C$13, 100%, $E$13)</f>
        <v>8.4715000000000007</v>
      </c>
      <c r="G480" s="67">
        <f>8.4783 * CHOOSE(CONTROL!$C$26, $C$13, 100%, $E$13)</f>
        <v>8.4783000000000008</v>
      </c>
      <c r="H480" s="67">
        <f>15.4643* CHOOSE(CONTROL!$C$26, $C$13, 100%, $E$13)</f>
        <v>15.4643</v>
      </c>
      <c r="I480" s="67">
        <f>15.471 * CHOOSE(CONTROL!$C$26, $C$13, 100%, $E$13)</f>
        <v>15.471</v>
      </c>
      <c r="J480" s="67">
        <f>8.4715 * CHOOSE(CONTROL!$C$26, $C$13, 100%, $E$13)</f>
        <v>8.4715000000000007</v>
      </c>
      <c r="K480" s="67">
        <f>8.4783 * CHOOSE(CONTROL!$C$26, $C$13, 100%, $E$13)</f>
        <v>8.4783000000000008</v>
      </c>
    </row>
    <row r="481" spans="1:11" ht="15">
      <c r="A481" s="13">
        <v>55763</v>
      </c>
      <c r="B481" s="66">
        <f>7.149 * CHOOSE(CONTROL!$C$26, $C$13, 100%, $E$13)</f>
        <v>7.149</v>
      </c>
      <c r="C481" s="66">
        <f>7.149 * CHOOSE(CONTROL!$C$26, $C$13, 100%, $E$13)</f>
        <v>7.149</v>
      </c>
      <c r="D481" s="66">
        <f>7.1545 * CHOOSE(CONTROL!$C$26, $C$13, 100%, $E$13)</f>
        <v>7.1544999999999996</v>
      </c>
      <c r="E481" s="67">
        <f>8.4549 * CHOOSE(CONTROL!$C$26, $C$13, 100%, $E$13)</f>
        <v>8.4549000000000003</v>
      </c>
      <c r="F481" s="67">
        <f>8.4549 * CHOOSE(CONTROL!$C$26, $C$13, 100%, $E$13)</f>
        <v>8.4549000000000003</v>
      </c>
      <c r="G481" s="67">
        <f>8.4616 * CHOOSE(CONTROL!$C$26, $C$13, 100%, $E$13)</f>
        <v>8.4616000000000007</v>
      </c>
      <c r="H481" s="67">
        <f>15.4965* CHOOSE(CONTROL!$C$26, $C$13, 100%, $E$13)</f>
        <v>15.496499999999999</v>
      </c>
      <c r="I481" s="67">
        <f>15.5032 * CHOOSE(CONTROL!$C$26, $C$13, 100%, $E$13)</f>
        <v>15.5032</v>
      </c>
      <c r="J481" s="67">
        <f>8.4549 * CHOOSE(CONTROL!$C$26, $C$13, 100%, $E$13)</f>
        <v>8.4549000000000003</v>
      </c>
      <c r="K481" s="67">
        <f>8.4616 * CHOOSE(CONTROL!$C$26, $C$13, 100%, $E$13)</f>
        <v>8.4616000000000007</v>
      </c>
    </row>
    <row r="482" spans="1:11" ht="15">
      <c r="A482" s="13">
        <v>55793</v>
      </c>
      <c r="B482" s="66">
        <f>7.1545 * CHOOSE(CONTROL!$C$26, $C$13, 100%, $E$13)</f>
        <v>7.1544999999999996</v>
      </c>
      <c r="C482" s="66">
        <f>7.1545 * CHOOSE(CONTROL!$C$26, $C$13, 100%, $E$13)</f>
        <v>7.1544999999999996</v>
      </c>
      <c r="D482" s="66">
        <f>7.1583 * CHOOSE(CONTROL!$C$26, $C$13, 100%, $E$13)</f>
        <v>7.1582999999999997</v>
      </c>
      <c r="E482" s="67">
        <f>8.4995 * CHOOSE(CONTROL!$C$26, $C$13, 100%, $E$13)</f>
        <v>8.4994999999999994</v>
      </c>
      <c r="F482" s="67">
        <f>8.4995 * CHOOSE(CONTROL!$C$26, $C$13, 100%, $E$13)</f>
        <v>8.4994999999999994</v>
      </c>
      <c r="G482" s="67">
        <f>8.5043 * CHOOSE(CONTROL!$C$26, $C$13, 100%, $E$13)</f>
        <v>8.5043000000000006</v>
      </c>
      <c r="H482" s="67">
        <f>15.5288* CHOOSE(CONTROL!$C$26, $C$13, 100%, $E$13)</f>
        <v>15.5288</v>
      </c>
      <c r="I482" s="67">
        <f>15.5335 * CHOOSE(CONTROL!$C$26, $C$13, 100%, $E$13)</f>
        <v>15.5335</v>
      </c>
      <c r="J482" s="67">
        <f>8.4995 * CHOOSE(CONTROL!$C$26, $C$13, 100%, $E$13)</f>
        <v>8.4994999999999994</v>
      </c>
      <c r="K482" s="67">
        <f>8.5043 * CHOOSE(CONTROL!$C$26, $C$13, 100%, $E$13)</f>
        <v>8.5043000000000006</v>
      </c>
    </row>
    <row r="483" spans="1:11" ht="15">
      <c r="A483" s="13">
        <v>55824</v>
      </c>
      <c r="B483" s="66">
        <f>7.1575 * CHOOSE(CONTROL!$C$26, $C$13, 100%, $E$13)</f>
        <v>7.1574999999999998</v>
      </c>
      <c r="C483" s="66">
        <f>7.1575 * CHOOSE(CONTROL!$C$26, $C$13, 100%, $E$13)</f>
        <v>7.1574999999999998</v>
      </c>
      <c r="D483" s="66">
        <f>7.1614 * CHOOSE(CONTROL!$C$26, $C$13, 100%, $E$13)</f>
        <v>7.1614000000000004</v>
      </c>
      <c r="E483" s="67">
        <f>8.5307 * CHOOSE(CONTROL!$C$26, $C$13, 100%, $E$13)</f>
        <v>8.5306999999999995</v>
      </c>
      <c r="F483" s="67">
        <f>8.5307 * CHOOSE(CONTROL!$C$26, $C$13, 100%, $E$13)</f>
        <v>8.5306999999999995</v>
      </c>
      <c r="G483" s="67">
        <f>8.5354 * CHOOSE(CONTROL!$C$26, $C$13, 100%, $E$13)</f>
        <v>8.5353999999999992</v>
      </c>
      <c r="H483" s="67">
        <f>15.5611* CHOOSE(CONTROL!$C$26, $C$13, 100%, $E$13)</f>
        <v>15.5611</v>
      </c>
      <c r="I483" s="67">
        <f>15.5659 * CHOOSE(CONTROL!$C$26, $C$13, 100%, $E$13)</f>
        <v>15.565899999999999</v>
      </c>
      <c r="J483" s="67">
        <f>8.5307 * CHOOSE(CONTROL!$C$26, $C$13, 100%, $E$13)</f>
        <v>8.5306999999999995</v>
      </c>
      <c r="K483" s="67">
        <f>8.5354 * CHOOSE(CONTROL!$C$26, $C$13, 100%, $E$13)</f>
        <v>8.5353999999999992</v>
      </c>
    </row>
    <row r="484" spans="1:11" ht="15">
      <c r="A484" s="13">
        <v>55854</v>
      </c>
      <c r="B484" s="66">
        <f>7.1575 * CHOOSE(CONTROL!$C$26, $C$13, 100%, $E$13)</f>
        <v>7.1574999999999998</v>
      </c>
      <c r="C484" s="66">
        <f>7.1575 * CHOOSE(CONTROL!$C$26, $C$13, 100%, $E$13)</f>
        <v>7.1574999999999998</v>
      </c>
      <c r="D484" s="66">
        <f>7.1614 * CHOOSE(CONTROL!$C$26, $C$13, 100%, $E$13)</f>
        <v>7.1614000000000004</v>
      </c>
      <c r="E484" s="67">
        <f>8.4581 * CHOOSE(CONTROL!$C$26, $C$13, 100%, $E$13)</f>
        <v>8.4581</v>
      </c>
      <c r="F484" s="67">
        <f>8.4581 * CHOOSE(CONTROL!$C$26, $C$13, 100%, $E$13)</f>
        <v>8.4581</v>
      </c>
      <c r="G484" s="67">
        <f>8.4629 * CHOOSE(CONTROL!$C$26, $C$13, 100%, $E$13)</f>
        <v>8.4628999999999994</v>
      </c>
      <c r="H484" s="67">
        <f>15.5935* CHOOSE(CONTROL!$C$26, $C$13, 100%, $E$13)</f>
        <v>15.593500000000001</v>
      </c>
      <c r="I484" s="67">
        <f>15.5983 * CHOOSE(CONTROL!$C$26, $C$13, 100%, $E$13)</f>
        <v>15.5983</v>
      </c>
      <c r="J484" s="67">
        <f>8.4581 * CHOOSE(CONTROL!$C$26, $C$13, 100%, $E$13)</f>
        <v>8.4581</v>
      </c>
      <c r="K484" s="67">
        <f>8.4629 * CHOOSE(CONTROL!$C$26, $C$13, 100%, $E$13)</f>
        <v>8.4628999999999994</v>
      </c>
    </row>
    <row r="485" spans="1:11" ht="15">
      <c r="A485" s="13">
        <v>55885</v>
      </c>
      <c r="B485" s="66">
        <f>7.2193 * CHOOSE(CONTROL!$C$26, $C$13, 100%, $E$13)</f>
        <v>7.2192999999999996</v>
      </c>
      <c r="C485" s="66">
        <f>7.2193 * CHOOSE(CONTROL!$C$26, $C$13, 100%, $E$13)</f>
        <v>7.2192999999999996</v>
      </c>
      <c r="D485" s="66">
        <f>7.2232 * CHOOSE(CONTROL!$C$26, $C$13, 100%, $E$13)</f>
        <v>7.2232000000000003</v>
      </c>
      <c r="E485" s="67">
        <f>8.5793 * CHOOSE(CONTROL!$C$26, $C$13, 100%, $E$13)</f>
        <v>8.5792999999999999</v>
      </c>
      <c r="F485" s="67">
        <f>8.5793 * CHOOSE(CONTROL!$C$26, $C$13, 100%, $E$13)</f>
        <v>8.5792999999999999</v>
      </c>
      <c r="G485" s="67">
        <f>8.5841 * CHOOSE(CONTROL!$C$26, $C$13, 100%, $E$13)</f>
        <v>8.5840999999999994</v>
      </c>
      <c r="H485" s="67">
        <f>15.626* CHOOSE(CONTROL!$C$26, $C$13, 100%, $E$13)</f>
        <v>15.625999999999999</v>
      </c>
      <c r="I485" s="67">
        <f>15.6308 * CHOOSE(CONTROL!$C$26, $C$13, 100%, $E$13)</f>
        <v>15.630800000000001</v>
      </c>
      <c r="J485" s="67">
        <f>8.5793 * CHOOSE(CONTROL!$C$26, $C$13, 100%, $E$13)</f>
        <v>8.5792999999999999</v>
      </c>
      <c r="K485" s="67">
        <f>8.5841 * CHOOSE(CONTROL!$C$26, $C$13, 100%, $E$13)</f>
        <v>8.5840999999999994</v>
      </c>
    </row>
    <row r="486" spans="1:11" ht="15">
      <c r="A486" s="13">
        <v>55916</v>
      </c>
      <c r="B486" s="66">
        <f>7.2163 * CHOOSE(CONTROL!$C$26, $C$13, 100%, $E$13)</f>
        <v>7.2163000000000004</v>
      </c>
      <c r="C486" s="66">
        <f>7.2163 * CHOOSE(CONTROL!$C$26, $C$13, 100%, $E$13)</f>
        <v>7.2163000000000004</v>
      </c>
      <c r="D486" s="66">
        <f>7.2202 * CHOOSE(CONTROL!$C$26, $C$13, 100%, $E$13)</f>
        <v>7.2202000000000002</v>
      </c>
      <c r="E486" s="67">
        <f>8.4362 * CHOOSE(CONTROL!$C$26, $C$13, 100%, $E$13)</f>
        <v>8.4361999999999995</v>
      </c>
      <c r="F486" s="67">
        <f>8.4362 * CHOOSE(CONTROL!$C$26, $C$13, 100%, $E$13)</f>
        <v>8.4361999999999995</v>
      </c>
      <c r="G486" s="67">
        <f>8.441 * CHOOSE(CONTROL!$C$26, $C$13, 100%, $E$13)</f>
        <v>8.4410000000000007</v>
      </c>
      <c r="H486" s="67">
        <f>15.6586* CHOOSE(CONTROL!$C$26, $C$13, 100%, $E$13)</f>
        <v>15.6586</v>
      </c>
      <c r="I486" s="67">
        <f>15.6634 * CHOOSE(CONTROL!$C$26, $C$13, 100%, $E$13)</f>
        <v>15.663399999999999</v>
      </c>
      <c r="J486" s="67">
        <f>8.4362 * CHOOSE(CONTROL!$C$26, $C$13, 100%, $E$13)</f>
        <v>8.4361999999999995</v>
      </c>
      <c r="K486" s="67">
        <f>8.441 * CHOOSE(CONTROL!$C$26, $C$13, 100%, $E$13)</f>
        <v>8.4410000000000007</v>
      </c>
    </row>
    <row r="487" spans="1:11" ht="15">
      <c r="A487" s="13">
        <v>55944</v>
      </c>
      <c r="B487" s="66">
        <f>7.2133 * CHOOSE(CONTROL!$C$26, $C$13, 100%, $E$13)</f>
        <v>7.2133000000000003</v>
      </c>
      <c r="C487" s="66">
        <f>7.2133 * CHOOSE(CONTROL!$C$26, $C$13, 100%, $E$13)</f>
        <v>7.2133000000000003</v>
      </c>
      <c r="D487" s="66">
        <f>7.2171 * CHOOSE(CONTROL!$C$26, $C$13, 100%, $E$13)</f>
        <v>7.2171000000000003</v>
      </c>
      <c r="E487" s="67">
        <f>8.5452 * CHOOSE(CONTROL!$C$26, $C$13, 100%, $E$13)</f>
        <v>8.5451999999999995</v>
      </c>
      <c r="F487" s="67">
        <f>8.5452 * CHOOSE(CONTROL!$C$26, $C$13, 100%, $E$13)</f>
        <v>8.5451999999999995</v>
      </c>
      <c r="G487" s="67">
        <f>8.55 * CHOOSE(CONTROL!$C$26, $C$13, 100%, $E$13)</f>
        <v>8.5500000000000007</v>
      </c>
      <c r="H487" s="67">
        <f>15.6912* CHOOSE(CONTROL!$C$26, $C$13, 100%, $E$13)</f>
        <v>15.6912</v>
      </c>
      <c r="I487" s="67">
        <f>15.696 * CHOOSE(CONTROL!$C$26, $C$13, 100%, $E$13)</f>
        <v>15.696</v>
      </c>
      <c r="J487" s="67">
        <f>8.5452 * CHOOSE(CONTROL!$C$26, $C$13, 100%, $E$13)</f>
        <v>8.5451999999999995</v>
      </c>
      <c r="K487" s="67">
        <f>8.55 * CHOOSE(CONTROL!$C$26, $C$13, 100%, $E$13)</f>
        <v>8.5500000000000007</v>
      </c>
    </row>
    <row r="488" spans="1:11" ht="15">
      <c r="A488" s="13">
        <v>55975</v>
      </c>
      <c r="B488" s="66">
        <f>7.2137 * CHOOSE(CONTROL!$C$26, $C$13, 100%, $E$13)</f>
        <v>7.2137000000000002</v>
      </c>
      <c r="C488" s="66">
        <f>7.2137 * CHOOSE(CONTROL!$C$26, $C$13, 100%, $E$13)</f>
        <v>7.2137000000000002</v>
      </c>
      <c r="D488" s="66">
        <f>7.2175 * CHOOSE(CONTROL!$C$26, $C$13, 100%, $E$13)</f>
        <v>7.2175000000000002</v>
      </c>
      <c r="E488" s="67">
        <f>8.6604 * CHOOSE(CONTROL!$C$26, $C$13, 100%, $E$13)</f>
        <v>8.6603999999999992</v>
      </c>
      <c r="F488" s="67">
        <f>8.6604 * CHOOSE(CONTROL!$C$26, $C$13, 100%, $E$13)</f>
        <v>8.6603999999999992</v>
      </c>
      <c r="G488" s="67">
        <f>8.6651 * CHOOSE(CONTROL!$C$26, $C$13, 100%, $E$13)</f>
        <v>8.6651000000000007</v>
      </c>
      <c r="H488" s="67">
        <f>15.7239* CHOOSE(CONTROL!$C$26, $C$13, 100%, $E$13)</f>
        <v>15.7239</v>
      </c>
      <c r="I488" s="67">
        <f>15.7287 * CHOOSE(CONTROL!$C$26, $C$13, 100%, $E$13)</f>
        <v>15.7287</v>
      </c>
      <c r="J488" s="67">
        <f>8.6604 * CHOOSE(CONTROL!$C$26, $C$13, 100%, $E$13)</f>
        <v>8.6603999999999992</v>
      </c>
      <c r="K488" s="67">
        <f>8.6651 * CHOOSE(CONTROL!$C$26, $C$13, 100%, $E$13)</f>
        <v>8.6651000000000007</v>
      </c>
    </row>
    <row r="489" spans="1:11" ht="15">
      <c r="A489" s="13">
        <v>56005</v>
      </c>
      <c r="B489" s="66">
        <f>7.2137 * CHOOSE(CONTROL!$C$26, $C$13, 100%, $E$13)</f>
        <v>7.2137000000000002</v>
      </c>
      <c r="C489" s="66">
        <f>7.2137 * CHOOSE(CONTROL!$C$26, $C$13, 100%, $E$13)</f>
        <v>7.2137000000000002</v>
      </c>
      <c r="D489" s="66">
        <f>7.2192 * CHOOSE(CONTROL!$C$26, $C$13, 100%, $E$13)</f>
        <v>7.2191999999999998</v>
      </c>
      <c r="E489" s="67">
        <f>8.7051 * CHOOSE(CONTROL!$C$26, $C$13, 100%, $E$13)</f>
        <v>8.7050999999999998</v>
      </c>
      <c r="F489" s="67">
        <f>8.7051 * CHOOSE(CONTROL!$C$26, $C$13, 100%, $E$13)</f>
        <v>8.7050999999999998</v>
      </c>
      <c r="G489" s="67">
        <f>8.7119 * CHOOSE(CONTROL!$C$26, $C$13, 100%, $E$13)</f>
        <v>8.7119</v>
      </c>
      <c r="H489" s="67">
        <f>15.7567* CHOOSE(CONTROL!$C$26, $C$13, 100%, $E$13)</f>
        <v>15.7567</v>
      </c>
      <c r="I489" s="67">
        <f>15.7634 * CHOOSE(CONTROL!$C$26, $C$13, 100%, $E$13)</f>
        <v>15.763400000000001</v>
      </c>
      <c r="J489" s="67">
        <f>8.7051 * CHOOSE(CONTROL!$C$26, $C$13, 100%, $E$13)</f>
        <v>8.7050999999999998</v>
      </c>
      <c r="K489" s="67">
        <f>8.7119 * CHOOSE(CONTROL!$C$26, $C$13, 100%, $E$13)</f>
        <v>8.7119</v>
      </c>
    </row>
    <row r="490" spans="1:11" ht="15">
      <c r="A490" s="13">
        <v>56036</v>
      </c>
      <c r="B490" s="66">
        <f>7.2198 * CHOOSE(CONTROL!$C$26, $C$13, 100%, $E$13)</f>
        <v>7.2198000000000002</v>
      </c>
      <c r="C490" s="66">
        <f>7.2198 * CHOOSE(CONTROL!$C$26, $C$13, 100%, $E$13)</f>
        <v>7.2198000000000002</v>
      </c>
      <c r="D490" s="66">
        <f>7.2253 * CHOOSE(CONTROL!$C$26, $C$13, 100%, $E$13)</f>
        <v>7.2252999999999998</v>
      </c>
      <c r="E490" s="67">
        <f>8.6646 * CHOOSE(CONTROL!$C$26, $C$13, 100%, $E$13)</f>
        <v>8.6646000000000001</v>
      </c>
      <c r="F490" s="67">
        <f>8.6646 * CHOOSE(CONTROL!$C$26, $C$13, 100%, $E$13)</f>
        <v>8.6646000000000001</v>
      </c>
      <c r="G490" s="67">
        <f>8.6714 * CHOOSE(CONTROL!$C$26, $C$13, 100%, $E$13)</f>
        <v>8.6714000000000002</v>
      </c>
      <c r="H490" s="67">
        <f>15.7895* CHOOSE(CONTROL!$C$26, $C$13, 100%, $E$13)</f>
        <v>15.7895</v>
      </c>
      <c r="I490" s="67">
        <f>15.7962 * CHOOSE(CONTROL!$C$26, $C$13, 100%, $E$13)</f>
        <v>15.796200000000001</v>
      </c>
      <c r="J490" s="67">
        <f>8.6646 * CHOOSE(CONTROL!$C$26, $C$13, 100%, $E$13)</f>
        <v>8.6646000000000001</v>
      </c>
      <c r="K490" s="67">
        <f>8.6714 * CHOOSE(CONTROL!$C$26, $C$13, 100%, $E$13)</f>
        <v>8.6714000000000002</v>
      </c>
    </row>
    <row r="491" spans="1:11" ht="15">
      <c r="A491" s="13">
        <v>56066</v>
      </c>
      <c r="B491" s="66">
        <f>7.334 * CHOOSE(CONTROL!$C$26, $C$13, 100%, $E$13)</f>
        <v>7.3339999999999996</v>
      </c>
      <c r="C491" s="66">
        <f>7.334 * CHOOSE(CONTROL!$C$26, $C$13, 100%, $E$13)</f>
        <v>7.3339999999999996</v>
      </c>
      <c r="D491" s="66">
        <f>7.3395 * CHOOSE(CONTROL!$C$26, $C$13, 100%, $E$13)</f>
        <v>7.3395000000000001</v>
      </c>
      <c r="E491" s="67">
        <f>8.8078 * CHOOSE(CONTROL!$C$26, $C$13, 100%, $E$13)</f>
        <v>8.8078000000000003</v>
      </c>
      <c r="F491" s="67">
        <f>8.8078 * CHOOSE(CONTROL!$C$26, $C$13, 100%, $E$13)</f>
        <v>8.8078000000000003</v>
      </c>
      <c r="G491" s="67">
        <f>8.8146 * CHOOSE(CONTROL!$C$26, $C$13, 100%, $E$13)</f>
        <v>8.8146000000000004</v>
      </c>
      <c r="H491" s="67">
        <f>15.8224* CHOOSE(CONTROL!$C$26, $C$13, 100%, $E$13)</f>
        <v>15.8224</v>
      </c>
      <c r="I491" s="67">
        <f>15.8291 * CHOOSE(CONTROL!$C$26, $C$13, 100%, $E$13)</f>
        <v>15.8291</v>
      </c>
      <c r="J491" s="67">
        <f>8.8078 * CHOOSE(CONTROL!$C$26, $C$13, 100%, $E$13)</f>
        <v>8.8078000000000003</v>
      </c>
      <c r="K491" s="67">
        <f>8.8146 * CHOOSE(CONTROL!$C$26, $C$13, 100%, $E$13)</f>
        <v>8.8146000000000004</v>
      </c>
    </row>
    <row r="492" spans="1:11" ht="15">
      <c r="A492" s="13">
        <v>56097</v>
      </c>
      <c r="B492" s="66">
        <f>7.3407 * CHOOSE(CONTROL!$C$26, $C$13, 100%, $E$13)</f>
        <v>7.3407</v>
      </c>
      <c r="C492" s="66">
        <f>7.3407 * CHOOSE(CONTROL!$C$26, $C$13, 100%, $E$13)</f>
        <v>7.3407</v>
      </c>
      <c r="D492" s="66">
        <f>7.3462 * CHOOSE(CONTROL!$C$26, $C$13, 100%, $E$13)</f>
        <v>7.3461999999999996</v>
      </c>
      <c r="E492" s="67">
        <f>8.6782 * CHOOSE(CONTROL!$C$26, $C$13, 100%, $E$13)</f>
        <v>8.6782000000000004</v>
      </c>
      <c r="F492" s="67">
        <f>8.6782 * CHOOSE(CONTROL!$C$26, $C$13, 100%, $E$13)</f>
        <v>8.6782000000000004</v>
      </c>
      <c r="G492" s="67">
        <f>8.6849 * CHOOSE(CONTROL!$C$26, $C$13, 100%, $E$13)</f>
        <v>8.6849000000000007</v>
      </c>
      <c r="H492" s="67">
        <f>15.8553* CHOOSE(CONTROL!$C$26, $C$13, 100%, $E$13)</f>
        <v>15.8553</v>
      </c>
      <c r="I492" s="67">
        <f>15.8621 * CHOOSE(CONTROL!$C$26, $C$13, 100%, $E$13)</f>
        <v>15.8621</v>
      </c>
      <c r="J492" s="67">
        <f>8.6782 * CHOOSE(CONTROL!$C$26, $C$13, 100%, $E$13)</f>
        <v>8.6782000000000004</v>
      </c>
      <c r="K492" s="67">
        <f>8.6849 * CHOOSE(CONTROL!$C$26, $C$13, 100%, $E$13)</f>
        <v>8.6849000000000007</v>
      </c>
    </row>
    <row r="493" spans="1:11" ht="15">
      <c r="A493" s="13">
        <v>56128</v>
      </c>
      <c r="B493" s="66">
        <f>7.3377 * CHOOSE(CONTROL!$C$26, $C$13, 100%, $E$13)</f>
        <v>7.3376999999999999</v>
      </c>
      <c r="C493" s="66">
        <f>7.3377 * CHOOSE(CONTROL!$C$26, $C$13, 100%, $E$13)</f>
        <v>7.3376999999999999</v>
      </c>
      <c r="D493" s="66">
        <f>7.3432 * CHOOSE(CONTROL!$C$26, $C$13, 100%, $E$13)</f>
        <v>7.3432000000000004</v>
      </c>
      <c r="E493" s="67">
        <f>8.6611 * CHOOSE(CONTROL!$C$26, $C$13, 100%, $E$13)</f>
        <v>8.6610999999999994</v>
      </c>
      <c r="F493" s="67">
        <f>8.6611 * CHOOSE(CONTROL!$C$26, $C$13, 100%, $E$13)</f>
        <v>8.6610999999999994</v>
      </c>
      <c r="G493" s="67">
        <f>8.6679 * CHOOSE(CONTROL!$C$26, $C$13, 100%, $E$13)</f>
        <v>8.6678999999999995</v>
      </c>
      <c r="H493" s="67">
        <f>15.8884* CHOOSE(CONTROL!$C$26, $C$13, 100%, $E$13)</f>
        <v>15.888400000000001</v>
      </c>
      <c r="I493" s="67">
        <f>15.8951 * CHOOSE(CONTROL!$C$26, $C$13, 100%, $E$13)</f>
        <v>15.895099999999999</v>
      </c>
      <c r="J493" s="67">
        <f>8.6611 * CHOOSE(CONTROL!$C$26, $C$13, 100%, $E$13)</f>
        <v>8.6610999999999994</v>
      </c>
      <c r="K493" s="67">
        <f>8.6679 * CHOOSE(CONTROL!$C$26, $C$13, 100%, $E$13)</f>
        <v>8.6678999999999995</v>
      </c>
    </row>
    <row r="494" spans="1:11" ht="15">
      <c r="A494" s="13">
        <v>56158</v>
      </c>
      <c r="B494" s="66">
        <f>7.3437 * CHOOSE(CONTROL!$C$26, $C$13, 100%, $E$13)</f>
        <v>7.3437000000000001</v>
      </c>
      <c r="C494" s="66">
        <f>7.3437 * CHOOSE(CONTROL!$C$26, $C$13, 100%, $E$13)</f>
        <v>7.3437000000000001</v>
      </c>
      <c r="D494" s="66">
        <f>7.3476 * CHOOSE(CONTROL!$C$26, $C$13, 100%, $E$13)</f>
        <v>7.3475999999999999</v>
      </c>
      <c r="E494" s="67">
        <f>8.7074 * CHOOSE(CONTROL!$C$26, $C$13, 100%, $E$13)</f>
        <v>8.7073999999999998</v>
      </c>
      <c r="F494" s="67">
        <f>8.7074 * CHOOSE(CONTROL!$C$26, $C$13, 100%, $E$13)</f>
        <v>8.7073999999999998</v>
      </c>
      <c r="G494" s="67">
        <f>8.7122 * CHOOSE(CONTROL!$C$26, $C$13, 100%, $E$13)</f>
        <v>8.7121999999999993</v>
      </c>
      <c r="H494" s="67">
        <f>15.9215* CHOOSE(CONTROL!$C$26, $C$13, 100%, $E$13)</f>
        <v>15.9215</v>
      </c>
      <c r="I494" s="67">
        <f>15.9262 * CHOOSE(CONTROL!$C$26, $C$13, 100%, $E$13)</f>
        <v>15.9262</v>
      </c>
      <c r="J494" s="67">
        <f>8.7074 * CHOOSE(CONTROL!$C$26, $C$13, 100%, $E$13)</f>
        <v>8.7073999999999998</v>
      </c>
      <c r="K494" s="67">
        <f>8.7122 * CHOOSE(CONTROL!$C$26, $C$13, 100%, $E$13)</f>
        <v>8.7121999999999993</v>
      </c>
    </row>
    <row r="495" spans="1:11" ht="15">
      <c r="A495" s="13">
        <v>56189</v>
      </c>
      <c r="B495" s="66">
        <f>7.3468 * CHOOSE(CONTROL!$C$26, $C$13, 100%, $E$13)</f>
        <v>7.3468</v>
      </c>
      <c r="C495" s="66">
        <f>7.3468 * CHOOSE(CONTROL!$C$26, $C$13, 100%, $E$13)</f>
        <v>7.3468</v>
      </c>
      <c r="D495" s="66">
        <f>7.3506 * CHOOSE(CONTROL!$C$26, $C$13, 100%, $E$13)</f>
        <v>7.3506</v>
      </c>
      <c r="E495" s="67">
        <f>8.7394 * CHOOSE(CONTROL!$C$26, $C$13, 100%, $E$13)</f>
        <v>8.7393999999999998</v>
      </c>
      <c r="F495" s="67">
        <f>8.7394 * CHOOSE(CONTROL!$C$26, $C$13, 100%, $E$13)</f>
        <v>8.7393999999999998</v>
      </c>
      <c r="G495" s="67">
        <f>8.7441 * CHOOSE(CONTROL!$C$26, $C$13, 100%, $E$13)</f>
        <v>8.7440999999999995</v>
      </c>
      <c r="H495" s="67">
        <f>15.9546* CHOOSE(CONTROL!$C$26, $C$13, 100%, $E$13)</f>
        <v>15.954599999999999</v>
      </c>
      <c r="I495" s="67">
        <f>15.9594 * CHOOSE(CONTROL!$C$26, $C$13, 100%, $E$13)</f>
        <v>15.9594</v>
      </c>
      <c r="J495" s="67">
        <f>8.7394 * CHOOSE(CONTROL!$C$26, $C$13, 100%, $E$13)</f>
        <v>8.7393999999999998</v>
      </c>
      <c r="K495" s="67">
        <f>8.7441 * CHOOSE(CONTROL!$C$26, $C$13, 100%, $E$13)</f>
        <v>8.7440999999999995</v>
      </c>
    </row>
    <row r="496" spans="1:11" ht="15">
      <c r="A496" s="13">
        <v>56219</v>
      </c>
      <c r="B496" s="66">
        <f>7.3468 * CHOOSE(CONTROL!$C$26, $C$13, 100%, $E$13)</f>
        <v>7.3468</v>
      </c>
      <c r="C496" s="66">
        <f>7.3468 * CHOOSE(CONTROL!$C$26, $C$13, 100%, $E$13)</f>
        <v>7.3468</v>
      </c>
      <c r="D496" s="66">
        <f>7.3506 * CHOOSE(CONTROL!$C$26, $C$13, 100%, $E$13)</f>
        <v>7.3506</v>
      </c>
      <c r="E496" s="67">
        <f>8.6648 * CHOOSE(CONTROL!$C$26, $C$13, 100%, $E$13)</f>
        <v>8.6647999999999996</v>
      </c>
      <c r="F496" s="67">
        <f>8.6648 * CHOOSE(CONTROL!$C$26, $C$13, 100%, $E$13)</f>
        <v>8.6647999999999996</v>
      </c>
      <c r="G496" s="67">
        <f>8.6695 * CHOOSE(CONTROL!$C$26, $C$13, 100%, $E$13)</f>
        <v>8.6694999999999993</v>
      </c>
      <c r="H496" s="67">
        <f>15.9879* CHOOSE(CONTROL!$C$26, $C$13, 100%, $E$13)</f>
        <v>15.9879</v>
      </c>
      <c r="I496" s="67">
        <f>15.9926 * CHOOSE(CONTROL!$C$26, $C$13, 100%, $E$13)</f>
        <v>15.992599999999999</v>
      </c>
      <c r="J496" s="67">
        <f>8.6648 * CHOOSE(CONTROL!$C$26, $C$13, 100%, $E$13)</f>
        <v>8.6647999999999996</v>
      </c>
      <c r="K496" s="67">
        <f>8.6695 * CHOOSE(CONTROL!$C$26, $C$13, 100%, $E$13)</f>
        <v>8.6694999999999993</v>
      </c>
    </row>
    <row r="497" spans="1:11" ht="15">
      <c r="A497" s="13">
        <v>56250</v>
      </c>
      <c r="B497" s="66">
        <f>7.4101 * CHOOSE(CONTROL!$C$26, $C$13, 100%, $E$13)</f>
        <v>7.4100999999999999</v>
      </c>
      <c r="C497" s="66">
        <f>7.4101 * CHOOSE(CONTROL!$C$26, $C$13, 100%, $E$13)</f>
        <v>7.4100999999999999</v>
      </c>
      <c r="D497" s="66">
        <f>7.414 * CHOOSE(CONTROL!$C$26, $C$13, 100%, $E$13)</f>
        <v>7.4139999999999997</v>
      </c>
      <c r="E497" s="67">
        <f>8.7891 * CHOOSE(CONTROL!$C$26, $C$13, 100%, $E$13)</f>
        <v>8.7890999999999995</v>
      </c>
      <c r="F497" s="67">
        <f>8.7891 * CHOOSE(CONTROL!$C$26, $C$13, 100%, $E$13)</f>
        <v>8.7890999999999995</v>
      </c>
      <c r="G497" s="67">
        <f>8.7938 * CHOOSE(CONTROL!$C$26, $C$13, 100%, $E$13)</f>
        <v>8.7937999999999992</v>
      </c>
      <c r="H497" s="67">
        <f>16.0212* CHOOSE(CONTROL!$C$26, $C$13, 100%, $E$13)</f>
        <v>16.0212</v>
      </c>
      <c r="I497" s="67">
        <f>16.026 * CHOOSE(CONTROL!$C$26, $C$13, 100%, $E$13)</f>
        <v>16.026</v>
      </c>
      <c r="J497" s="67">
        <f>8.7891 * CHOOSE(CONTROL!$C$26, $C$13, 100%, $E$13)</f>
        <v>8.7890999999999995</v>
      </c>
      <c r="K497" s="67">
        <f>8.7938 * CHOOSE(CONTROL!$C$26, $C$13, 100%, $E$13)</f>
        <v>8.7937999999999992</v>
      </c>
    </row>
    <row r="498" spans="1:11" ht="15">
      <c r="A498" s="13">
        <v>56281</v>
      </c>
      <c r="B498" s="66">
        <f>7.4071 * CHOOSE(CONTROL!$C$26, $C$13, 100%, $E$13)</f>
        <v>7.4070999999999998</v>
      </c>
      <c r="C498" s="66">
        <f>7.4071 * CHOOSE(CONTROL!$C$26, $C$13, 100%, $E$13)</f>
        <v>7.4070999999999998</v>
      </c>
      <c r="D498" s="66">
        <f>7.411 * CHOOSE(CONTROL!$C$26, $C$13, 100%, $E$13)</f>
        <v>7.4109999999999996</v>
      </c>
      <c r="E498" s="67">
        <f>8.642 * CHOOSE(CONTROL!$C$26, $C$13, 100%, $E$13)</f>
        <v>8.6419999999999995</v>
      </c>
      <c r="F498" s="67">
        <f>8.642 * CHOOSE(CONTROL!$C$26, $C$13, 100%, $E$13)</f>
        <v>8.6419999999999995</v>
      </c>
      <c r="G498" s="67">
        <f>8.6468 * CHOOSE(CONTROL!$C$26, $C$13, 100%, $E$13)</f>
        <v>8.6468000000000007</v>
      </c>
      <c r="H498" s="67">
        <f>16.0546* CHOOSE(CONTROL!$C$26, $C$13, 100%, $E$13)</f>
        <v>16.054600000000001</v>
      </c>
      <c r="I498" s="67">
        <f>16.0593 * CHOOSE(CONTROL!$C$26, $C$13, 100%, $E$13)</f>
        <v>16.0593</v>
      </c>
      <c r="J498" s="67">
        <f>8.642 * CHOOSE(CONTROL!$C$26, $C$13, 100%, $E$13)</f>
        <v>8.6419999999999995</v>
      </c>
      <c r="K498" s="67">
        <f>8.6468 * CHOOSE(CONTROL!$C$26, $C$13, 100%, $E$13)</f>
        <v>8.6468000000000007</v>
      </c>
    </row>
    <row r="499" spans="1:11" ht="15">
      <c r="A499" s="13">
        <v>56309</v>
      </c>
      <c r="B499" s="66">
        <f>7.4041 * CHOOSE(CONTROL!$C$26, $C$13, 100%, $E$13)</f>
        <v>7.4040999999999997</v>
      </c>
      <c r="C499" s="66">
        <f>7.4041 * CHOOSE(CONTROL!$C$26, $C$13, 100%, $E$13)</f>
        <v>7.4040999999999997</v>
      </c>
      <c r="D499" s="66">
        <f>7.4079 * CHOOSE(CONTROL!$C$26, $C$13, 100%, $E$13)</f>
        <v>7.4078999999999997</v>
      </c>
      <c r="E499" s="67">
        <f>8.7542 * CHOOSE(CONTROL!$C$26, $C$13, 100%, $E$13)</f>
        <v>8.7542000000000009</v>
      </c>
      <c r="F499" s="67">
        <f>8.7542 * CHOOSE(CONTROL!$C$26, $C$13, 100%, $E$13)</f>
        <v>8.7542000000000009</v>
      </c>
      <c r="G499" s="67">
        <f>8.7589 * CHOOSE(CONTROL!$C$26, $C$13, 100%, $E$13)</f>
        <v>8.7589000000000006</v>
      </c>
      <c r="H499" s="67">
        <f>16.088* CHOOSE(CONTROL!$C$26, $C$13, 100%, $E$13)</f>
        <v>16.088000000000001</v>
      </c>
      <c r="I499" s="67">
        <f>16.0928 * CHOOSE(CONTROL!$C$26, $C$13, 100%, $E$13)</f>
        <v>16.0928</v>
      </c>
      <c r="J499" s="67">
        <f>8.7542 * CHOOSE(CONTROL!$C$26, $C$13, 100%, $E$13)</f>
        <v>8.7542000000000009</v>
      </c>
      <c r="K499" s="67">
        <f>8.7589 * CHOOSE(CONTROL!$C$26, $C$13, 100%, $E$13)</f>
        <v>8.7589000000000006</v>
      </c>
    </row>
    <row r="500" spans="1:11" ht="15">
      <c r="A500" s="13">
        <v>56340</v>
      </c>
      <c r="B500" s="66">
        <f>7.4046 * CHOOSE(CONTROL!$C$26, $C$13, 100%, $E$13)</f>
        <v>7.4046000000000003</v>
      </c>
      <c r="C500" s="66">
        <f>7.4046 * CHOOSE(CONTROL!$C$26, $C$13, 100%, $E$13)</f>
        <v>7.4046000000000003</v>
      </c>
      <c r="D500" s="66">
        <f>7.4085 * CHOOSE(CONTROL!$C$26, $C$13, 100%, $E$13)</f>
        <v>7.4085000000000001</v>
      </c>
      <c r="E500" s="67">
        <f>8.8727 * CHOOSE(CONTROL!$C$26, $C$13, 100%, $E$13)</f>
        <v>8.8727</v>
      </c>
      <c r="F500" s="67">
        <f>8.8727 * CHOOSE(CONTROL!$C$26, $C$13, 100%, $E$13)</f>
        <v>8.8727</v>
      </c>
      <c r="G500" s="67">
        <f>8.8774 * CHOOSE(CONTROL!$C$26, $C$13, 100%, $E$13)</f>
        <v>8.8773999999999997</v>
      </c>
      <c r="H500" s="67">
        <f>16.1215* CHOOSE(CONTROL!$C$26, $C$13, 100%, $E$13)</f>
        <v>16.121500000000001</v>
      </c>
      <c r="I500" s="67">
        <f>16.1263 * CHOOSE(CONTROL!$C$26, $C$13, 100%, $E$13)</f>
        <v>16.126300000000001</v>
      </c>
      <c r="J500" s="67">
        <f>8.8727 * CHOOSE(CONTROL!$C$26, $C$13, 100%, $E$13)</f>
        <v>8.8727</v>
      </c>
      <c r="K500" s="67">
        <f>8.8774 * CHOOSE(CONTROL!$C$26, $C$13, 100%, $E$13)</f>
        <v>8.8773999999999997</v>
      </c>
    </row>
    <row r="501" spans="1:11" ht="15">
      <c r="A501" s="13">
        <v>56370</v>
      </c>
      <c r="B501" s="66">
        <f>7.4046 * CHOOSE(CONTROL!$C$26, $C$13, 100%, $E$13)</f>
        <v>7.4046000000000003</v>
      </c>
      <c r="C501" s="66">
        <f>7.4046 * CHOOSE(CONTROL!$C$26, $C$13, 100%, $E$13)</f>
        <v>7.4046000000000003</v>
      </c>
      <c r="D501" s="66">
        <f>7.4101 * CHOOSE(CONTROL!$C$26, $C$13, 100%, $E$13)</f>
        <v>7.4100999999999999</v>
      </c>
      <c r="E501" s="67">
        <f>8.9187 * CHOOSE(CONTROL!$C$26, $C$13, 100%, $E$13)</f>
        <v>8.9186999999999994</v>
      </c>
      <c r="F501" s="67">
        <f>8.9187 * CHOOSE(CONTROL!$C$26, $C$13, 100%, $E$13)</f>
        <v>8.9186999999999994</v>
      </c>
      <c r="G501" s="67">
        <f>8.9254 * CHOOSE(CONTROL!$C$26, $C$13, 100%, $E$13)</f>
        <v>8.9253999999999998</v>
      </c>
      <c r="H501" s="67">
        <f>16.1551* CHOOSE(CONTROL!$C$26, $C$13, 100%, $E$13)</f>
        <v>16.155100000000001</v>
      </c>
      <c r="I501" s="67">
        <f>16.1619 * CHOOSE(CONTROL!$C$26, $C$13, 100%, $E$13)</f>
        <v>16.161899999999999</v>
      </c>
      <c r="J501" s="67">
        <f>8.9187 * CHOOSE(CONTROL!$C$26, $C$13, 100%, $E$13)</f>
        <v>8.9186999999999994</v>
      </c>
      <c r="K501" s="67">
        <f>8.9254 * CHOOSE(CONTROL!$C$26, $C$13, 100%, $E$13)</f>
        <v>8.9253999999999998</v>
      </c>
    </row>
    <row r="502" spans="1:11" ht="15">
      <c r="A502" s="13">
        <v>56401</v>
      </c>
      <c r="B502" s="66">
        <f>7.4107 * CHOOSE(CONTROL!$C$26, $C$13, 100%, $E$13)</f>
        <v>7.4107000000000003</v>
      </c>
      <c r="C502" s="66">
        <f>7.4107 * CHOOSE(CONTROL!$C$26, $C$13, 100%, $E$13)</f>
        <v>7.4107000000000003</v>
      </c>
      <c r="D502" s="66">
        <f>7.4162 * CHOOSE(CONTROL!$C$26, $C$13, 100%, $E$13)</f>
        <v>7.4161999999999999</v>
      </c>
      <c r="E502" s="67">
        <f>8.8769 * CHOOSE(CONTROL!$C$26, $C$13, 100%, $E$13)</f>
        <v>8.8768999999999991</v>
      </c>
      <c r="F502" s="67">
        <f>8.8769 * CHOOSE(CONTROL!$C$26, $C$13, 100%, $E$13)</f>
        <v>8.8768999999999991</v>
      </c>
      <c r="G502" s="67">
        <f>8.8836 * CHOOSE(CONTROL!$C$26, $C$13, 100%, $E$13)</f>
        <v>8.8835999999999995</v>
      </c>
      <c r="H502" s="67">
        <f>16.1888* CHOOSE(CONTROL!$C$26, $C$13, 100%, $E$13)</f>
        <v>16.188800000000001</v>
      </c>
      <c r="I502" s="67">
        <f>16.1955 * CHOOSE(CONTROL!$C$26, $C$13, 100%, $E$13)</f>
        <v>16.195499999999999</v>
      </c>
      <c r="J502" s="67">
        <f>8.8769 * CHOOSE(CONTROL!$C$26, $C$13, 100%, $E$13)</f>
        <v>8.8768999999999991</v>
      </c>
      <c r="K502" s="67">
        <f>8.8836 * CHOOSE(CONTROL!$C$26, $C$13, 100%, $E$13)</f>
        <v>8.8835999999999995</v>
      </c>
    </row>
    <row r="503" spans="1:11" ht="15">
      <c r="A503" s="13">
        <v>56431</v>
      </c>
      <c r="B503" s="66">
        <f>7.5277 * CHOOSE(CONTROL!$C$26, $C$13, 100%, $E$13)</f>
        <v>7.5277000000000003</v>
      </c>
      <c r="C503" s="66">
        <f>7.5277 * CHOOSE(CONTROL!$C$26, $C$13, 100%, $E$13)</f>
        <v>7.5277000000000003</v>
      </c>
      <c r="D503" s="66">
        <f>7.5332 * CHOOSE(CONTROL!$C$26, $C$13, 100%, $E$13)</f>
        <v>7.5331999999999999</v>
      </c>
      <c r="E503" s="67">
        <f>9.0233 * CHOOSE(CONTROL!$C$26, $C$13, 100%, $E$13)</f>
        <v>9.0233000000000008</v>
      </c>
      <c r="F503" s="67">
        <f>9.0233 * CHOOSE(CONTROL!$C$26, $C$13, 100%, $E$13)</f>
        <v>9.0233000000000008</v>
      </c>
      <c r="G503" s="67">
        <f>9.0301 * CHOOSE(CONTROL!$C$26, $C$13, 100%, $E$13)</f>
        <v>9.0300999999999991</v>
      </c>
      <c r="H503" s="67">
        <f>16.2225* CHOOSE(CONTROL!$C$26, $C$13, 100%, $E$13)</f>
        <v>16.2225</v>
      </c>
      <c r="I503" s="67">
        <f>16.2292 * CHOOSE(CONTROL!$C$26, $C$13, 100%, $E$13)</f>
        <v>16.229199999999999</v>
      </c>
      <c r="J503" s="67">
        <f>9.0233 * CHOOSE(CONTROL!$C$26, $C$13, 100%, $E$13)</f>
        <v>9.0233000000000008</v>
      </c>
      <c r="K503" s="67">
        <f>9.0301 * CHOOSE(CONTROL!$C$26, $C$13, 100%, $E$13)</f>
        <v>9.0300999999999991</v>
      </c>
    </row>
    <row r="504" spans="1:11" ht="15">
      <c r="A504" s="13">
        <v>56462</v>
      </c>
      <c r="B504" s="66">
        <f>7.5344 * CHOOSE(CONTROL!$C$26, $C$13, 100%, $E$13)</f>
        <v>7.5343999999999998</v>
      </c>
      <c r="C504" s="66">
        <f>7.5344 * CHOOSE(CONTROL!$C$26, $C$13, 100%, $E$13)</f>
        <v>7.5343999999999998</v>
      </c>
      <c r="D504" s="66">
        <f>7.5399 * CHOOSE(CONTROL!$C$26, $C$13, 100%, $E$13)</f>
        <v>7.5399000000000003</v>
      </c>
      <c r="E504" s="67">
        <f>8.8899 * CHOOSE(CONTROL!$C$26, $C$13, 100%, $E$13)</f>
        <v>8.8899000000000008</v>
      </c>
      <c r="F504" s="67">
        <f>8.8899 * CHOOSE(CONTROL!$C$26, $C$13, 100%, $E$13)</f>
        <v>8.8899000000000008</v>
      </c>
      <c r="G504" s="67">
        <f>8.8967 * CHOOSE(CONTROL!$C$26, $C$13, 100%, $E$13)</f>
        <v>8.8966999999999992</v>
      </c>
      <c r="H504" s="67">
        <f>16.2563* CHOOSE(CONTROL!$C$26, $C$13, 100%, $E$13)</f>
        <v>16.2563</v>
      </c>
      <c r="I504" s="67">
        <f>16.263 * CHOOSE(CONTROL!$C$26, $C$13, 100%, $E$13)</f>
        <v>16.263000000000002</v>
      </c>
      <c r="J504" s="67">
        <f>8.8899 * CHOOSE(CONTROL!$C$26, $C$13, 100%, $E$13)</f>
        <v>8.8899000000000008</v>
      </c>
      <c r="K504" s="67">
        <f>8.8967 * CHOOSE(CONTROL!$C$26, $C$13, 100%, $E$13)</f>
        <v>8.8966999999999992</v>
      </c>
    </row>
    <row r="505" spans="1:11" ht="15">
      <c r="A505" s="13">
        <v>56493</v>
      </c>
      <c r="B505" s="66">
        <f>7.5314 * CHOOSE(CONTROL!$C$26, $C$13, 100%, $E$13)</f>
        <v>7.5313999999999997</v>
      </c>
      <c r="C505" s="66">
        <f>7.5314 * CHOOSE(CONTROL!$C$26, $C$13, 100%, $E$13)</f>
        <v>7.5313999999999997</v>
      </c>
      <c r="D505" s="66">
        <f>7.5369 * CHOOSE(CONTROL!$C$26, $C$13, 100%, $E$13)</f>
        <v>7.5369000000000002</v>
      </c>
      <c r="E505" s="67">
        <f>8.8725 * CHOOSE(CONTROL!$C$26, $C$13, 100%, $E$13)</f>
        <v>8.8725000000000005</v>
      </c>
      <c r="F505" s="67">
        <f>8.8725 * CHOOSE(CONTROL!$C$26, $C$13, 100%, $E$13)</f>
        <v>8.8725000000000005</v>
      </c>
      <c r="G505" s="67">
        <f>8.8792 * CHOOSE(CONTROL!$C$26, $C$13, 100%, $E$13)</f>
        <v>8.8792000000000009</v>
      </c>
      <c r="H505" s="67">
        <f>16.2902* CHOOSE(CONTROL!$C$26, $C$13, 100%, $E$13)</f>
        <v>16.290199999999999</v>
      </c>
      <c r="I505" s="67">
        <f>16.2969 * CHOOSE(CONTROL!$C$26, $C$13, 100%, $E$13)</f>
        <v>16.296900000000001</v>
      </c>
      <c r="J505" s="67">
        <f>8.8725 * CHOOSE(CONTROL!$C$26, $C$13, 100%, $E$13)</f>
        <v>8.8725000000000005</v>
      </c>
      <c r="K505" s="67">
        <f>8.8792 * CHOOSE(CONTROL!$C$26, $C$13, 100%, $E$13)</f>
        <v>8.8792000000000009</v>
      </c>
    </row>
    <row r="506" spans="1:11" ht="15">
      <c r="A506" s="13">
        <v>56523</v>
      </c>
      <c r="B506" s="66">
        <f>7.5381 * CHOOSE(CONTROL!$C$26, $C$13, 100%, $E$13)</f>
        <v>7.5381</v>
      </c>
      <c r="C506" s="66">
        <f>7.5381 * CHOOSE(CONTROL!$C$26, $C$13, 100%, $E$13)</f>
        <v>7.5381</v>
      </c>
      <c r="D506" s="66">
        <f>7.5419 * CHOOSE(CONTROL!$C$26, $C$13, 100%, $E$13)</f>
        <v>7.5419</v>
      </c>
      <c r="E506" s="67">
        <f>8.9204 * CHOOSE(CONTROL!$C$26, $C$13, 100%, $E$13)</f>
        <v>8.9204000000000008</v>
      </c>
      <c r="F506" s="67">
        <f>8.9204 * CHOOSE(CONTROL!$C$26, $C$13, 100%, $E$13)</f>
        <v>8.9204000000000008</v>
      </c>
      <c r="G506" s="67">
        <f>8.9252 * CHOOSE(CONTROL!$C$26, $C$13, 100%, $E$13)</f>
        <v>8.9252000000000002</v>
      </c>
      <c r="H506" s="67">
        <f>16.3241* CHOOSE(CONTROL!$C$26, $C$13, 100%, $E$13)</f>
        <v>16.324100000000001</v>
      </c>
      <c r="I506" s="67">
        <f>16.3289 * CHOOSE(CONTROL!$C$26, $C$13, 100%, $E$13)</f>
        <v>16.328900000000001</v>
      </c>
      <c r="J506" s="67">
        <f>8.9204 * CHOOSE(CONTROL!$C$26, $C$13, 100%, $E$13)</f>
        <v>8.9204000000000008</v>
      </c>
      <c r="K506" s="67">
        <f>8.9252 * CHOOSE(CONTROL!$C$26, $C$13, 100%, $E$13)</f>
        <v>8.9252000000000002</v>
      </c>
    </row>
    <row r="507" spans="1:11" ht="15">
      <c r="A507" s="13">
        <v>56554</v>
      </c>
      <c r="B507" s="66">
        <f>7.5411 * CHOOSE(CONTROL!$C$26, $C$13, 100%, $E$13)</f>
        <v>7.5411000000000001</v>
      </c>
      <c r="C507" s="66">
        <f>7.5411 * CHOOSE(CONTROL!$C$26, $C$13, 100%, $E$13)</f>
        <v>7.5411000000000001</v>
      </c>
      <c r="D507" s="66">
        <f>7.545 * CHOOSE(CONTROL!$C$26, $C$13, 100%, $E$13)</f>
        <v>7.5449999999999999</v>
      </c>
      <c r="E507" s="67">
        <f>8.9532 * CHOOSE(CONTROL!$C$26, $C$13, 100%, $E$13)</f>
        <v>8.9532000000000007</v>
      </c>
      <c r="F507" s="67">
        <f>8.9532 * CHOOSE(CONTROL!$C$26, $C$13, 100%, $E$13)</f>
        <v>8.9532000000000007</v>
      </c>
      <c r="G507" s="67">
        <f>8.958 * CHOOSE(CONTROL!$C$26, $C$13, 100%, $E$13)</f>
        <v>8.9580000000000002</v>
      </c>
      <c r="H507" s="67">
        <f>16.3581* CHOOSE(CONTROL!$C$26, $C$13, 100%, $E$13)</f>
        <v>16.3581</v>
      </c>
      <c r="I507" s="67">
        <f>16.3629 * CHOOSE(CONTROL!$C$26, $C$13, 100%, $E$13)</f>
        <v>16.3629</v>
      </c>
      <c r="J507" s="67">
        <f>8.9532 * CHOOSE(CONTROL!$C$26, $C$13, 100%, $E$13)</f>
        <v>8.9532000000000007</v>
      </c>
      <c r="K507" s="67">
        <f>8.958 * CHOOSE(CONTROL!$C$26, $C$13, 100%, $E$13)</f>
        <v>8.9580000000000002</v>
      </c>
    </row>
    <row r="508" spans="1:11" ht="15">
      <c r="A508" s="13">
        <v>56584</v>
      </c>
      <c r="B508" s="66">
        <f>7.5411 * CHOOSE(CONTROL!$C$26, $C$13, 100%, $E$13)</f>
        <v>7.5411000000000001</v>
      </c>
      <c r="C508" s="66">
        <f>7.5411 * CHOOSE(CONTROL!$C$26, $C$13, 100%, $E$13)</f>
        <v>7.5411000000000001</v>
      </c>
      <c r="D508" s="66">
        <f>7.545 * CHOOSE(CONTROL!$C$26, $C$13, 100%, $E$13)</f>
        <v>7.5449999999999999</v>
      </c>
      <c r="E508" s="67">
        <f>8.8765 * CHOOSE(CONTROL!$C$26, $C$13, 100%, $E$13)</f>
        <v>8.8765000000000001</v>
      </c>
      <c r="F508" s="67">
        <f>8.8765 * CHOOSE(CONTROL!$C$26, $C$13, 100%, $E$13)</f>
        <v>8.8765000000000001</v>
      </c>
      <c r="G508" s="67">
        <f>8.8813 * CHOOSE(CONTROL!$C$26, $C$13, 100%, $E$13)</f>
        <v>8.8812999999999995</v>
      </c>
      <c r="H508" s="67">
        <f>16.3922* CHOOSE(CONTROL!$C$26, $C$13, 100%, $E$13)</f>
        <v>16.392199999999999</v>
      </c>
      <c r="I508" s="67">
        <f>16.397 * CHOOSE(CONTROL!$C$26, $C$13, 100%, $E$13)</f>
        <v>16.396999999999998</v>
      </c>
      <c r="J508" s="67">
        <f>8.8765 * CHOOSE(CONTROL!$C$26, $C$13, 100%, $E$13)</f>
        <v>8.8765000000000001</v>
      </c>
      <c r="K508" s="67">
        <f>8.8813 * CHOOSE(CONTROL!$C$26, $C$13, 100%, $E$13)</f>
        <v>8.8812999999999995</v>
      </c>
    </row>
    <row r="509" spans="1:11" ht="15">
      <c r="A509" s="13">
        <v>56615</v>
      </c>
      <c r="B509" s="66">
        <f>7.606 * CHOOSE(CONTROL!$C$26, $C$13, 100%, $E$13)</f>
        <v>7.6059999999999999</v>
      </c>
      <c r="C509" s="66">
        <f>7.606 * CHOOSE(CONTROL!$C$26, $C$13, 100%, $E$13)</f>
        <v>7.6059999999999999</v>
      </c>
      <c r="D509" s="66">
        <f>7.6099 * CHOOSE(CONTROL!$C$26, $C$13, 100%, $E$13)</f>
        <v>7.6098999999999997</v>
      </c>
      <c r="E509" s="67">
        <f>9.004 * CHOOSE(CONTROL!$C$26, $C$13, 100%, $E$13)</f>
        <v>9.0039999999999996</v>
      </c>
      <c r="F509" s="67">
        <f>9.004 * CHOOSE(CONTROL!$C$26, $C$13, 100%, $E$13)</f>
        <v>9.0039999999999996</v>
      </c>
      <c r="G509" s="67">
        <f>9.0088 * CHOOSE(CONTROL!$C$26, $C$13, 100%, $E$13)</f>
        <v>9.0088000000000008</v>
      </c>
      <c r="H509" s="67">
        <f>16.4263* CHOOSE(CONTROL!$C$26, $C$13, 100%, $E$13)</f>
        <v>16.426300000000001</v>
      </c>
      <c r="I509" s="67">
        <f>16.4311 * CHOOSE(CONTROL!$C$26, $C$13, 100%, $E$13)</f>
        <v>16.431100000000001</v>
      </c>
      <c r="J509" s="67">
        <f>9.004 * CHOOSE(CONTROL!$C$26, $C$13, 100%, $E$13)</f>
        <v>9.0039999999999996</v>
      </c>
      <c r="K509" s="67">
        <f>9.0088 * CHOOSE(CONTROL!$C$26, $C$13, 100%, $E$13)</f>
        <v>9.0088000000000008</v>
      </c>
    </row>
    <row r="510" spans="1:11" ht="15">
      <c r="A510" s="13">
        <v>56646</v>
      </c>
      <c r="B510" s="66">
        <f>7.603 * CHOOSE(CONTROL!$C$26, $C$13, 100%, $E$13)</f>
        <v>7.6029999999999998</v>
      </c>
      <c r="C510" s="66">
        <f>7.603 * CHOOSE(CONTROL!$C$26, $C$13, 100%, $E$13)</f>
        <v>7.6029999999999998</v>
      </c>
      <c r="D510" s="66">
        <f>7.6069 * CHOOSE(CONTROL!$C$26, $C$13, 100%, $E$13)</f>
        <v>7.6069000000000004</v>
      </c>
      <c r="E510" s="67">
        <f>8.8528 * CHOOSE(CONTROL!$C$26, $C$13, 100%, $E$13)</f>
        <v>8.8528000000000002</v>
      </c>
      <c r="F510" s="67">
        <f>8.8528 * CHOOSE(CONTROL!$C$26, $C$13, 100%, $E$13)</f>
        <v>8.8528000000000002</v>
      </c>
      <c r="G510" s="67">
        <f>8.8576 * CHOOSE(CONTROL!$C$26, $C$13, 100%, $E$13)</f>
        <v>8.8575999999999997</v>
      </c>
      <c r="H510" s="67">
        <f>16.4606* CHOOSE(CONTROL!$C$26, $C$13, 100%, $E$13)</f>
        <v>16.460599999999999</v>
      </c>
      <c r="I510" s="67">
        <f>16.4653 * CHOOSE(CONTROL!$C$26, $C$13, 100%, $E$13)</f>
        <v>16.465299999999999</v>
      </c>
      <c r="J510" s="67">
        <f>8.8528 * CHOOSE(CONTROL!$C$26, $C$13, 100%, $E$13)</f>
        <v>8.8528000000000002</v>
      </c>
      <c r="K510" s="67">
        <f>8.8576 * CHOOSE(CONTROL!$C$26, $C$13, 100%, $E$13)</f>
        <v>8.8575999999999997</v>
      </c>
    </row>
    <row r="511" spans="1:11" ht="15">
      <c r="A511" s="13">
        <v>56674</v>
      </c>
      <c r="B511" s="66">
        <f>7.6 * CHOOSE(CONTROL!$C$26, $C$13, 100%, $E$13)</f>
        <v>7.6</v>
      </c>
      <c r="C511" s="66">
        <f>7.6 * CHOOSE(CONTROL!$C$26, $C$13, 100%, $E$13)</f>
        <v>7.6</v>
      </c>
      <c r="D511" s="66">
        <f>7.6038 * CHOOSE(CONTROL!$C$26, $C$13, 100%, $E$13)</f>
        <v>7.6037999999999997</v>
      </c>
      <c r="E511" s="67">
        <f>8.9682 * CHOOSE(CONTROL!$C$26, $C$13, 100%, $E$13)</f>
        <v>8.9681999999999995</v>
      </c>
      <c r="F511" s="67">
        <f>8.9682 * CHOOSE(CONTROL!$C$26, $C$13, 100%, $E$13)</f>
        <v>8.9681999999999995</v>
      </c>
      <c r="G511" s="67">
        <f>8.973 * CHOOSE(CONTROL!$C$26, $C$13, 100%, $E$13)</f>
        <v>8.9730000000000008</v>
      </c>
      <c r="H511" s="67">
        <f>16.4949* CHOOSE(CONTROL!$C$26, $C$13, 100%, $E$13)</f>
        <v>16.494900000000001</v>
      </c>
      <c r="I511" s="67">
        <f>16.4996 * CHOOSE(CONTROL!$C$26, $C$13, 100%, $E$13)</f>
        <v>16.499600000000001</v>
      </c>
      <c r="J511" s="67">
        <f>8.9682 * CHOOSE(CONTROL!$C$26, $C$13, 100%, $E$13)</f>
        <v>8.9681999999999995</v>
      </c>
      <c r="K511" s="67">
        <f>8.973 * CHOOSE(CONTROL!$C$26, $C$13, 100%, $E$13)</f>
        <v>8.9730000000000008</v>
      </c>
    </row>
    <row r="512" spans="1:11" ht="15">
      <c r="A512" s="13">
        <v>56705</v>
      </c>
      <c r="B512" s="66">
        <f>7.6007 * CHOOSE(CONTROL!$C$26, $C$13, 100%, $E$13)</f>
        <v>7.6006999999999998</v>
      </c>
      <c r="C512" s="66">
        <f>7.6007 * CHOOSE(CONTROL!$C$26, $C$13, 100%, $E$13)</f>
        <v>7.6006999999999998</v>
      </c>
      <c r="D512" s="66">
        <f>7.6045 * CHOOSE(CONTROL!$C$26, $C$13, 100%, $E$13)</f>
        <v>7.6044999999999998</v>
      </c>
      <c r="E512" s="67">
        <f>9.0901 * CHOOSE(CONTROL!$C$26, $C$13, 100%, $E$13)</f>
        <v>9.0900999999999996</v>
      </c>
      <c r="F512" s="67">
        <f>9.0901 * CHOOSE(CONTROL!$C$26, $C$13, 100%, $E$13)</f>
        <v>9.0900999999999996</v>
      </c>
      <c r="G512" s="67">
        <f>9.0949 * CHOOSE(CONTROL!$C$26, $C$13, 100%, $E$13)</f>
        <v>9.0949000000000009</v>
      </c>
      <c r="H512" s="67">
        <f>16.5292* CHOOSE(CONTROL!$C$26, $C$13, 100%, $E$13)</f>
        <v>16.529199999999999</v>
      </c>
      <c r="I512" s="67">
        <f>16.534 * CHOOSE(CONTROL!$C$26, $C$13, 100%, $E$13)</f>
        <v>16.533999999999999</v>
      </c>
      <c r="J512" s="67">
        <f>9.0901 * CHOOSE(CONTROL!$C$26, $C$13, 100%, $E$13)</f>
        <v>9.0900999999999996</v>
      </c>
      <c r="K512" s="67">
        <f>9.0949 * CHOOSE(CONTROL!$C$26, $C$13, 100%, $E$13)</f>
        <v>9.0949000000000009</v>
      </c>
    </row>
    <row r="513" spans="1:11" ht="15">
      <c r="A513" s="13">
        <v>56735</v>
      </c>
      <c r="B513" s="66">
        <f>7.6007 * CHOOSE(CONTROL!$C$26, $C$13, 100%, $E$13)</f>
        <v>7.6006999999999998</v>
      </c>
      <c r="C513" s="66">
        <f>7.6007 * CHOOSE(CONTROL!$C$26, $C$13, 100%, $E$13)</f>
        <v>7.6006999999999998</v>
      </c>
      <c r="D513" s="66">
        <f>7.6062 * CHOOSE(CONTROL!$C$26, $C$13, 100%, $E$13)</f>
        <v>7.6062000000000003</v>
      </c>
      <c r="E513" s="67">
        <f>9.1375 * CHOOSE(CONTROL!$C$26, $C$13, 100%, $E$13)</f>
        <v>9.1374999999999993</v>
      </c>
      <c r="F513" s="67">
        <f>9.1375 * CHOOSE(CONTROL!$C$26, $C$13, 100%, $E$13)</f>
        <v>9.1374999999999993</v>
      </c>
      <c r="G513" s="67">
        <f>9.1442 * CHOOSE(CONTROL!$C$26, $C$13, 100%, $E$13)</f>
        <v>9.1441999999999997</v>
      </c>
      <c r="H513" s="67">
        <f>16.5637* CHOOSE(CONTROL!$C$26, $C$13, 100%, $E$13)</f>
        <v>16.563700000000001</v>
      </c>
      <c r="I513" s="67">
        <f>16.5704 * CHOOSE(CONTROL!$C$26, $C$13, 100%, $E$13)</f>
        <v>16.570399999999999</v>
      </c>
      <c r="J513" s="67">
        <f>9.1375 * CHOOSE(CONTROL!$C$26, $C$13, 100%, $E$13)</f>
        <v>9.1374999999999993</v>
      </c>
      <c r="K513" s="67">
        <f>9.1442 * CHOOSE(CONTROL!$C$26, $C$13, 100%, $E$13)</f>
        <v>9.1441999999999997</v>
      </c>
    </row>
    <row r="514" spans="1:11" ht="15">
      <c r="A514" s="13">
        <v>56766</v>
      </c>
      <c r="B514" s="66">
        <f>7.6068 * CHOOSE(CONTROL!$C$26, $C$13, 100%, $E$13)</f>
        <v>7.6067999999999998</v>
      </c>
      <c r="C514" s="66">
        <f>7.6068 * CHOOSE(CONTROL!$C$26, $C$13, 100%, $E$13)</f>
        <v>7.6067999999999998</v>
      </c>
      <c r="D514" s="66">
        <f>7.6123 * CHOOSE(CONTROL!$C$26, $C$13, 100%, $E$13)</f>
        <v>7.6123000000000003</v>
      </c>
      <c r="E514" s="67">
        <f>9.0944 * CHOOSE(CONTROL!$C$26, $C$13, 100%, $E$13)</f>
        <v>9.0944000000000003</v>
      </c>
      <c r="F514" s="67">
        <f>9.0944 * CHOOSE(CONTROL!$C$26, $C$13, 100%, $E$13)</f>
        <v>9.0944000000000003</v>
      </c>
      <c r="G514" s="67">
        <f>9.1011 * CHOOSE(CONTROL!$C$26, $C$13, 100%, $E$13)</f>
        <v>9.1011000000000006</v>
      </c>
      <c r="H514" s="67">
        <f>16.5982* CHOOSE(CONTROL!$C$26, $C$13, 100%, $E$13)</f>
        <v>16.598199999999999</v>
      </c>
      <c r="I514" s="67">
        <f>16.6049 * CHOOSE(CONTROL!$C$26, $C$13, 100%, $E$13)</f>
        <v>16.604900000000001</v>
      </c>
      <c r="J514" s="67">
        <f>9.0944 * CHOOSE(CONTROL!$C$26, $C$13, 100%, $E$13)</f>
        <v>9.0944000000000003</v>
      </c>
      <c r="K514" s="67">
        <f>9.1011 * CHOOSE(CONTROL!$C$26, $C$13, 100%, $E$13)</f>
        <v>9.1011000000000006</v>
      </c>
    </row>
    <row r="515" spans="1:11" ht="15">
      <c r="A515" s="13">
        <v>56796</v>
      </c>
      <c r="B515" s="66">
        <f>7.7266 * CHOOSE(CONTROL!$C$26, $C$13, 100%, $E$13)</f>
        <v>7.7266000000000004</v>
      </c>
      <c r="C515" s="66">
        <f>7.7266 * CHOOSE(CONTROL!$C$26, $C$13, 100%, $E$13)</f>
        <v>7.7266000000000004</v>
      </c>
      <c r="D515" s="66">
        <f>7.7321 * CHOOSE(CONTROL!$C$26, $C$13, 100%, $E$13)</f>
        <v>7.7321</v>
      </c>
      <c r="E515" s="67">
        <f>9.2441 * CHOOSE(CONTROL!$C$26, $C$13, 100%, $E$13)</f>
        <v>9.2440999999999995</v>
      </c>
      <c r="F515" s="67">
        <f>9.2441 * CHOOSE(CONTROL!$C$26, $C$13, 100%, $E$13)</f>
        <v>9.2440999999999995</v>
      </c>
      <c r="G515" s="67">
        <f>9.2509 * CHOOSE(CONTROL!$C$26, $C$13, 100%, $E$13)</f>
        <v>9.2508999999999997</v>
      </c>
      <c r="H515" s="67">
        <f>16.6327* CHOOSE(CONTROL!$C$26, $C$13, 100%, $E$13)</f>
        <v>16.6327</v>
      </c>
      <c r="I515" s="67">
        <f>16.6395 * CHOOSE(CONTROL!$C$26, $C$13, 100%, $E$13)</f>
        <v>16.639500000000002</v>
      </c>
      <c r="J515" s="67">
        <f>9.2441 * CHOOSE(CONTROL!$C$26, $C$13, 100%, $E$13)</f>
        <v>9.2440999999999995</v>
      </c>
      <c r="K515" s="67">
        <f>9.2509 * CHOOSE(CONTROL!$C$26, $C$13, 100%, $E$13)</f>
        <v>9.2508999999999997</v>
      </c>
    </row>
    <row r="516" spans="1:11" ht="15">
      <c r="A516" s="13">
        <v>56827</v>
      </c>
      <c r="B516" s="66">
        <f>7.7333 * CHOOSE(CONTROL!$C$26, $C$13, 100%, $E$13)</f>
        <v>7.7332999999999998</v>
      </c>
      <c r="C516" s="66">
        <f>7.7333 * CHOOSE(CONTROL!$C$26, $C$13, 100%, $E$13)</f>
        <v>7.7332999999999998</v>
      </c>
      <c r="D516" s="66">
        <f>7.7388 * CHOOSE(CONTROL!$C$26, $C$13, 100%, $E$13)</f>
        <v>7.7388000000000003</v>
      </c>
      <c r="E516" s="67">
        <f>9.1068 * CHOOSE(CONTROL!$C$26, $C$13, 100%, $E$13)</f>
        <v>9.1067999999999998</v>
      </c>
      <c r="F516" s="67">
        <f>9.1068 * CHOOSE(CONTROL!$C$26, $C$13, 100%, $E$13)</f>
        <v>9.1067999999999998</v>
      </c>
      <c r="G516" s="67">
        <f>9.1136 * CHOOSE(CONTROL!$C$26, $C$13, 100%, $E$13)</f>
        <v>9.1135999999999999</v>
      </c>
      <c r="H516" s="67">
        <f>16.6674* CHOOSE(CONTROL!$C$26, $C$13, 100%, $E$13)</f>
        <v>16.667400000000001</v>
      </c>
      <c r="I516" s="67">
        <f>16.6741 * CHOOSE(CONTROL!$C$26, $C$13, 100%, $E$13)</f>
        <v>16.674099999999999</v>
      </c>
      <c r="J516" s="67">
        <f>9.1068 * CHOOSE(CONTROL!$C$26, $C$13, 100%, $E$13)</f>
        <v>9.1067999999999998</v>
      </c>
      <c r="K516" s="67">
        <f>9.1136 * CHOOSE(CONTROL!$C$26, $C$13, 100%, $E$13)</f>
        <v>9.1135999999999999</v>
      </c>
    </row>
    <row r="517" spans="1:11" ht="15">
      <c r="A517" s="13">
        <v>56858</v>
      </c>
      <c r="B517" s="66">
        <f>7.7303 * CHOOSE(CONTROL!$C$26, $C$13, 100%, $E$13)</f>
        <v>7.7302999999999997</v>
      </c>
      <c r="C517" s="66">
        <f>7.7303 * CHOOSE(CONTROL!$C$26, $C$13, 100%, $E$13)</f>
        <v>7.7302999999999997</v>
      </c>
      <c r="D517" s="66">
        <f>7.7358 * CHOOSE(CONTROL!$C$26, $C$13, 100%, $E$13)</f>
        <v>7.7358000000000002</v>
      </c>
      <c r="E517" s="67">
        <f>9.089 * CHOOSE(CONTROL!$C$26, $C$13, 100%, $E$13)</f>
        <v>9.0890000000000004</v>
      </c>
      <c r="F517" s="67">
        <f>9.089 * CHOOSE(CONTROL!$C$26, $C$13, 100%, $E$13)</f>
        <v>9.0890000000000004</v>
      </c>
      <c r="G517" s="67">
        <f>9.0957 * CHOOSE(CONTROL!$C$26, $C$13, 100%, $E$13)</f>
        <v>9.0957000000000008</v>
      </c>
      <c r="H517" s="67">
        <f>16.7021* CHOOSE(CONTROL!$C$26, $C$13, 100%, $E$13)</f>
        <v>16.702100000000002</v>
      </c>
      <c r="I517" s="67">
        <f>16.7089 * CHOOSE(CONTROL!$C$26, $C$13, 100%, $E$13)</f>
        <v>16.7089</v>
      </c>
      <c r="J517" s="67">
        <f>9.089 * CHOOSE(CONTROL!$C$26, $C$13, 100%, $E$13)</f>
        <v>9.0890000000000004</v>
      </c>
      <c r="K517" s="67">
        <f>9.0957 * CHOOSE(CONTROL!$C$26, $C$13, 100%, $E$13)</f>
        <v>9.0957000000000008</v>
      </c>
    </row>
    <row r="518" spans="1:11" ht="15">
      <c r="A518" s="13">
        <v>56888</v>
      </c>
      <c r="B518" s="66">
        <f>7.7376 * CHOOSE(CONTROL!$C$26, $C$13, 100%, $E$13)</f>
        <v>7.7375999999999996</v>
      </c>
      <c r="C518" s="66">
        <f>7.7376 * CHOOSE(CONTROL!$C$26, $C$13, 100%, $E$13)</f>
        <v>7.7375999999999996</v>
      </c>
      <c r="D518" s="66">
        <f>7.7414 * CHOOSE(CONTROL!$C$26, $C$13, 100%, $E$13)</f>
        <v>7.7413999999999996</v>
      </c>
      <c r="E518" s="67">
        <f>9.1386 * CHOOSE(CONTROL!$C$26, $C$13, 100%, $E$13)</f>
        <v>9.1386000000000003</v>
      </c>
      <c r="F518" s="67">
        <f>9.1386 * CHOOSE(CONTROL!$C$26, $C$13, 100%, $E$13)</f>
        <v>9.1386000000000003</v>
      </c>
      <c r="G518" s="67">
        <f>9.1434 * CHOOSE(CONTROL!$C$26, $C$13, 100%, $E$13)</f>
        <v>9.1433999999999997</v>
      </c>
      <c r="H518" s="67">
        <f>16.7369* CHOOSE(CONTROL!$C$26, $C$13, 100%, $E$13)</f>
        <v>16.736899999999999</v>
      </c>
      <c r="I518" s="67">
        <f>16.7417 * CHOOSE(CONTROL!$C$26, $C$13, 100%, $E$13)</f>
        <v>16.741700000000002</v>
      </c>
      <c r="J518" s="67">
        <f>9.1386 * CHOOSE(CONTROL!$C$26, $C$13, 100%, $E$13)</f>
        <v>9.1386000000000003</v>
      </c>
      <c r="K518" s="67">
        <f>9.1434 * CHOOSE(CONTROL!$C$26, $C$13, 100%, $E$13)</f>
        <v>9.1433999999999997</v>
      </c>
    </row>
    <row r="519" spans="1:11" ht="15">
      <c r="A519" s="13">
        <v>56919</v>
      </c>
      <c r="B519" s="66">
        <f>7.7406 * CHOOSE(CONTROL!$C$26, $C$13, 100%, $E$13)</f>
        <v>7.7405999999999997</v>
      </c>
      <c r="C519" s="66">
        <f>7.7406 * CHOOSE(CONTROL!$C$26, $C$13, 100%, $E$13)</f>
        <v>7.7405999999999997</v>
      </c>
      <c r="D519" s="66">
        <f>7.7445 * CHOOSE(CONTROL!$C$26, $C$13, 100%, $E$13)</f>
        <v>7.7445000000000004</v>
      </c>
      <c r="E519" s="67">
        <f>9.1723 * CHOOSE(CONTROL!$C$26, $C$13, 100%, $E$13)</f>
        <v>9.1722999999999999</v>
      </c>
      <c r="F519" s="67">
        <f>9.1723 * CHOOSE(CONTROL!$C$26, $C$13, 100%, $E$13)</f>
        <v>9.1722999999999999</v>
      </c>
      <c r="G519" s="67">
        <f>9.1771 * CHOOSE(CONTROL!$C$26, $C$13, 100%, $E$13)</f>
        <v>9.1770999999999994</v>
      </c>
      <c r="H519" s="67">
        <f>16.7718* CHOOSE(CONTROL!$C$26, $C$13, 100%, $E$13)</f>
        <v>16.771799999999999</v>
      </c>
      <c r="I519" s="67">
        <f>16.7766 * CHOOSE(CONTROL!$C$26, $C$13, 100%, $E$13)</f>
        <v>16.776599999999998</v>
      </c>
      <c r="J519" s="67">
        <f>9.1723 * CHOOSE(CONTROL!$C$26, $C$13, 100%, $E$13)</f>
        <v>9.1722999999999999</v>
      </c>
      <c r="K519" s="67">
        <f>9.1771 * CHOOSE(CONTROL!$C$26, $C$13, 100%, $E$13)</f>
        <v>9.1770999999999994</v>
      </c>
    </row>
    <row r="520" spans="1:11" ht="15">
      <c r="A520" s="13">
        <v>56949</v>
      </c>
      <c r="B520" s="66">
        <f>7.7406 * CHOOSE(CONTROL!$C$26, $C$13, 100%, $E$13)</f>
        <v>7.7405999999999997</v>
      </c>
      <c r="C520" s="66">
        <f>7.7406 * CHOOSE(CONTROL!$C$26, $C$13, 100%, $E$13)</f>
        <v>7.7405999999999997</v>
      </c>
      <c r="D520" s="66">
        <f>7.7445 * CHOOSE(CONTROL!$C$26, $C$13, 100%, $E$13)</f>
        <v>7.7445000000000004</v>
      </c>
      <c r="E520" s="67">
        <f>9.0934 * CHOOSE(CONTROL!$C$26, $C$13, 100%, $E$13)</f>
        <v>9.0934000000000008</v>
      </c>
      <c r="F520" s="67">
        <f>9.0934 * CHOOSE(CONTROL!$C$26, $C$13, 100%, $E$13)</f>
        <v>9.0934000000000008</v>
      </c>
      <c r="G520" s="67">
        <f>9.0982 * CHOOSE(CONTROL!$C$26, $C$13, 100%, $E$13)</f>
        <v>9.0982000000000003</v>
      </c>
      <c r="H520" s="67">
        <f>16.8067* CHOOSE(CONTROL!$C$26, $C$13, 100%, $E$13)</f>
        <v>16.806699999999999</v>
      </c>
      <c r="I520" s="67">
        <f>16.8115 * CHOOSE(CONTROL!$C$26, $C$13, 100%, $E$13)</f>
        <v>16.811499999999999</v>
      </c>
      <c r="J520" s="67">
        <f>9.0934 * CHOOSE(CONTROL!$C$26, $C$13, 100%, $E$13)</f>
        <v>9.0934000000000008</v>
      </c>
      <c r="K520" s="67">
        <f>9.0982 * CHOOSE(CONTROL!$C$26, $C$13, 100%, $E$13)</f>
        <v>9.0982000000000003</v>
      </c>
    </row>
    <row r="521" spans="1:11" ht="15">
      <c r="A521" s="13">
        <v>56980</v>
      </c>
      <c r="B521" s="66">
        <f>7.8071 * CHOOSE(CONTROL!$C$26, $C$13, 100%, $E$13)</f>
        <v>7.8071000000000002</v>
      </c>
      <c r="C521" s="66">
        <f>7.8071 * CHOOSE(CONTROL!$C$26, $C$13, 100%, $E$13)</f>
        <v>7.8071000000000002</v>
      </c>
      <c r="D521" s="66">
        <f>7.811 * CHOOSE(CONTROL!$C$26, $C$13, 100%, $E$13)</f>
        <v>7.8109999999999999</v>
      </c>
      <c r="E521" s="67">
        <f>9.2242 * CHOOSE(CONTROL!$C$26, $C$13, 100%, $E$13)</f>
        <v>9.2241999999999997</v>
      </c>
      <c r="F521" s="67">
        <f>9.2242 * CHOOSE(CONTROL!$C$26, $C$13, 100%, $E$13)</f>
        <v>9.2241999999999997</v>
      </c>
      <c r="G521" s="67">
        <f>9.229 * CHOOSE(CONTROL!$C$26, $C$13, 100%, $E$13)</f>
        <v>9.2289999999999992</v>
      </c>
      <c r="H521" s="67">
        <f>16.8417* CHOOSE(CONTROL!$C$26, $C$13, 100%, $E$13)</f>
        <v>16.841699999999999</v>
      </c>
      <c r="I521" s="67">
        <f>16.8465 * CHOOSE(CONTROL!$C$26, $C$13, 100%, $E$13)</f>
        <v>16.846499999999999</v>
      </c>
      <c r="J521" s="67">
        <f>9.2242 * CHOOSE(CONTROL!$C$26, $C$13, 100%, $E$13)</f>
        <v>9.2241999999999997</v>
      </c>
      <c r="K521" s="67">
        <f>9.229 * CHOOSE(CONTROL!$C$26, $C$13, 100%, $E$13)</f>
        <v>9.2289999999999992</v>
      </c>
    </row>
    <row r="522" spans="1:11" ht="15">
      <c r="A522" s="13">
        <v>57011</v>
      </c>
      <c r="B522" s="66">
        <f>7.8041 * CHOOSE(CONTROL!$C$26, $C$13, 100%, $E$13)</f>
        <v>7.8041</v>
      </c>
      <c r="C522" s="66">
        <f>7.8041 * CHOOSE(CONTROL!$C$26, $C$13, 100%, $E$13)</f>
        <v>7.8041</v>
      </c>
      <c r="D522" s="66">
        <f>7.808 * CHOOSE(CONTROL!$C$26, $C$13, 100%, $E$13)</f>
        <v>7.8079999999999998</v>
      </c>
      <c r="E522" s="67">
        <f>9.0688 * CHOOSE(CONTROL!$C$26, $C$13, 100%, $E$13)</f>
        <v>9.0687999999999995</v>
      </c>
      <c r="F522" s="67">
        <f>9.0688 * CHOOSE(CONTROL!$C$26, $C$13, 100%, $E$13)</f>
        <v>9.0687999999999995</v>
      </c>
      <c r="G522" s="67">
        <f>9.0736 * CHOOSE(CONTROL!$C$26, $C$13, 100%, $E$13)</f>
        <v>9.0736000000000008</v>
      </c>
      <c r="H522" s="67">
        <f>16.8768* CHOOSE(CONTROL!$C$26, $C$13, 100%, $E$13)</f>
        <v>16.876799999999999</v>
      </c>
      <c r="I522" s="67">
        <f>16.8816 * CHOOSE(CONTROL!$C$26, $C$13, 100%, $E$13)</f>
        <v>16.881599999999999</v>
      </c>
      <c r="J522" s="67">
        <f>9.0688 * CHOOSE(CONTROL!$C$26, $C$13, 100%, $E$13)</f>
        <v>9.0687999999999995</v>
      </c>
      <c r="K522" s="67">
        <f>9.0736 * CHOOSE(CONTROL!$C$26, $C$13, 100%, $E$13)</f>
        <v>9.0736000000000008</v>
      </c>
    </row>
    <row r="523" spans="1:11" ht="15">
      <c r="A523" s="13">
        <v>57040</v>
      </c>
      <c r="B523" s="66">
        <f>7.8011 * CHOOSE(CONTROL!$C$26, $C$13, 100%, $E$13)</f>
        <v>7.8010999999999999</v>
      </c>
      <c r="C523" s="66">
        <f>7.8011 * CHOOSE(CONTROL!$C$26, $C$13, 100%, $E$13)</f>
        <v>7.8010999999999999</v>
      </c>
      <c r="D523" s="66">
        <f>7.8049 * CHOOSE(CONTROL!$C$26, $C$13, 100%, $E$13)</f>
        <v>7.8048999999999999</v>
      </c>
      <c r="E523" s="67">
        <f>9.1875 * CHOOSE(CONTROL!$C$26, $C$13, 100%, $E$13)</f>
        <v>9.1875</v>
      </c>
      <c r="F523" s="67">
        <f>9.1875 * CHOOSE(CONTROL!$C$26, $C$13, 100%, $E$13)</f>
        <v>9.1875</v>
      </c>
      <c r="G523" s="67">
        <f>9.1923 * CHOOSE(CONTROL!$C$26, $C$13, 100%, $E$13)</f>
        <v>9.1922999999999995</v>
      </c>
      <c r="H523" s="67">
        <f>16.912* CHOOSE(CONTROL!$C$26, $C$13, 100%, $E$13)</f>
        <v>16.911999999999999</v>
      </c>
      <c r="I523" s="67">
        <f>16.9168 * CHOOSE(CONTROL!$C$26, $C$13, 100%, $E$13)</f>
        <v>16.916799999999999</v>
      </c>
      <c r="J523" s="67">
        <f>9.1875 * CHOOSE(CONTROL!$C$26, $C$13, 100%, $E$13)</f>
        <v>9.1875</v>
      </c>
      <c r="K523" s="67">
        <f>9.1923 * CHOOSE(CONTROL!$C$26, $C$13, 100%, $E$13)</f>
        <v>9.1922999999999995</v>
      </c>
    </row>
    <row r="524" spans="1:11" ht="15">
      <c r="A524" s="13">
        <v>57071</v>
      </c>
      <c r="B524" s="66">
        <f>7.802 * CHOOSE(CONTROL!$C$26, $C$13, 100%, $E$13)</f>
        <v>7.8019999999999996</v>
      </c>
      <c r="C524" s="66">
        <f>7.802 * CHOOSE(CONTROL!$C$26, $C$13, 100%, $E$13)</f>
        <v>7.8019999999999996</v>
      </c>
      <c r="D524" s="66">
        <f>7.8058 * CHOOSE(CONTROL!$C$26, $C$13, 100%, $E$13)</f>
        <v>7.8057999999999996</v>
      </c>
      <c r="E524" s="67">
        <f>9.313 * CHOOSE(CONTROL!$C$26, $C$13, 100%, $E$13)</f>
        <v>9.3130000000000006</v>
      </c>
      <c r="F524" s="67">
        <f>9.313 * CHOOSE(CONTROL!$C$26, $C$13, 100%, $E$13)</f>
        <v>9.3130000000000006</v>
      </c>
      <c r="G524" s="67">
        <f>9.3178 * CHOOSE(CONTROL!$C$26, $C$13, 100%, $E$13)</f>
        <v>9.3178000000000001</v>
      </c>
      <c r="H524" s="67">
        <f>16.9472* CHOOSE(CONTROL!$C$26, $C$13, 100%, $E$13)</f>
        <v>16.947199999999999</v>
      </c>
      <c r="I524" s="67">
        <f>16.952 * CHOOSE(CONTROL!$C$26, $C$13, 100%, $E$13)</f>
        <v>16.952000000000002</v>
      </c>
      <c r="J524" s="67">
        <f>9.313 * CHOOSE(CONTROL!$C$26, $C$13, 100%, $E$13)</f>
        <v>9.3130000000000006</v>
      </c>
      <c r="K524" s="67">
        <f>9.3178 * CHOOSE(CONTROL!$C$26, $C$13, 100%, $E$13)</f>
        <v>9.3178000000000001</v>
      </c>
    </row>
    <row r="525" spans="1:11" ht="15">
      <c r="A525" s="13">
        <v>57101</v>
      </c>
      <c r="B525" s="66">
        <f>7.802 * CHOOSE(CONTROL!$C$26, $C$13, 100%, $E$13)</f>
        <v>7.8019999999999996</v>
      </c>
      <c r="C525" s="66">
        <f>7.802 * CHOOSE(CONTROL!$C$26, $C$13, 100%, $E$13)</f>
        <v>7.8019999999999996</v>
      </c>
      <c r="D525" s="66">
        <f>7.8075 * CHOOSE(CONTROL!$C$26, $C$13, 100%, $E$13)</f>
        <v>7.8075000000000001</v>
      </c>
      <c r="E525" s="67">
        <f>9.3616 * CHOOSE(CONTROL!$C$26, $C$13, 100%, $E$13)</f>
        <v>9.3615999999999993</v>
      </c>
      <c r="F525" s="67">
        <f>9.3616 * CHOOSE(CONTROL!$C$26, $C$13, 100%, $E$13)</f>
        <v>9.3615999999999993</v>
      </c>
      <c r="G525" s="67">
        <f>9.3684 * CHOOSE(CONTROL!$C$26, $C$13, 100%, $E$13)</f>
        <v>9.3683999999999994</v>
      </c>
      <c r="H525" s="67">
        <f>16.9825* CHOOSE(CONTROL!$C$26, $C$13, 100%, $E$13)</f>
        <v>16.982500000000002</v>
      </c>
      <c r="I525" s="67">
        <f>16.9893 * CHOOSE(CONTROL!$C$26, $C$13, 100%, $E$13)</f>
        <v>16.9893</v>
      </c>
      <c r="J525" s="67">
        <f>9.3616 * CHOOSE(CONTROL!$C$26, $C$13, 100%, $E$13)</f>
        <v>9.3615999999999993</v>
      </c>
      <c r="K525" s="67">
        <f>9.3684 * CHOOSE(CONTROL!$C$26, $C$13, 100%, $E$13)</f>
        <v>9.3683999999999994</v>
      </c>
    </row>
    <row r="526" spans="1:11" ht="15">
      <c r="A526" s="13">
        <v>57132</v>
      </c>
      <c r="B526" s="66">
        <f>7.808 * CHOOSE(CONTROL!$C$26, $C$13, 100%, $E$13)</f>
        <v>7.8079999999999998</v>
      </c>
      <c r="C526" s="66">
        <f>7.808 * CHOOSE(CONTROL!$C$26, $C$13, 100%, $E$13)</f>
        <v>7.8079999999999998</v>
      </c>
      <c r="D526" s="66">
        <f>7.8135 * CHOOSE(CONTROL!$C$26, $C$13, 100%, $E$13)</f>
        <v>7.8135000000000003</v>
      </c>
      <c r="E526" s="67">
        <f>9.3172 * CHOOSE(CONTROL!$C$26, $C$13, 100%, $E$13)</f>
        <v>9.3171999999999997</v>
      </c>
      <c r="F526" s="67">
        <f>9.3172 * CHOOSE(CONTROL!$C$26, $C$13, 100%, $E$13)</f>
        <v>9.3171999999999997</v>
      </c>
      <c r="G526" s="67">
        <f>9.324 * CHOOSE(CONTROL!$C$26, $C$13, 100%, $E$13)</f>
        <v>9.3239999999999998</v>
      </c>
      <c r="H526" s="67">
        <f>17.0179* CHOOSE(CONTROL!$C$26, $C$13, 100%, $E$13)</f>
        <v>17.017900000000001</v>
      </c>
      <c r="I526" s="67">
        <f>17.0246 * CHOOSE(CONTROL!$C$26, $C$13, 100%, $E$13)</f>
        <v>17.0246</v>
      </c>
      <c r="J526" s="67">
        <f>9.3172 * CHOOSE(CONTROL!$C$26, $C$13, 100%, $E$13)</f>
        <v>9.3171999999999997</v>
      </c>
      <c r="K526" s="67">
        <f>9.324 * CHOOSE(CONTROL!$C$26, $C$13, 100%, $E$13)</f>
        <v>9.3239999999999998</v>
      </c>
    </row>
    <row r="527" spans="1:11" ht="15">
      <c r="A527" s="13">
        <v>57162</v>
      </c>
      <c r="B527" s="66">
        <f>7.9308 * CHOOSE(CONTROL!$C$26, $C$13, 100%, $E$13)</f>
        <v>7.9307999999999996</v>
      </c>
      <c r="C527" s="66">
        <f>7.9308 * CHOOSE(CONTROL!$C$26, $C$13, 100%, $E$13)</f>
        <v>7.9307999999999996</v>
      </c>
      <c r="D527" s="66">
        <f>7.9363 * CHOOSE(CONTROL!$C$26, $C$13, 100%, $E$13)</f>
        <v>7.9363000000000001</v>
      </c>
      <c r="E527" s="67">
        <f>9.4704 * CHOOSE(CONTROL!$C$26, $C$13, 100%, $E$13)</f>
        <v>9.4703999999999997</v>
      </c>
      <c r="F527" s="67">
        <f>9.4704 * CHOOSE(CONTROL!$C$26, $C$13, 100%, $E$13)</f>
        <v>9.4703999999999997</v>
      </c>
      <c r="G527" s="67">
        <f>9.4771 * CHOOSE(CONTROL!$C$26, $C$13, 100%, $E$13)</f>
        <v>9.4771000000000001</v>
      </c>
      <c r="H527" s="67">
        <f>17.0534* CHOOSE(CONTROL!$C$26, $C$13, 100%, $E$13)</f>
        <v>17.0534</v>
      </c>
      <c r="I527" s="67">
        <f>17.0601 * CHOOSE(CONTROL!$C$26, $C$13, 100%, $E$13)</f>
        <v>17.060099999999998</v>
      </c>
      <c r="J527" s="67">
        <f>9.4704 * CHOOSE(CONTROL!$C$26, $C$13, 100%, $E$13)</f>
        <v>9.4703999999999997</v>
      </c>
      <c r="K527" s="67">
        <f>9.4771 * CHOOSE(CONTROL!$C$26, $C$13, 100%, $E$13)</f>
        <v>9.4771000000000001</v>
      </c>
    </row>
    <row r="528" spans="1:11" ht="15">
      <c r="A528" s="13">
        <v>57193</v>
      </c>
      <c r="B528" s="66">
        <f>7.9375 * CHOOSE(CONTROL!$C$26, $C$13, 100%, $E$13)</f>
        <v>7.9375</v>
      </c>
      <c r="C528" s="66">
        <f>7.9375 * CHOOSE(CONTROL!$C$26, $C$13, 100%, $E$13)</f>
        <v>7.9375</v>
      </c>
      <c r="D528" s="66">
        <f>7.943 * CHOOSE(CONTROL!$C$26, $C$13, 100%, $E$13)</f>
        <v>7.9429999999999996</v>
      </c>
      <c r="E528" s="67">
        <f>9.3291 * CHOOSE(CONTROL!$C$26, $C$13, 100%, $E$13)</f>
        <v>9.3291000000000004</v>
      </c>
      <c r="F528" s="67">
        <f>9.3291 * CHOOSE(CONTROL!$C$26, $C$13, 100%, $E$13)</f>
        <v>9.3291000000000004</v>
      </c>
      <c r="G528" s="67">
        <f>9.3358 * CHOOSE(CONTROL!$C$26, $C$13, 100%, $E$13)</f>
        <v>9.3358000000000008</v>
      </c>
      <c r="H528" s="67">
        <f>17.0889* CHOOSE(CONTROL!$C$26, $C$13, 100%, $E$13)</f>
        <v>17.088899999999999</v>
      </c>
      <c r="I528" s="67">
        <f>17.0956 * CHOOSE(CONTROL!$C$26, $C$13, 100%, $E$13)</f>
        <v>17.095600000000001</v>
      </c>
      <c r="J528" s="67">
        <f>9.3291 * CHOOSE(CONTROL!$C$26, $C$13, 100%, $E$13)</f>
        <v>9.3291000000000004</v>
      </c>
      <c r="K528" s="67">
        <f>9.3358 * CHOOSE(CONTROL!$C$26, $C$13, 100%, $E$13)</f>
        <v>9.3358000000000008</v>
      </c>
    </row>
    <row r="529" spans="1:11" ht="15">
      <c r="A529" s="13">
        <v>57224</v>
      </c>
      <c r="B529" s="66">
        <f>7.9344 * CHOOSE(CONTROL!$C$26, $C$13, 100%, $E$13)</f>
        <v>7.9344000000000001</v>
      </c>
      <c r="C529" s="66">
        <f>7.9344 * CHOOSE(CONTROL!$C$26, $C$13, 100%, $E$13)</f>
        <v>7.9344000000000001</v>
      </c>
      <c r="D529" s="66">
        <f>7.9399 * CHOOSE(CONTROL!$C$26, $C$13, 100%, $E$13)</f>
        <v>7.9398999999999997</v>
      </c>
      <c r="E529" s="67">
        <f>9.3108 * CHOOSE(CONTROL!$C$26, $C$13, 100%, $E$13)</f>
        <v>9.3108000000000004</v>
      </c>
      <c r="F529" s="67">
        <f>9.3108 * CHOOSE(CONTROL!$C$26, $C$13, 100%, $E$13)</f>
        <v>9.3108000000000004</v>
      </c>
      <c r="G529" s="67">
        <f>9.3175 * CHOOSE(CONTROL!$C$26, $C$13, 100%, $E$13)</f>
        <v>9.3175000000000008</v>
      </c>
      <c r="H529" s="67">
        <f>17.1245* CHOOSE(CONTROL!$C$26, $C$13, 100%, $E$13)</f>
        <v>17.124500000000001</v>
      </c>
      <c r="I529" s="67">
        <f>17.1312 * CHOOSE(CONTROL!$C$26, $C$13, 100%, $E$13)</f>
        <v>17.1312</v>
      </c>
      <c r="J529" s="67">
        <f>9.3108 * CHOOSE(CONTROL!$C$26, $C$13, 100%, $E$13)</f>
        <v>9.3108000000000004</v>
      </c>
      <c r="K529" s="67">
        <f>9.3175 * CHOOSE(CONTROL!$C$26, $C$13, 100%, $E$13)</f>
        <v>9.3175000000000008</v>
      </c>
    </row>
    <row r="530" spans="1:11" ht="15">
      <c r="A530" s="13">
        <v>57254</v>
      </c>
      <c r="B530" s="66">
        <f>7.9424 * CHOOSE(CONTROL!$C$26, $C$13, 100%, $E$13)</f>
        <v>7.9424000000000001</v>
      </c>
      <c r="C530" s="66">
        <f>7.9424 * CHOOSE(CONTROL!$C$26, $C$13, 100%, $E$13)</f>
        <v>7.9424000000000001</v>
      </c>
      <c r="D530" s="66">
        <f>7.9463 * CHOOSE(CONTROL!$C$26, $C$13, 100%, $E$13)</f>
        <v>7.9462999999999999</v>
      </c>
      <c r="E530" s="67">
        <f>9.3622 * CHOOSE(CONTROL!$C$26, $C$13, 100%, $E$13)</f>
        <v>9.3621999999999996</v>
      </c>
      <c r="F530" s="67">
        <f>9.3622 * CHOOSE(CONTROL!$C$26, $C$13, 100%, $E$13)</f>
        <v>9.3621999999999996</v>
      </c>
      <c r="G530" s="67">
        <f>9.367 * CHOOSE(CONTROL!$C$26, $C$13, 100%, $E$13)</f>
        <v>9.3670000000000009</v>
      </c>
      <c r="H530" s="67">
        <f>17.1602* CHOOSE(CONTROL!$C$26, $C$13, 100%, $E$13)</f>
        <v>17.1602</v>
      </c>
      <c r="I530" s="67">
        <f>17.1649 * CHOOSE(CONTROL!$C$26, $C$13, 100%, $E$13)</f>
        <v>17.164899999999999</v>
      </c>
      <c r="J530" s="67">
        <f>9.3622 * CHOOSE(CONTROL!$C$26, $C$13, 100%, $E$13)</f>
        <v>9.3621999999999996</v>
      </c>
      <c r="K530" s="67">
        <f>9.367 * CHOOSE(CONTROL!$C$26, $C$13, 100%, $E$13)</f>
        <v>9.3670000000000009</v>
      </c>
    </row>
    <row r="531" spans="1:11" ht="15">
      <c r="A531" s="13">
        <v>57285</v>
      </c>
      <c r="B531" s="66">
        <f>7.9454 * CHOOSE(CONTROL!$C$26, $C$13, 100%, $E$13)</f>
        <v>7.9454000000000002</v>
      </c>
      <c r="C531" s="66">
        <f>7.9454 * CHOOSE(CONTROL!$C$26, $C$13, 100%, $E$13)</f>
        <v>7.9454000000000002</v>
      </c>
      <c r="D531" s="66">
        <f>7.9493 * CHOOSE(CONTROL!$C$26, $C$13, 100%, $E$13)</f>
        <v>7.9493</v>
      </c>
      <c r="E531" s="67">
        <f>9.3968 * CHOOSE(CONTROL!$C$26, $C$13, 100%, $E$13)</f>
        <v>9.3968000000000007</v>
      </c>
      <c r="F531" s="67">
        <f>9.3968 * CHOOSE(CONTROL!$C$26, $C$13, 100%, $E$13)</f>
        <v>9.3968000000000007</v>
      </c>
      <c r="G531" s="67">
        <f>9.4015 * CHOOSE(CONTROL!$C$26, $C$13, 100%, $E$13)</f>
        <v>9.4015000000000004</v>
      </c>
      <c r="H531" s="67">
        <f>17.1959* CHOOSE(CONTROL!$C$26, $C$13, 100%, $E$13)</f>
        <v>17.195900000000002</v>
      </c>
      <c r="I531" s="67">
        <f>17.2007 * CHOOSE(CONTROL!$C$26, $C$13, 100%, $E$13)</f>
        <v>17.200700000000001</v>
      </c>
      <c r="J531" s="67">
        <f>9.3968 * CHOOSE(CONTROL!$C$26, $C$13, 100%, $E$13)</f>
        <v>9.3968000000000007</v>
      </c>
      <c r="K531" s="67">
        <f>9.4015 * CHOOSE(CONTROL!$C$26, $C$13, 100%, $E$13)</f>
        <v>9.4015000000000004</v>
      </c>
    </row>
    <row r="532" spans="1:11" ht="15">
      <c r="A532" s="13">
        <v>57315</v>
      </c>
      <c r="B532" s="66">
        <f>7.9454 * CHOOSE(CONTROL!$C$26, $C$13, 100%, $E$13)</f>
        <v>7.9454000000000002</v>
      </c>
      <c r="C532" s="66">
        <f>7.9454 * CHOOSE(CONTROL!$C$26, $C$13, 100%, $E$13)</f>
        <v>7.9454000000000002</v>
      </c>
      <c r="D532" s="66">
        <f>7.9493 * CHOOSE(CONTROL!$C$26, $C$13, 100%, $E$13)</f>
        <v>7.9493</v>
      </c>
      <c r="E532" s="67">
        <f>9.3157 * CHOOSE(CONTROL!$C$26, $C$13, 100%, $E$13)</f>
        <v>9.3156999999999996</v>
      </c>
      <c r="F532" s="67">
        <f>9.3157 * CHOOSE(CONTROL!$C$26, $C$13, 100%, $E$13)</f>
        <v>9.3156999999999996</v>
      </c>
      <c r="G532" s="67">
        <f>9.3205 * CHOOSE(CONTROL!$C$26, $C$13, 100%, $E$13)</f>
        <v>9.3204999999999991</v>
      </c>
      <c r="H532" s="67">
        <f>17.2317* CHOOSE(CONTROL!$C$26, $C$13, 100%, $E$13)</f>
        <v>17.2317</v>
      </c>
      <c r="I532" s="67">
        <f>17.2365 * CHOOSE(CONTROL!$C$26, $C$13, 100%, $E$13)</f>
        <v>17.236499999999999</v>
      </c>
      <c r="J532" s="67">
        <f>9.3157 * CHOOSE(CONTROL!$C$26, $C$13, 100%, $E$13)</f>
        <v>9.3156999999999996</v>
      </c>
      <c r="K532" s="67">
        <f>9.3205 * CHOOSE(CONTROL!$C$26, $C$13, 100%, $E$13)</f>
        <v>9.3204999999999991</v>
      </c>
    </row>
    <row r="533" spans="1:11" ht="15">
      <c r="A533" s="13">
        <v>57346</v>
      </c>
      <c r="B533" s="66">
        <f>8.0136 * CHOOSE(CONTROL!$C$26, $C$13, 100%, $E$13)</f>
        <v>8.0136000000000003</v>
      </c>
      <c r="C533" s="66">
        <f>8.0136 * CHOOSE(CONTROL!$C$26, $C$13, 100%, $E$13)</f>
        <v>8.0136000000000003</v>
      </c>
      <c r="D533" s="66">
        <f>8.0175 * CHOOSE(CONTROL!$C$26, $C$13, 100%, $E$13)</f>
        <v>8.0175000000000001</v>
      </c>
      <c r="E533" s="67">
        <f>9.4498 * CHOOSE(CONTROL!$C$26, $C$13, 100%, $E$13)</f>
        <v>9.4497999999999998</v>
      </c>
      <c r="F533" s="67">
        <f>9.4498 * CHOOSE(CONTROL!$C$26, $C$13, 100%, $E$13)</f>
        <v>9.4497999999999998</v>
      </c>
      <c r="G533" s="67">
        <f>9.4546 * CHOOSE(CONTROL!$C$26, $C$13, 100%, $E$13)</f>
        <v>9.4545999999999992</v>
      </c>
      <c r="H533" s="67">
        <f>17.2676* CHOOSE(CONTROL!$C$26, $C$13, 100%, $E$13)</f>
        <v>17.267600000000002</v>
      </c>
      <c r="I533" s="67">
        <f>17.2724 * CHOOSE(CONTROL!$C$26, $C$13, 100%, $E$13)</f>
        <v>17.272400000000001</v>
      </c>
      <c r="J533" s="67">
        <f>9.4498 * CHOOSE(CONTROL!$C$26, $C$13, 100%, $E$13)</f>
        <v>9.4497999999999998</v>
      </c>
      <c r="K533" s="67">
        <f>9.4546 * CHOOSE(CONTROL!$C$26, $C$13, 100%, $E$13)</f>
        <v>9.4545999999999992</v>
      </c>
    </row>
    <row r="534" spans="1:11" ht="15">
      <c r="A534" s="13">
        <v>57377</v>
      </c>
      <c r="B534" s="66">
        <f>8.0106 * CHOOSE(CONTROL!$C$26, $C$13, 100%, $E$13)</f>
        <v>8.0106000000000002</v>
      </c>
      <c r="C534" s="66">
        <f>8.0106 * CHOOSE(CONTROL!$C$26, $C$13, 100%, $E$13)</f>
        <v>8.0106000000000002</v>
      </c>
      <c r="D534" s="66">
        <f>8.0145 * CHOOSE(CONTROL!$C$26, $C$13, 100%, $E$13)</f>
        <v>8.0145</v>
      </c>
      <c r="E534" s="67">
        <f>9.2901 * CHOOSE(CONTROL!$C$26, $C$13, 100%, $E$13)</f>
        <v>9.2901000000000007</v>
      </c>
      <c r="F534" s="67">
        <f>9.2901 * CHOOSE(CONTROL!$C$26, $C$13, 100%, $E$13)</f>
        <v>9.2901000000000007</v>
      </c>
      <c r="G534" s="67">
        <f>9.2949 * CHOOSE(CONTROL!$C$26, $C$13, 100%, $E$13)</f>
        <v>9.2949000000000002</v>
      </c>
      <c r="H534" s="67">
        <f>17.3036* CHOOSE(CONTROL!$C$26, $C$13, 100%, $E$13)</f>
        <v>17.303599999999999</v>
      </c>
      <c r="I534" s="67">
        <f>17.3084 * CHOOSE(CONTROL!$C$26, $C$13, 100%, $E$13)</f>
        <v>17.308399999999999</v>
      </c>
      <c r="J534" s="67">
        <f>9.2901 * CHOOSE(CONTROL!$C$26, $C$13, 100%, $E$13)</f>
        <v>9.2901000000000007</v>
      </c>
      <c r="K534" s="67">
        <f>9.2949 * CHOOSE(CONTROL!$C$26, $C$13, 100%, $E$13)</f>
        <v>9.2949000000000002</v>
      </c>
    </row>
    <row r="535" spans="1:11" ht="15">
      <c r="A535" s="13">
        <v>57405</v>
      </c>
      <c r="B535" s="66">
        <f>8.0075 * CHOOSE(CONTROL!$C$26, $C$13, 100%, $E$13)</f>
        <v>8.0075000000000003</v>
      </c>
      <c r="C535" s="66">
        <f>8.0075 * CHOOSE(CONTROL!$C$26, $C$13, 100%, $E$13)</f>
        <v>8.0075000000000003</v>
      </c>
      <c r="D535" s="66">
        <f>8.0114 * CHOOSE(CONTROL!$C$26, $C$13, 100%, $E$13)</f>
        <v>8.0114000000000001</v>
      </c>
      <c r="E535" s="67">
        <f>9.4122 * CHOOSE(CONTROL!$C$26, $C$13, 100%, $E$13)</f>
        <v>9.4122000000000003</v>
      </c>
      <c r="F535" s="67">
        <f>9.4122 * CHOOSE(CONTROL!$C$26, $C$13, 100%, $E$13)</f>
        <v>9.4122000000000003</v>
      </c>
      <c r="G535" s="67">
        <f>9.417 * CHOOSE(CONTROL!$C$26, $C$13, 100%, $E$13)</f>
        <v>9.4169999999999998</v>
      </c>
      <c r="H535" s="67">
        <f>17.3397* CHOOSE(CONTROL!$C$26, $C$13, 100%, $E$13)</f>
        <v>17.339700000000001</v>
      </c>
      <c r="I535" s="67">
        <f>17.3444 * CHOOSE(CONTROL!$C$26, $C$13, 100%, $E$13)</f>
        <v>17.3444</v>
      </c>
      <c r="J535" s="67">
        <f>9.4122 * CHOOSE(CONTROL!$C$26, $C$13, 100%, $E$13)</f>
        <v>9.4122000000000003</v>
      </c>
      <c r="K535" s="67">
        <f>9.417 * CHOOSE(CONTROL!$C$26, $C$13, 100%, $E$13)</f>
        <v>9.4169999999999998</v>
      </c>
    </row>
    <row r="536" spans="1:11" ht="15">
      <c r="A536" s="13">
        <v>57436</v>
      </c>
      <c r="B536" s="66">
        <f>8.0086 * CHOOSE(CONTROL!$C$26, $C$13, 100%, $E$13)</f>
        <v>8.0085999999999995</v>
      </c>
      <c r="C536" s="66">
        <f>8.0086 * CHOOSE(CONTROL!$C$26, $C$13, 100%, $E$13)</f>
        <v>8.0085999999999995</v>
      </c>
      <c r="D536" s="66">
        <f>8.0125 * CHOOSE(CONTROL!$C$26, $C$13, 100%, $E$13)</f>
        <v>8.0124999999999993</v>
      </c>
      <c r="E536" s="67">
        <f>9.5413 * CHOOSE(CONTROL!$C$26, $C$13, 100%, $E$13)</f>
        <v>9.5412999999999997</v>
      </c>
      <c r="F536" s="67">
        <f>9.5413 * CHOOSE(CONTROL!$C$26, $C$13, 100%, $E$13)</f>
        <v>9.5412999999999997</v>
      </c>
      <c r="G536" s="67">
        <f>9.5461 * CHOOSE(CONTROL!$C$26, $C$13, 100%, $E$13)</f>
        <v>9.5460999999999991</v>
      </c>
      <c r="H536" s="67">
        <f>17.3758* CHOOSE(CONTROL!$C$26, $C$13, 100%, $E$13)</f>
        <v>17.375800000000002</v>
      </c>
      <c r="I536" s="67">
        <f>17.3806 * CHOOSE(CONTROL!$C$26, $C$13, 100%, $E$13)</f>
        <v>17.380600000000001</v>
      </c>
      <c r="J536" s="67">
        <f>9.5413 * CHOOSE(CONTROL!$C$26, $C$13, 100%, $E$13)</f>
        <v>9.5412999999999997</v>
      </c>
      <c r="K536" s="67">
        <f>9.5461 * CHOOSE(CONTROL!$C$26, $C$13, 100%, $E$13)</f>
        <v>9.5460999999999991</v>
      </c>
    </row>
    <row r="537" spans="1:11" ht="15">
      <c r="A537" s="13">
        <v>57466</v>
      </c>
      <c r="B537" s="66">
        <f>8.0086 * CHOOSE(CONTROL!$C$26, $C$13, 100%, $E$13)</f>
        <v>8.0085999999999995</v>
      </c>
      <c r="C537" s="66">
        <f>8.0086 * CHOOSE(CONTROL!$C$26, $C$13, 100%, $E$13)</f>
        <v>8.0085999999999995</v>
      </c>
      <c r="D537" s="66">
        <f>8.0141 * CHOOSE(CONTROL!$C$26, $C$13, 100%, $E$13)</f>
        <v>8.0140999999999991</v>
      </c>
      <c r="E537" s="67">
        <f>9.5913 * CHOOSE(CONTROL!$C$26, $C$13, 100%, $E$13)</f>
        <v>9.5913000000000004</v>
      </c>
      <c r="F537" s="67">
        <f>9.5913 * CHOOSE(CONTROL!$C$26, $C$13, 100%, $E$13)</f>
        <v>9.5913000000000004</v>
      </c>
      <c r="G537" s="67">
        <f>9.5981 * CHOOSE(CONTROL!$C$26, $C$13, 100%, $E$13)</f>
        <v>9.5981000000000005</v>
      </c>
      <c r="H537" s="67">
        <f>17.412* CHOOSE(CONTROL!$C$26, $C$13, 100%, $E$13)</f>
        <v>17.411999999999999</v>
      </c>
      <c r="I537" s="67">
        <f>17.4187 * CHOOSE(CONTROL!$C$26, $C$13, 100%, $E$13)</f>
        <v>17.418700000000001</v>
      </c>
      <c r="J537" s="67">
        <f>9.5913 * CHOOSE(CONTROL!$C$26, $C$13, 100%, $E$13)</f>
        <v>9.5913000000000004</v>
      </c>
      <c r="K537" s="67">
        <f>9.5981 * CHOOSE(CONTROL!$C$26, $C$13, 100%, $E$13)</f>
        <v>9.5981000000000005</v>
      </c>
    </row>
    <row r="538" spans="1:11" ht="15">
      <c r="A538" s="13">
        <v>57497</v>
      </c>
      <c r="B538" s="66">
        <f>8.0147 * CHOOSE(CONTROL!$C$26, $C$13, 100%, $E$13)</f>
        <v>8.0146999999999995</v>
      </c>
      <c r="C538" s="66">
        <f>8.0147 * CHOOSE(CONTROL!$C$26, $C$13, 100%, $E$13)</f>
        <v>8.0146999999999995</v>
      </c>
      <c r="D538" s="66">
        <f>8.0202 * CHOOSE(CONTROL!$C$26, $C$13, 100%, $E$13)</f>
        <v>8.0202000000000009</v>
      </c>
      <c r="E538" s="67">
        <f>9.5456 * CHOOSE(CONTROL!$C$26, $C$13, 100%, $E$13)</f>
        <v>9.5456000000000003</v>
      </c>
      <c r="F538" s="67">
        <f>9.5456 * CHOOSE(CONTROL!$C$26, $C$13, 100%, $E$13)</f>
        <v>9.5456000000000003</v>
      </c>
      <c r="G538" s="67">
        <f>9.5523 * CHOOSE(CONTROL!$C$26, $C$13, 100%, $E$13)</f>
        <v>9.5523000000000007</v>
      </c>
      <c r="H538" s="67">
        <f>17.4483* CHOOSE(CONTROL!$C$26, $C$13, 100%, $E$13)</f>
        <v>17.4483</v>
      </c>
      <c r="I538" s="67">
        <f>17.455 * CHOOSE(CONTROL!$C$26, $C$13, 100%, $E$13)</f>
        <v>17.454999999999998</v>
      </c>
      <c r="J538" s="67">
        <f>9.5456 * CHOOSE(CONTROL!$C$26, $C$13, 100%, $E$13)</f>
        <v>9.5456000000000003</v>
      </c>
      <c r="K538" s="67">
        <f>9.5523 * CHOOSE(CONTROL!$C$26, $C$13, 100%, $E$13)</f>
        <v>9.5523000000000007</v>
      </c>
    </row>
    <row r="539" spans="1:11" ht="15">
      <c r="A539" s="13">
        <v>57527</v>
      </c>
      <c r="B539" s="66">
        <f>8.1404 * CHOOSE(CONTROL!$C$26, $C$13, 100%, $E$13)</f>
        <v>8.1403999999999996</v>
      </c>
      <c r="C539" s="66">
        <f>8.1404 * CHOOSE(CONTROL!$C$26, $C$13, 100%, $E$13)</f>
        <v>8.1403999999999996</v>
      </c>
      <c r="D539" s="66">
        <f>8.1459 * CHOOSE(CONTROL!$C$26, $C$13, 100%, $E$13)</f>
        <v>8.1458999999999993</v>
      </c>
      <c r="E539" s="67">
        <f>9.7022 * CHOOSE(CONTROL!$C$26, $C$13, 100%, $E$13)</f>
        <v>9.7021999999999995</v>
      </c>
      <c r="F539" s="67">
        <f>9.7022 * CHOOSE(CONTROL!$C$26, $C$13, 100%, $E$13)</f>
        <v>9.7021999999999995</v>
      </c>
      <c r="G539" s="67">
        <f>9.7089 * CHOOSE(CONTROL!$C$26, $C$13, 100%, $E$13)</f>
        <v>9.7088999999999999</v>
      </c>
      <c r="H539" s="67">
        <f>17.4846* CHOOSE(CONTROL!$C$26, $C$13, 100%, $E$13)</f>
        <v>17.4846</v>
      </c>
      <c r="I539" s="67">
        <f>17.4913 * CHOOSE(CONTROL!$C$26, $C$13, 100%, $E$13)</f>
        <v>17.491299999999999</v>
      </c>
      <c r="J539" s="67">
        <f>9.7022 * CHOOSE(CONTROL!$C$26, $C$13, 100%, $E$13)</f>
        <v>9.7021999999999995</v>
      </c>
      <c r="K539" s="67">
        <f>9.7089 * CHOOSE(CONTROL!$C$26, $C$13, 100%, $E$13)</f>
        <v>9.7088999999999999</v>
      </c>
    </row>
    <row r="540" spans="1:11" ht="15">
      <c r="A540" s="13">
        <v>57558</v>
      </c>
      <c r="B540" s="66">
        <f>8.1471 * CHOOSE(CONTROL!$C$26, $C$13, 100%, $E$13)</f>
        <v>8.1471</v>
      </c>
      <c r="C540" s="66">
        <f>8.1471 * CHOOSE(CONTROL!$C$26, $C$13, 100%, $E$13)</f>
        <v>8.1471</v>
      </c>
      <c r="D540" s="66">
        <f>8.1526 * CHOOSE(CONTROL!$C$26, $C$13, 100%, $E$13)</f>
        <v>8.1525999999999996</v>
      </c>
      <c r="E540" s="67">
        <f>9.5568 * CHOOSE(CONTROL!$C$26, $C$13, 100%, $E$13)</f>
        <v>9.5568000000000008</v>
      </c>
      <c r="F540" s="67">
        <f>9.5568 * CHOOSE(CONTROL!$C$26, $C$13, 100%, $E$13)</f>
        <v>9.5568000000000008</v>
      </c>
      <c r="G540" s="67">
        <f>9.5635 * CHOOSE(CONTROL!$C$26, $C$13, 100%, $E$13)</f>
        <v>9.5634999999999994</v>
      </c>
      <c r="H540" s="67">
        <f>17.521* CHOOSE(CONTROL!$C$26, $C$13, 100%, $E$13)</f>
        <v>17.521000000000001</v>
      </c>
      <c r="I540" s="67">
        <f>17.5278 * CHOOSE(CONTROL!$C$26, $C$13, 100%, $E$13)</f>
        <v>17.527799999999999</v>
      </c>
      <c r="J540" s="67">
        <f>9.5568 * CHOOSE(CONTROL!$C$26, $C$13, 100%, $E$13)</f>
        <v>9.5568000000000008</v>
      </c>
      <c r="K540" s="67">
        <f>9.5635 * CHOOSE(CONTROL!$C$26, $C$13, 100%, $E$13)</f>
        <v>9.5634999999999994</v>
      </c>
    </row>
    <row r="541" spans="1:11" ht="15">
      <c r="A541" s="13">
        <v>57589</v>
      </c>
      <c r="B541" s="66">
        <f>8.1441 * CHOOSE(CONTROL!$C$26, $C$13, 100%, $E$13)</f>
        <v>8.1440999999999999</v>
      </c>
      <c r="C541" s="66">
        <f>8.1441 * CHOOSE(CONTROL!$C$26, $C$13, 100%, $E$13)</f>
        <v>8.1440999999999999</v>
      </c>
      <c r="D541" s="66">
        <f>8.1496 * CHOOSE(CONTROL!$C$26, $C$13, 100%, $E$13)</f>
        <v>8.1495999999999995</v>
      </c>
      <c r="E541" s="67">
        <f>9.538 * CHOOSE(CONTROL!$C$26, $C$13, 100%, $E$13)</f>
        <v>9.5380000000000003</v>
      </c>
      <c r="F541" s="67">
        <f>9.538 * CHOOSE(CONTROL!$C$26, $C$13, 100%, $E$13)</f>
        <v>9.5380000000000003</v>
      </c>
      <c r="G541" s="67">
        <f>9.5448 * CHOOSE(CONTROL!$C$26, $C$13, 100%, $E$13)</f>
        <v>9.5448000000000004</v>
      </c>
      <c r="H541" s="67">
        <f>17.5575* CHOOSE(CONTROL!$C$26, $C$13, 100%, $E$13)</f>
        <v>17.557500000000001</v>
      </c>
      <c r="I541" s="67">
        <f>17.5643 * CHOOSE(CONTROL!$C$26, $C$13, 100%, $E$13)</f>
        <v>17.564299999999999</v>
      </c>
      <c r="J541" s="67">
        <f>9.538 * CHOOSE(CONTROL!$C$26, $C$13, 100%, $E$13)</f>
        <v>9.5380000000000003</v>
      </c>
      <c r="K541" s="67">
        <f>9.5448 * CHOOSE(CONTROL!$C$26, $C$13, 100%, $E$13)</f>
        <v>9.5448000000000004</v>
      </c>
    </row>
    <row r="542" spans="1:11" ht="15">
      <c r="A542" s="13">
        <v>57619</v>
      </c>
      <c r="B542" s="66">
        <f>8.1527 * CHOOSE(CONTROL!$C$26, $C$13, 100%, $E$13)</f>
        <v>8.1526999999999994</v>
      </c>
      <c r="C542" s="66">
        <f>8.1527 * CHOOSE(CONTROL!$C$26, $C$13, 100%, $E$13)</f>
        <v>8.1526999999999994</v>
      </c>
      <c r="D542" s="66">
        <f>8.1566 * CHOOSE(CONTROL!$C$26, $C$13, 100%, $E$13)</f>
        <v>8.1565999999999992</v>
      </c>
      <c r="E542" s="67">
        <f>9.5913 * CHOOSE(CONTROL!$C$26, $C$13, 100%, $E$13)</f>
        <v>9.5913000000000004</v>
      </c>
      <c r="F542" s="67">
        <f>9.5913 * CHOOSE(CONTROL!$C$26, $C$13, 100%, $E$13)</f>
        <v>9.5913000000000004</v>
      </c>
      <c r="G542" s="67">
        <f>9.5961 * CHOOSE(CONTROL!$C$26, $C$13, 100%, $E$13)</f>
        <v>9.5960999999999999</v>
      </c>
      <c r="H542" s="67">
        <f>17.5941* CHOOSE(CONTROL!$C$26, $C$13, 100%, $E$13)</f>
        <v>17.594100000000001</v>
      </c>
      <c r="I542" s="67">
        <f>17.5989 * CHOOSE(CONTROL!$C$26, $C$13, 100%, $E$13)</f>
        <v>17.5989</v>
      </c>
      <c r="J542" s="67">
        <f>9.5913 * CHOOSE(CONTROL!$C$26, $C$13, 100%, $E$13)</f>
        <v>9.5913000000000004</v>
      </c>
      <c r="K542" s="67">
        <f>9.5961 * CHOOSE(CONTROL!$C$26, $C$13, 100%, $E$13)</f>
        <v>9.5960999999999999</v>
      </c>
    </row>
    <row r="543" spans="1:11" ht="15">
      <c r="A543" s="13">
        <v>57650</v>
      </c>
      <c r="B543" s="66">
        <f>8.1558 * CHOOSE(CONTROL!$C$26, $C$13, 100%, $E$13)</f>
        <v>8.1557999999999993</v>
      </c>
      <c r="C543" s="66">
        <f>8.1558 * CHOOSE(CONTROL!$C$26, $C$13, 100%, $E$13)</f>
        <v>8.1557999999999993</v>
      </c>
      <c r="D543" s="66">
        <f>8.1596 * CHOOSE(CONTROL!$C$26, $C$13, 100%, $E$13)</f>
        <v>8.1595999999999993</v>
      </c>
      <c r="E543" s="67">
        <f>9.6267 * CHOOSE(CONTROL!$C$26, $C$13, 100%, $E$13)</f>
        <v>9.6266999999999996</v>
      </c>
      <c r="F543" s="67">
        <f>9.6267 * CHOOSE(CONTROL!$C$26, $C$13, 100%, $E$13)</f>
        <v>9.6266999999999996</v>
      </c>
      <c r="G543" s="67">
        <f>9.6315 * CHOOSE(CONTROL!$C$26, $C$13, 100%, $E$13)</f>
        <v>9.6315000000000008</v>
      </c>
      <c r="H543" s="67">
        <f>17.6308* CHOOSE(CONTROL!$C$26, $C$13, 100%, $E$13)</f>
        <v>17.630800000000001</v>
      </c>
      <c r="I543" s="67">
        <f>17.6355 * CHOOSE(CONTROL!$C$26, $C$13, 100%, $E$13)</f>
        <v>17.6355</v>
      </c>
      <c r="J543" s="67">
        <f>9.6267 * CHOOSE(CONTROL!$C$26, $C$13, 100%, $E$13)</f>
        <v>9.6266999999999996</v>
      </c>
      <c r="K543" s="67">
        <f>9.6315 * CHOOSE(CONTROL!$C$26, $C$13, 100%, $E$13)</f>
        <v>9.6315000000000008</v>
      </c>
    </row>
    <row r="544" spans="1:11" ht="15">
      <c r="A544" s="13">
        <v>57680</v>
      </c>
      <c r="B544" s="66">
        <f>8.1558 * CHOOSE(CONTROL!$C$26, $C$13, 100%, $E$13)</f>
        <v>8.1557999999999993</v>
      </c>
      <c r="C544" s="66">
        <f>8.1558 * CHOOSE(CONTROL!$C$26, $C$13, 100%, $E$13)</f>
        <v>8.1557999999999993</v>
      </c>
      <c r="D544" s="66">
        <f>8.1596 * CHOOSE(CONTROL!$C$26, $C$13, 100%, $E$13)</f>
        <v>8.1595999999999993</v>
      </c>
      <c r="E544" s="67">
        <f>9.5434 * CHOOSE(CONTROL!$C$26, $C$13, 100%, $E$13)</f>
        <v>9.5434000000000001</v>
      </c>
      <c r="F544" s="67">
        <f>9.5434 * CHOOSE(CONTROL!$C$26, $C$13, 100%, $E$13)</f>
        <v>9.5434000000000001</v>
      </c>
      <c r="G544" s="67">
        <f>9.5482 * CHOOSE(CONTROL!$C$26, $C$13, 100%, $E$13)</f>
        <v>9.5481999999999996</v>
      </c>
      <c r="H544" s="67">
        <f>17.6675* CHOOSE(CONTROL!$C$26, $C$13, 100%, $E$13)</f>
        <v>17.6675</v>
      </c>
      <c r="I544" s="67">
        <f>17.6723 * CHOOSE(CONTROL!$C$26, $C$13, 100%, $E$13)</f>
        <v>17.6723</v>
      </c>
      <c r="J544" s="67">
        <f>9.5434 * CHOOSE(CONTROL!$C$26, $C$13, 100%, $E$13)</f>
        <v>9.5434000000000001</v>
      </c>
      <c r="K544" s="67">
        <f>9.5482 * CHOOSE(CONTROL!$C$26, $C$13, 100%, $E$13)</f>
        <v>9.5481999999999996</v>
      </c>
    </row>
    <row r="545" spans="1:11" ht="15">
      <c r="A545" s="13">
        <v>57711</v>
      </c>
      <c r="B545" s="66">
        <f>8.2256 * CHOOSE(CONTROL!$C$26, $C$13, 100%, $E$13)</f>
        <v>8.2256</v>
      </c>
      <c r="C545" s="66">
        <f>8.2256 * CHOOSE(CONTROL!$C$26, $C$13, 100%, $E$13)</f>
        <v>8.2256</v>
      </c>
      <c r="D545" s="66">
        <f>8.2295 * CHOOSE(CONTROL!$C$26, $C$13, 100%, $E$13)</f>
        <v>8.2294999999999998</v>
      </c>
      <c r="E545" s="67">
        <f>9.6809 * CHOOSE(CONTROL!$C$26, $C$13, 100%, $E$13)</f>
        <v>9.6808999999999994</v>
      </c>
      <c r="F545" s="67">
        <f>9.6809 * CHOOSE(CONTROL!$C$26, $C$13, 100%, $E$13)</f>
        <v>9.6808999999999994</v>
      </c>
      <c r="G545" s="67">
        <f>9.6857 * CHOOSE(CONTROL!$C$26, $C$13, 100%, $E$13)</f>
        <v>9.6857000000000006</v>
      </c>
      <c r="H545" s="67">
        <f>17.7043* CHOOSE(CONTROL!$C$26, $C$13, 100%, $E$13)</f>
        <v>17.7043</v>
      </c>
      <c r="I545" s="67">
        <f>17.7091 * CHOOSE(CONTROL!$C$26, $C$13, 100%, $E$13)</f>
        <v>17.709099999999999</v>
      </c>
      <c r="J545" s="67">
        <f>9.6809 * CHOOSE(CONTROL!$C$26, $C$13, 100%, $E$13)</f>
        <v>9.6808999999999994</v>
      </c>
      <c r="K545" s="67">
        <f>9.6857 * CHOOSE(CONTROL!$C$26, $C$13, 100%, $E$13)</f>
        <v>9.6857000000000006</v>
      </c>
    </row>
    <row r="546" spans="1:11" ht="15">
      <c r="A546" s="13">
        <v>57742</v>
      </c>
      <c r="B546" s="66">
        <f>8.2226 * CHOOSE(CONTROL!$C$26, $C$13, 100%, $E$13)</f>
        <v>8.2225999999999999</v>
      </c>
      <c r="C546" s="66">
        <f>8.2226 * CHOOSE(CONTROL!$C$26, $C$13, 100%, $E$13)</f>
        <v>8.2225999999999999</v>
      </c>
      <c r="D546" s="66">
        <f>8.2264 * CHOOSE(CONTROL!$C$26, $C$13, 100%, $E$13)</f>
        <v>8.2263999999999999</v>
      </c>
      <c r="E546" s="67">
        <f>9.5169 * CHOOSE(CONTROL!$C$26, $C$13, 100%, $E$13)</f>
        <v>9.5168999999999997</v>
      </c>
      <c r="F546" s="67">
        <f>9.5169 * CHOOSE(CONTROL!$C$26, $C$13, 100%, $E$13)</f>
        <v>9.5168999999999997</v>
      </c>
      <c r="G546" s="67">
        <f>9.5216 * CHOOSE(CONTROL!$C$26, $C$13, 100%, $E$13)</f>
        <v>9.5215999999999994</v>
      </c>
      <c r="H546" s="67">
        <f>17.7412* CHOOSE(CONTROL!$C$26, $C$13, 100%, $E$13)</f>
        <v>17.741199999999999</v>
      </c>
      <c r="I546" s="67">
        <f>17.746 * CHOOSE(CONTROL!$C$26, $C$13, 100%, $E$13)</f>
        <v>17.745999999999999</v>
      </c>
      <c r="J546" s="67">
        <f>9.5169 * CHOOSE(CONTROL!$C$26, $C$13, 100%, $E$13)</f>
        <v>9.5168999999999997</v>
      </c>
      <c r="K546" s="67">
        <f>9.5216 * CHOOSE(CONTROL!$C$26, $C$13, 100%, $E$13)</f>
        <v>9.5215999999999994</v>
      </c>
    </row>
    <row r="547" spans="1:11" ht="15">
      <c r="A547" s="13">
        <v>57770</v>
      </c>
      <c r="B547" s="66">
        <f>8.2195 * CHOOSE(CONTROL!$C$26, $C$13, 100%, $E$13)</f>
        <v>8.2195</v>
      </c>
      <c r="C547" s="66">
        <f>8.2195 * CHOOSE(CONTROL!$C$26, $C$13, 100%, $E$13)</f>
        <v>8.2195</v>
      </c>
      <c r="D547" s="66">
        <f>8.2234 * CHOOSE(CONTROL!$C$26, $C$13, 100%, $E$13)</f>
        <v>8.2233999999999998</v>
      </c>
      <c r="E547" s="67">
        <f>9.6424 * CHOOSE(CONTROL!$C$26, $C$13, 100%, $E$13)</f>
        <v>9.6424000000000003</v>
      </c>
      <c r="F547" s="67">
        <f>9.6424 * CHOOSE(CONTROL!$C$26, $C$13, 100%, $E$13)</f>
        <v>9.6424000000000003</v>
      </c>
      <c r="G547" s="67">
        <f>9.6472 * CHOOSE(CONTROL!$C$26, $C$13, 100%, $E$13)</f>
        <v>9.6471999999999998</v>
      </c>
      <c r="H547" s="67">
        <f>17.7782* CHOOSE(CONTROL!$C$26, $C$13, 100%, $E$13)</f>
        <v>17.778199999999998</v>
      </c>
      <c r="I547" s="67">
        <f>17.7829 * CHOOSE(CONTROL!$C$26, $C$13, 100%, $E$13)</f>
        <v>17.782900000000001</v>
      </c>
      <c r="J547" s="67">
        <f>9.6424 * CHOOSE(CONTROL!$C$26, $C$13, 100%, $E$13)</f>
        <v>9.6424000000000003</v>
      </c>
      <c r="K547" s="67">
        <f>9.6472 * CHOOSE(CONTROL!$C$26, $C$13, 100%, $E$13)</f>
        <v>9.6471999999999998</v>
      </c>
    </row>
    <row r="548" spans="1:11" ht="15">
      <c r="A548" s="13">
        <v>57801</v>
      </c>
      <c r="B548" s="66">
        <f>8.2208 * CHOOSE(CONTROL!$C$26, $C$13, 100%, $E$13)</f>
        <v>8.2208000000000006</v>
      </c>
      <c r="C548" s="66">
        <f>8.2208 * CHOOSE(CONTROL!$C$26, $C$13, 100%, $E$13)</f>
        <v>8.2208000000000006</v>
      </c>
      <c r="D548" s="66">
        <f>8.2247 * CHOOSE(CONTROL!$C$26, $C$13, 100%, $E$13)</f>
        <v>8.2247000000000003</v>
      </c>
      <c r="E548" s="67">
        <f>9.7753 * CHOOSE(CONTROL!$C$26, $C$13, 100%, $E$13)</f>
        <v>9.7752999999999997</v>
      </c>
      <c r="F548" s="67">
        <f>9.7753 * CHOOSE(CONTROL!$C$26, $C$13, 100%, $E$13)</f>
        <v>9.7752999999999997</v>
      </c>
      <c r="G548" s="67">
        <f>9.7801 * CHOOSE(CONTROL!$C$26, $C$13, 100%, $E$13)</f>
        <v>9.7800999999999991</v>
      </c>
      <c r="H548" s="67">
        <f>17.8152* CHOOSE(CONTROL!$C$26, $C$13, 100%, $E$13)</f>
        <v>17.815200000000001</v>
      </c>
      <c r="I548" s="67">
        <f>17.82 * CHOOSE(CONTROL!$C$26, $C$13, 100%, $E$13)</f>
        <v>17.82</v>
      </c>
      <c r="J548" s="67">
        <f>9.7753 * CHOOSE(CONTROL!$C$26, $C$13, 100%, $E$13)</f>
        <v>9.7752999999999997</v>
      </c>
      <c r="K548" s="67">
        <f>9.7801 * CHOOSE(CONTROL!$C$26, $C$13, 100%, $E$13)</f>
        <v>9.7800999999999991</v>
      </c>
    </row>
    <row r="549" spans="1:11" ht="15">
      <c r="A549" s="13">
        <v>57831</v>
      </c>
      <c r="B549" s="66">
        <f>8.2208 * CHOOSE(CONTROL!$C$26, $C$13, 100%, $E$13)</f>
        <v>8.2208000000000006</v>
      </c>
      <c r="C549" s="66">
        <f>8.2208 * CHOOSE(CONTROL!$C$26, $C$13, 100%, $E$13)</f>
        <v>8.2208000000000006</v>
      </c>
      <c r="D549" s="66">
        <f>8.2263 * CHOOSE(CONTROL!$C$26, $C$13, 100%, $E$13)</f>
        <v>8.2263000000000002</v>
      </c>
      <c r="E549" s="67">
        <f>9.8267 * CHOOSE(CONTROL!$C$26, $C$13, 100%, $E$13)</f>
        <v>9.8267000000000007</v>
      </c>
      <c r="F549" s="67">
        <f>9.8267 * CHOOSE(CONTROL!$C$26, $C$13, 100%, $E$13)</f>
        <v>9.8267000000000007</v>
      </c>
      <c r="G549" s="67">
        <f>9.8334 * CHOOSE(CONTROL!$C$26, $C$13, 100%, $E$13)</f>
        <v>9.8333999999999993</v>
      </c>
      <c r="H549" s="67">
        <f>17.8523* CHOOSE(CONTROL!$C$26, $C$13, 100%, $E$13)</f>
        <v>17.8523</v>
      </c>
      <c r="I549" s="67">
        <f>17.859 * CHOOSE(CONTROL!$C$26, $C$13, 100%, $E$13)</f>
        <v>17.859000000000002</v>
      </c>
      <c r="J549" s="67">
        <f>9.8267 * CHOOSE(CONTROL!$C$26, $C$13, 100%, $E$13)</f>
        <v>9.8267000000000007</v>
      </c>
      <c r="K549" s="67">
        <f>9.8334 * CHOOSE(CONTROL!$C$26, $C$13, 100%, $E$13)</f>
        <v>9.8333999999999993</v>
      </c>
    </row>
    <row r="550" spans="1:11" ht="15">
      <c r="A550" s="13">
        <v>57862</v>
      </c>
      <c r="B550" s="66">
        <f>8.2269 * CHOOSE(CONTROL!$C$26, $C$13, 100%, $E$13)</f>
        <v>8.2269000000000005</v>
      </c>
      <c r="C550" s="66">
        <f>8.2269 * CHOOSE(CONTROL!$C$26, $C$13, 100%, $E$13)</f>
        <v>8.2269000000000005</v>
      </c>
      <c r="D550" s="66">
        <f>8.2324 * CHOOSE(CONTROL!$C$26, $C$13, 100%, $E$13)</f>
        <v>8.2324000000000002</v>
      </c>
      <c r="E550" s="67">
        <f>9.7795 * CHOOSE(CONTROL!$C$26, $C$13, 100%, $E$13)</f>
        <v>9.7795000000000005</v>
      </c>
      <c r="F550" s="67">
        <f>9.7795 * CHOOSE(CONTROL!$C$26, $C$13, 100%, $E$13)</f>
        <v>9.7795000000000005</v>
      </c>
      <c r="G550" s="67">
        <f>9.7863 * CHOOSE(CONTROL!$C$26, $C$13, 100%, $E$13)</f>
        <v>9.7863000000000007</v>
      </c>
      <c r="H550" s="67">
        <f>17.8895* CHOOSE(CONTROL!$C$26, $C$13, 100%, $E$13)</f>
        <v>17.889500000000002</v>
      </c>
      <c r="I550" s="67">
        <f>17.8962 * CHOOSE(CONTROL!$C$26, $C$13, 100%, $E$13)</f>
        <v>17.8962</v>
      </c>
      <c r="J550" s="67">
        <f>9.7795 * CHOOSE(CONTROL!$C$26, $C$13, 100%, $E$13)</f>
        <v>9.7795000000000005</v>
      </c>
      <c r="K550" s="67">
        <f>9.7863 * CHOOSE(CONTROL!$C$26, $C$13, 100%, $E$13)</f>
        <v>9.7863000000000007</v>
      </c>
    </row>
    <row r="551" spans="1:11" ht="15">
      <c r="A551" s="13">
        <v>57892</v>
      </c>
      <c r="B551" s="66">
        <f>8.3557 * CHOOSE(CONTROL!$C$26, $C$13, 100%, $E$13)</f>
        <v>8.3557000000000006</v>
      </c>
      <c r="C551" s="66">
        <f>8.3557 * CHOOSE(CONTROL!$C$26, $C$13, 100%, $E$13)</f>
        <v>8.3557000000000006</v>
      </c>
      <c r="D551" s="66">
        <f>8.3612 * CHOOSE(CONTROL!$C$26, $C$13, 100%, $E$13)</f>
        <v>8.3612000000000002</v>
      </c>
      <c r="E551" s="67">
        <f>9.9397 * CHOOSE(CONTROL!$C$26, $C$13, 100%, $E$13)</f>
        <v>9.9397000000000002</v>
      </c>
      <c r="F551" s="67">
        <f>9.9397 * CHOOSE(CONTROL!$C$26, $C$13, 100%, $E$13)</f>
        <v>9.9397000000000002</v>
      </c>
      <c r="G551" s="67">
        <f>9.9464 * CHOOSE(CONTROL!$C$26, $C$13, 100%, $E$13)</f>
        <v>9.9464000000000006</v>
      </c>
      <c r="H551" s="67">
        <f>17.9268* CHOOSE(CONTROL!$C$26, $C$13, 100%, $E$13)</f>
        <v>17.9268</v>
      </c>
      <c r="I551" s="67">
        <f>17.9335 * CHOOSE(CONTROL!$C$26, $C$13, 100%, $E$13)</f>
        <v>17.933499999999999</v>
      </c>
      <c r="J551" s="67">
        <f>9.9397 * CHOOSE(CONTROL!$C$26, $C$13, 100%, $E$13)</f>
        <v>9.9397000000000002</v>
      </c>
      <c r="K551" s="67">
        <f>9.9464 * CHOOSE(CONTROL!$C$26, $C$13, 100%, $E$13)</f>
        <v>9.9464000000000006</v>
      </c>
    </row>
    <row r="552" spans="1:11" ht="15">
      <c r="A552" s="13">
        <v>57923</v>
      </c>
      <c r="B552" s="66">
        <f>8.3623 * CHOOSE(CONTROL!$C$26, $C$13, 100%, $E$13)</f>
        <v>8.3622999999999994</v>
      </c>
      <c r="C552" s="66">
        <f>8.3623 * CHOOSE(CONTROL!$C$26, $C$13, 100%, $E$13)</f>
        <v>8.3622999999999994</v>
      </c>
      <c r="D552" s="66">
        <f>8.3678 * CHOOSE(CONTROL!$C$26, $C$13, 100%, $E$13)</f>
        <v>8.3678000000000008</v>
      </c>
      <c r="E552" s="67">
        <f>9.7901 * CHOOSE(CONTROL!$C$26, $C$13, 100%, $E$13)</f>
        <v>9.7901000000000007</v>
      </c>
      <c r="F552" s="67">
        <f>9.7901 * CHOOSE(CONTROL!$C$26, $C$13, 100%, $E$13)</f>
        <v>9.7901000000000007</v>
      </c>
      <c r="G552" s="67">
        <f>9.7968 * CHOOSE(CONTROL!$C$26, $C$13, 100%, $E$13)</f>
        <v>9.7967999999999993</v>
      </c>
      <c r="H552" s="67">
        <f>17.9641* CHOOSE(CONTROL!$C$26, $C$13, 100%, $E$13)</f>
        <v>17.964099999999998</v>
      </c>
      <c r="I552" s="67">
        <f>17.9709 * CHOOSE(CONTROL!$C$26, $C$13, 100%, $E$13)</f>
        <v>17.9709</v>
      </c>
      <c r="J552" s="67">
        <f>9.7901 * CHOOSE(CONTROL!$C$26, $C$13, 100%, $E$13)</f>
        <v>9.7901000000000007</v>
      </c>
      <c r="K552" s="67">
        <f>9.7968 * CHOOSE(CONTROL!$C$26, $C$13, 100%, $E$13)</f>
        <v>9.7967999999999993</v>
      </c>
    </row>
    <row r="553" spans="1:11" ht="15">
      <c r="A553" s="13">
        <v>57954</v>
      </c>
      <c r="B553" s="66">
        <f>8.3593 * CHOOSE(CONTROL!$C$26, $C$13, 100%, $E$13)</f>
        <v>8.3592999999999993</v>
      </c>
      <c r="C553" s="66">
        <f>8.3593 * CHOOSE(CONTROL!$C$26, $C$13, 100%, $E$13)</f>
        <v>8.3592999999999993</v>
      </c>
      <c r="D553" s="66">
        <f>8.3648 * CHOOSE(CONTROL!$C$26, $C$13, 100%, $E$13)</f>
        <v>8.3648000000000007</v>
      </c>
      <c r="E553" s="67">
        <f>9.7709 * CHOOSE(CONTROL!$C$26, $C$13, 100%, $E$13)</f>
        <v>9.7708999999999993</v>
      </c>
      <c r="F553" s="67">
        <f>9.7709 * CHOOSE(CONTROL!$C$26, $C$13, 100%, $E$13)</f>
        <v>9.7708999999999993</v>
      </c>
      <c r="G553" s="67">
        <f>9.7776 * CHOOSE(CONTROL!$C$26, $C$13, 100%, $E$13)</f>
        <v>9.7775999999999996</v>
      </c>
      <c r="H553" s="67">
        <f>18.0015* CHOOSE(CONTROL!$C$26, $C$13, 100%, $E$13)</f>
        <v>18.0015</v>
      </c>
      <c r="I553" s="67">
        <f>18.0083 * CHOOSE(CONTROL!$C$26, $C$13, 100%, $E$13)</f>
        <v>18.008299999999998</v>
      </c>
      <c r="J553" s="67">
        <f>9.7709 * CHOOSE(CONTROL!$C$26, $C$13, 100%, $E$13)</f>
        <v>9.7708999999999993</v>
      </c>
      <c r="K553" s="67">
        <f>9.7776 * CHOOSE(CONTROL!$C$26, $C$13, 100%, $E$13)</f>
        <v>9.7775999999999996</v>
      </c>
    </row>
    <row r="554" spans="1:11" ht="15">
      <c r="A554" s="13">
        <v>57984</v>
      </c>
      <c r="B554" s="66">
        <f>8.3686 * CHOOSE(CONTROL!$C$26, $C$13, 100%, $E$13)</f>
        <v>8.3686000000000007</v>
      </c>
      <c r="C554" s="66">
        <f>8.3686 * CHOOSE(CONTROL!$C$26, $C$13, 100%, $E$13)</f>
        <v>8.3686000000000007</v>
      </c>
      <c r="D554" s="66">
        <f>8.3725 * CHOOSE(CONTROL!$C$26, $C$13, 100%, $E$13)</f>
        <v>8.3725000000000005</v>
      </c>
      <c r="E554" s="67">
        <f>9.826 * CHOOSE(CONTROL!$C$26, $C$13, 100%, $E$13)</f>
        <v>9.8260000000000005</v>
      </c>
      <c r="F554" s="67">
        <f>9.826 * CHOOSE(CONTROL!$C$26, $C$13, 100%, $E$13)</f>
        <v>9.8260000000000005</v>
      </c>
      <c r="G554" s="67">
        <f>9.8308 * CHOOSE(CONTROL!$C$26, $C$13, 100%, $E$13)</f>
        <v>9.8308</v>
      </c>
      <c r="H554" s="67">
        <f>18.039* CHOOSE(CONTROL!$C$26, $C$13, 100%, $E$13)</f>
        <v>18.039000000000001</v>
      </c>
      <c r="I554" s="67">
        <f>18.0438 * CHOOSE(CONTROL!$C$26, $C$13, 100%, $E$13)</f>
        <v>18.043800000000001</v>
      </c>
      <c r="J554" s="67">
        <f>9.826 * CHOOSE(CONTROL!$C$26, $C$13, 100%, $E$13)</f>
        <v>9.8260000000000005</v>
      </c>
      <c r="K554" s="67">
        <f>9.8308 * CHOOSE(CONTROL!$C$26, $C$13, 100%, $E$13)</f>
        <v>9.8308</v>
      </c>
    </row>
    <row r="555" spans="1:11" ht="15">
      <c r="A555" s="13">
        <v>58015</v>
      </c>
      <c r="B555" s="66">
        <f>8.3717 * CHOOSE(CONTROL!$C$26, $C$13, 100%, $E$13)</f>
        <v>8.3717000000000006</v>
      </c>
      <c r="C555" s="66">
        <f>8.3717 * CHOOSE(CONTROL!$C$26, $C$13, 100%, $E$13)</f>
        <v>8.3717000000000006</v>
      </c>
      <c r="D555" s="66">
        <f>8.3755 * CHOOSE(CONTROL!$C$26, $C$13, 100%, $E$13)</f>
        <v>8.3755000000000006</v>
      </c>
      <c r="E555" s="67">
        <f>9.8624 * CHOOSE(CONTROL!$C$26, $C$13, 100%, $E$13)</f>
        <v>9.8623999999999992</v>
      </c>
      <c r="F555" s="67">
        <f>9.8624 * CHOOSE(CONTROL!$C$26, $C$13, 100%, $E$13)</f>
        <v>9.8623999999999992</v>
      </c>
      <c r="G555" s="67">
        <f>9.8672 * CHOOSE(CONTROL!$C$26, $C$13, 100%, $E$13)</f>
        <v>9.8672000000000004</v>
      </c>
      <c r="H555" s="67">
        <f>18.0766* CHOOSE(CONTROL!$C$26, $C$13, 100%, $E$13)</f>
        <v>18.076599999999999</v>
      </c>
      <c r="I555" s="67">
        <f>18.0814 * CHOOSE(CONTROL!$C$26, $C$13, 100%, $E$13)</f>
        <v>18.081399999999999</v>
      </c>
      <c r="J555" s="67">
        <f>9.8624 * CHOOSE(CONTROL!$C$26, $C$13, 100%, $E$13)</f>
        <v>9.8623999999999992</v>
      </c>
      <c r="K555" s="67">
        <f>9.8672 * CHOOSE(CONTROL!$C$26, $C$13, 100%, $E$13)</f>
        <v>9.8672000000000004</v>
      </c>
    </row>
    <row r="556" spans="1:11" ht="15">
      <c r="A556" s="13">
        <v>58045</v>
      </c>
      <c r="B556" s="66">
        <f>8.3717 * CHOOSE(CONTROL!$C$26, $C$13, 100%, $E$13)</f>
        <v>8.3717000000000006</v>
      </c>
      <c r="C556" s="66">
        <f>8.3717 * CHOOSE(CONTROL!$C$26, $C$13, 100%, $E$13)</f>
        <v>8.3717000000000006</v>
      </c>
      <c r="D556" s="66">
        <f>8.3755 * CHOOSE(CONTROL!$C$26, $C$13, 100%, $E$13)</f>
        <v>8.3755000000000006</v>
      </c>
      <c r="E556" s="67">
        <f>9.7767 * CHOOSE(CONTROL!$C$26, $C$13, 100%, $E$13)</f>
        <v>9.7766999999999999</v>
      </c>
      <c r="F556" s="67">
        <f>9.7767 * CHOOSE(CONTROL!$C$26, $C$13, 100%, $E$13)</f>
        <v>9.7766999999999999</v>
      </c>
      <c r="G556" s="67">
        <f>9.7815 * CHOOSE(CONTROL!$C$26, $C$13, 100%, $E$13)</f>
        <v>9.7814999999999994</v>
      </c>
      <c r="H556" s="67">
        <f>18.1143* CHOOSE(CONTROL!$C$26, $C$13, 100%, $E$13)</f>
        <v>18.1143</v>
      </c>
      <c r="I556" s="67">
        <f>18.1191 * CHOOSE(CONTROL!$C$26, $C$13, 100%, $E$13)</f>
        <v>18.1191</v>
      </c>
      <c r="J556" s="67">
        <f>9.7767 * CHOOSE(CONTROL!$C$26, $C$13, 100%, $E$13)</f>
        <v>9.7766999999999999</v>
      </c>
      <c r="K556" s="67">
        <f>9.7815 * CHOOSE(CONTROL!$C$26, $C$13, 100%, $E$13)</f>
        <v>9.7814999999999994</v>
      </c>
    </row>
    <row r="557" spans="1:11" ht="15">
      <c r="A557" s="13">
        <v>58076</v>
      </c>
      <c r="B557" s="66">
        <f>8.4433 * CHOOSE(CONTROL!$C$26, $C$13, 100%, $E$13)</f>
        <v>8.4433000000000007</v>
      </c>
      <c r="C557" s="66">
        <f>8.4433 * CHOOSE(CONTROL!$C$26, $C$13, 100%, $E$13)</f>
        <v>8.4433000000000007</v>
      </c>
      <c r="D557" s="66">
        <f>8.4471 * CHOOSE(CONTROL!$C$26, $C$13, 100%, $E$13)</f>
        <v>8.4471000000000007</v>
      </c>
      <c r="E557" s="67">
        <f>9.9178 * CHOOSE(CONTROL!$C$26, $C$13, 100%, $E$13)</f>
        <v>9.9177999999999997</v>
      </c>
      <c r="F557" s="67">
        <f>9.9178 * CHOOSE(CONTROL!$C$26, $C$13, 100%, $E$13)</f>
        <v>9.9177999999999997</v>
      </c>
      <c r="G557" s="67">
        <f>9.9225 * CHOOSE(CONTROL!$C$26, $C$13, 100%, $E$13)</f>
        <v>9.9224999999999994</v>
      </c>
      <c r="H557" s="67">
        <f>18.152* CHOOSE(CONTROL!$C$26, $C$13, 100%, $E$13)</f>
        <v>18.152000000000001</v>
      </c>
      <c r="I557" s="67">
        <f>18.1568 * CHOOSE(CONTROL!$C$26, $C$13, 100%, $E$13)</f>
        <v>18.1568</v>
      </c>
      <c r="J557" s="67">
        <f>9.9178 * CHOOSE(CONTROL!$C$26, $C$13, 100%, $E$13)</f>
        <v>9.9177999999999997</v>
      </c>
      <c r="K557" s="67">
        <f>9.9225 * CHOOSE(CONTROL!$C$26, $C$13, 100%, $E$13)</f>
        <v>9.9224999999999994</v>
      </c>
    </row>
    <row r="558" spans="1:11" ht="15">
      <c r="A558" s="13">
        <v>58107</v>
      </c>
      <c r="B558" s="66">
        <f>8.4402 * CHOOSE(CONTROL!$C$26, $C$13, 100%, $E$13)</f>
        <v>8.4402000000000008</v>
      </c>
      <c r="C558" s="66">
        <f>8.4402 * CHOOSE(CONTROL!$C$26, $C$13, 100%, $E$13)</f>
        <v>8.4402000000000008</v>
      </c>
      <c r="D558" s="66">
        <f>8.4441 * CHOOSE(CONTROL!$C$26, $C$13, 100%, $E$13)</f>
        <v>8.4441000000000006</v>
      </c>
      <c r="E558" s="67">
        <f>9.7492 * CHOOSE(CONTROL!$C$26, $C$13, 100%, $E$13)</f>
        <v>9.7492000000000001</v>
      </c>
      <c r="F558" s="67">
        <f>9.7492 * CHOOSE(CONTROL!$C$26, $C$13, 100%, $E$13)</f>
        <v>9.7492000000000001</v>
      </c>
      <c r="G558" s="67">
        <f>9.7539 * CHOOSE(CONTROL!$C$26, $C$13, 100%, $E$13)</f>
        <v>9.7538999999999998</v>
      </c>
      <c r="H558" s="67">
        <f>18.1898* CHOOSE(CONTROL!$C$26, $C$13, 100%, $E$13)</f>
        <v>18.189800000000002</v>
      </c>
      <c r="I558" s="67">
        <f>18.1946 * CHOOSE(CONTROL!$C$26, $C$13, 100%, $E$13)</f>
        <v>18.194600000000001</v>
      </c>
      <c r="J558" s="67">
        <f>9.7492 * CHOOSE(CONTROL!$C$26, $C$13, 100%, $E$13)</f>
        <v>9.7492000000000001</v>
      </c>
      <c r="K558" s="67">
        <f>9.7539 * CHOOSE(CONTROL!$C$26, $C$13, 100%, $E$13)</f>
        <v>9.7538999999999998</v>
      </c>
    </row>
    <row r="559" spans="1:11" ht="15">
      <c r="A559" s="13">
        <v>58135</v>
      </c>
      <c r="B559" s="66">
        <f>8.4372 * CHOOSE(CONTROL!$C$26, $C$13, 100%, $E$13)</f>
        <v>8.4372000000000007</v>
      </c>
      <c r="C559" s="66">
        <f>8.4372 * CHOOSE(CONTROL!$C$26, $C$13, 100%, $E$13)</f>
        <v>8.4372000000000007</v>
      </c>
      <c r="D559" s="66">
        <f>8.4411 * CHOOSE(CONTROL!$C$26, $C$13, 100%, $E$13)</f>
        <v>8.4411000000000005</v>
      </c>
      <c r="E559" s="67">
        <f>9.8783 * CHOOSE(CONTROL!$C$26, $C$13, 100%, $E$13)</f>
        <v>9.8782999999999994</v>
      </c>
      <c r="F559" s="67">
        <f>9.8783 * CHOOSE(CONTROL!$C$26, $C$13, 100%, $E$13)</f>
        <v>9.8782999999999994</v>
      </c>
      <c r="G559" s="67">
        <f>9.8831 * CHOOSE(CONTROL!$C$26, $C$13, 100%, $E$13)</f>
        <v>9.8831000000000007</v>
      </c>
      <c r="H559" s="67">
        <f>18.2277* CHOOSE(CONTROL!$C$26, $C$13, 100%, $E$13)</f>
        <v>18.227699999999999</v>
      </c>
      <c r="I559" s="67">
        <f>18.2325 * CHOOSE(CONTROL!$C$26, $C$13, 100%, $E$13)</f>
        <v>18.232500000000002</v>
      </c>
      <c r="J559" s="67">
        <f>9.8783 * CHOOSE(CONTROL!$C$26, $C$13, 100%, $E$13)</f>
        <v>9.8782999999999994</v>
      </c>
      <c r="K559" s="67">
        <f>9.8831 * CHOOSE(CONTROL!$C$26, $C$13, 100%, $E$13)</f>
        <v>9.8831000000000007</v>
      </c>
    </row>
    <row r="560" spans="1:11" ht="15">
      <c r="A560" s="13">
        <v>58166</v>
      </c>
      <c r="B560" s="66">
        <f>8.4386 * CHOOSE(CONTROL!$C$26, $C$13, 100%, $E$13)</f>
        <v>8.4385999999999992</v>
      </c>
      <c r="C560" s="66">
        <f>8.4386 * CHOOSE(CONTROL!$C$26, $C$13, 100%, $E$13)</f>
        <v>8.4385999999999992</v>
      </c>
      <c r="D560" s="66">
        <f>8.4425 * CHOOSE(CONTROL!$C$26, $C$13, 100%, $E$13)</f>
        <v>8.4425000000000008</v>
      </c>
      <c r="E560" s="67">
        <f>10.015 * CHOOSE(CONTROL!$C$26, $C$13, 100%, $E$13)</f>
        <v>10.015000000000001</v>
      </c>
      <c r="F560" s="67">
        <f>10.015 * CHOOSE(CONTROL!$C$26, $C$13, 100%, $E$13)</f>
        <v>10.015000000000001</v>
      </c>
      <c r="G560" s="67">
        <f>10.0198 * CHOOSE(CONTROL!$C$26, $C$13, 100%, $E$13)</f>
        <v>10.0198</v>
      </c>
      <c r="H560" s="67">
        <f>18.2657* CHOOSE(CONTROL!$C$26, $C$13, 100%, $E$13)</f>
        <v>18.265699999999999</v>
      </c>
      <c r="I560" s="67">
        <f>18.2705 * CHOOSE(CONTROL!$C$26, $C$13, 100%, $E$13)</f>
        <v>18.270499999999998</v>
      </c>
      <c r="J560" s="67">
        <f>10.015 * CHOOSE(CONTROL!$C$26, $C$13, 100%, $E$13)</f>
        <v>10.015000000000001</v>
      </c>
      <c r="K560" s="67">
        <f>10.0198 * CHOOSE(CONTROL!$C$26, $C$13, 100%, $E$13)</f>
        <v>10.0198</v>
      </c>
    </row>
    <row r="561" spans="1:11" ht="15">
      <c r="A561" s="13">
        <v>58196</v>
      </c>
      <c r="B561" s="66">
        <f>8.4386 * CHOOSE(CONTROL!$C$26, $C$13, 100%, $E$13)</f>
        <v>8.4385999999999992</v>
      </c>
      <c r="C561" s="66">
        <f>8.4386 * CHOOSE(CONTROL!$C$26, $C$13, 100%, $E$13)</f>
        <v>8.4385999999999992</v>
      </c>
      <c r="D561" s="66">
        <f>8.4441 * CHOOSE(CONTROL!$C$26, $C$13, 100%, $E$13)</f>
        <v>8.4441000000000006</v>
      </c>
      <c r="E561" s="67">
        <f>10.0679 * CHOOSE(CONTROL!$C$26, $C$13, 100%, $E$13)</f>
        <v>10.0679</v>
      </c>
      <c r="F561" s="67">
        <f>10.0679 * CHOOSE(CONTROL!$C$26, $C$13, 100%, $E$13)</f>
        <v>10.0679</v>
      </c>
      <c r="G561" s="67">
        <f>10.0746 * CHOOSE(CONTROL!$C$26, $C$13, 100%, $E$13)</f>
        <v>10.0746</v>
      </c>
      <c r="H561" s="67">
        <f>18.3038* CHOOSE(CONTROL!$C$26, $C$13, 100%, $E$13)</f>
        <v>18.303799999999999</v>
      </c>
      <c r="I561" s="67">
        <f>18.3105 * CHOOSE(CONTROL!$C$26, $C$13, 100%, $E$13)</f>
        <v>18.310500000000001</v>
      </c>
      <c r="J561" s="67">
        <f>10.0679 * CHOOSE(CONTROL!$C$26, $C$13, 100%, $E$13)</f>
        <v>10.0679</v>
      </c>
      <c r="K561" s="67">
        <f>10.0746 * CHOOSE(CONTROL!$C$26, $C$13, 100%, $E$13)</f>
        <v>10.0746</v>
      </c>
    </row>
    <row r="562" spans="1:11" ht="15">
      <c r="A562" s="13">
        <v>58227</v>
      </c>
      <c r="B562" s="66">
        <f>8.4447 * CHOOSE(CONTROL!$C$26, $C$13, 100%, $E$13)</f>
        <v>8.4446999999999992</v>
      </c>
      <c r="C562" s="66">
        <f>8.4447 * CHOOSE(CONTROL!$C$26, $C$13, 100%, $E$13)</f>
        <v>8.4446999999999992</v>
      </c>
      <c r="D562" s="66">
        <f>8.4502 * CHOOSE(CONTROL!$C$26, $C$13, 100%, $E$13)</f>
        <v>8.4502000000000006</v>
      </c>
      <c r="E562" s="67">
        <f>10.0192 * CHOOSE(CONTROL!$C$26, $C$13, 100%, $E$13)</f>
        <v>10.0192</v>
      </c>
      <c r="F562" s="67">
        <f>10.0192 * CHOOSE(CONTROL!$C$26, $C$13, 100%, $E$13)</f>
        <v>10.0192</v>
      </c>
      <c r="G562" s="67">
        <f>10.026 * CHOOSE(CONTROL!$C$26, $C$13, 100%, $E$13)</f>
        <v>10.026</v>
      </c>
      <c r="H562" s="67">
        <f>18.3419* CHOOSE(CONTROL!$C$26, $C$13, 100%, $E$13)</f>
        <v>18.341899999999999</v>
      </c>
      <c r="I562" s="67">
        <f>18.3486 * CHOOSE(CONTROL!$C$26, $C$13, 100%, $E$13)</f>
        <v>18.348600000000001</v>
      </c>
      <c r="J562" s="67">
        <f>10.0192 * CHOOSE(CONTROL!$C$26, $C$13, 100%, $E$13)</f>
        <v>10.0192</v>
      </c>
      <c r="K562" s="67">
        <f>10.026 * CHOOSE(CONTROL!$C$26, $C$13, 100%, $E$13)</f>
        <v>10.026</v>
      </c>
    </row>
    <row r="563" spans="1:11" ht="15">
      <c r="A563" s="13">
        <v>58257</v>
      </c>
      <c r="B563" s="66">
        <f>8.5766 * CHOOSE(CONTROL!$C$26, $C$13, 100%, $E$13)</f>
        <v>8.5765999999999991</v>
      </c>
      <c r="C563" s="66">
        <f>8.5766 * CHOOSE(CONTROL!$C$26, $C$13, 100%, $E$13)</f>
        <v>8.5765999999999991</v>
      </c>
      <c r="D563" s="66">
        <f>8.5821 * CHOOSE(CONTROL!$C$26, $C$13, 100%, $E$13)</f>
        <v>8.5821000000000005</v>
      </c>
      <c r="E563" s="67">
        <f>10.183 * CHOOSE(CONTROL!$C$26, $C$13, 100%, $E$13)</f>
        <v>10.183</v>
      </c>
      <c r="F563" s="67">
        <f>10.183 * CHOOSE(CONTROL!$C$26, $C$13, 100%, $E$13)</f>
        <v>10.183</v>
      </c>
      <c r="G563" s="67">
        <f>10.1898 * CHOOSE(CONTROL!$C$26, $C$13, 100%, $E$13)</f>
        <v>10.1898</v>
      </c>
      <c r="H563" s="67">
        <f>18.3801* CHOOSE(CONTROL!$C$26, $C$13, 100%, $E$13)</f>
        <v>18.380099999999999</v>
      </c>
      <c r="I563" s="67">
        <f>18.3868 * CHOOSE(CONTROL!$C$26, $C$13, 100%, $E$13)</f>
        <v>18.386800000000001</v>
      </c>
      <c r="J563" s="67">
        <f>10.183 * CHOOSE(CONTROL!$C$26, $C$13, 100%, $E$13)</f>
        <v>10.183</v>
      </c>
      <c r="K563" s="67">
        <f>10.1898 * CHOOSE(CONTROL!$C$26, $C$13, 100%, $E$13)</f>
        <v>10.1898</v>
      </c>
    </row>
    <row r="564" spans="1:11" ht="15">
      <c r="A564" s="13">
        <v>58288</v>
      </c>
      <c r="B564" s="66">
        <f>8.5833 * CHOOSE(CONTROL!$C$26, $C$13, 100%, $E$13)</f>
        <v>8.5832999999999995</v>
      </c>
      <c r="C564" s="66">
        <f>8.5833 * CHOOSE(CONTROL!$C$26, $C$13, 100%, $E$13)</f>
        <v>8.5832999999999995</v>
      </c>
      <c r="D564" s="66">
        <f>8.5888 * CHOOSE(CONTROL!$C$26, $C$13, 100%, $E$13)</f>
        <v>8.5888000000000009</v>
      </c>
      <c r="E564" s="67">
        <f>10.0291 * CHOOSE(CONTROL!$C$26, $C$13, 100%, $E$13)</f>
        <v>10.0291</v>
      </c>
      <c r="F564" s="67">
        <f>10.0291 * CHOOSE(CONTROL!$C$26, $C$13, 100%, $E$13)</f>
        <v>10.0291</v>
      </c>
      <c r="G564" s="67">
        <f>10.0359 * CHOOSE(CONTROL!$C$26, $C$13, 100%, $E$13)</f>
        <v>10.0359</v>
      </c>
      <c r="H564" s="67">
        <f>18.4184* CHOOSE(CONTROL!$C$26, $C$13, 100%, $E$13)</f>
        <v>18.418399999999998</v>
      </c>
      <c r="I564" s="67">
        <f>18.4251 * CHOOSE(CONTROL!$C$26, $C$13, 100%, $E$13)</f>
        <v>18.4251</v>
      </c>
      <c r="J564" s="67">
        <f>10.0291 * CHOOSE(CONTROL!$C$26, $C$13, 100%, $E$13)</f>
        <v>10.0291</v>
      </c>
      <c r="K564" s="67">
        <f>10.0359 * CHOOSE(CONTROL!$C$26, $C$13, 100%, $E$13)</f>
        <v>10.0359</v>
      </c>
    </row>
    <row r="565" spans="1:11" ht="15">
      <c r="A565" s="13">
        <v>58319</v>
      </c>
      <c r="B565" s="66">
        <f>8.5803 * CHOOSE(CONTROL!$C$26, $C$13, 100%, $E$13)</f>
        <v>8.5802999999999994</v>
      </c>
      <c r="C565" s="66">
        <f>8.5803 * CHOOSE(CONTROL!$C$26, $C$13, 100%, $E$13)</f>
        <v>8.5802999999999994</v>
      </c>
      <c r="D565" s="66">
        <f>8.5858 * CHOOSE(CONTROL!$C$26, $C$13, 100%, $E$13)</f>
        <v>8.5858000000000008</v>
      </c>
      <c r="E565" s="67">
        <f>10.0094 * CHOOSE(CONTROL!$C$26, $C$13, 100%, $E$13)</f>
        <v>10.009399999999999</v>
      </c>
      <c r="F565" s="67">
        <f>10.0094 * CHOOSE(CONTROL!$C$26, $C$13, 100%, $E$13)</f>
        <v>10.009399999999999</v>
      </c>
      <c r="G565" s="67">
        <f>10.0161 * CHOOSE(CONTROL!$C$26, $C$13, 100%, $E$13)</f>
        <v>10.0161</v>
      </c>
      <c r="H565" s="67">
        <f>18.4568* CHOOSE(CONTROL!$C$26, $C$13, 100%, $E$13)</f>
        <v>18.456800000000001</v>
      </c>
      <c r="I565" s="67">
        <f>18.4635 * CHOOSE(CONTROL!$C$26, $C$13, 100%, $E$13)</f>
        <v>18.4635</v>
      </c>
      <c r="J565" s="67">
        <f>10.0094 * CHOOSE(CONTROL!$C$26, $C$13, 100%, $E$13)</f>
        <v>10.009399999999999</v>
      </c>
      <c r="K565" s="67">
        <f>10.0161 * CHOOSE(CONTROL!$C$26, $C$13, 100%, $E$13)</f>
        <v>10.0161</v>
      </c>
    </row>
    <row r="566" spans="1:11" ht="15">
      <c r="A566" s="13">
        <v>58349</v>
      </c>
      <c r="B566" s="66">
        <f>8.5903 * CHOOSE(CONTROL!$C$26, $C$13, 100%, $E$13)</f>
        <v>8.5902999999999992</v>
      </c>
      <c r="C566" s="66">
        <f>8.5903 * CHOOSE(CONTROL!$C$26, $C$13, 100%, $E$13)</f>
        <v>8.5902999999999992</v>
      </c>
      <c r="D566" s="66">
        <f>8.5942 * CHOOSE(CONTROL!$C$26, $C$13, 100%, $E$13)</f>
        <v>8.5942000000000007</v>
      </c>
      <c r="E566" s="67">
        <f>10.0665 * CHOOSE(CONTROL!$C$26, $C$13, 100%, $E$13)</f>
        <v>10.0665</v>
      </c>
      <c r="F566" s="67">
        <f>10.0665 * CHOOSE(CONTROL!$C$26, $C$13, 100%, $E$13)</f>
        <v>10.0665</v>
      </c>
      <c r="G566" s="67">
        <f>10.0712 * CHOOSE(CONTROL!$C$26, $C$13, 100%, $E$13)</f>
        <v>10.071199999999999</v>
      </c>
      <c r="H566" s="67">
        <f>18.4952* CHOOSE(CONTROL!$C$26, $C$13, 100%, $E$13)</f>
        <v>18.495200000000001</v>
      </c>
      <c r="I566" s="67">
        <f>18.5 * CHOOSE(CONTROL!$C$26, $C$13, 100%, $E$13)</f>
        <v>18.5</v>
      </c>
      <c r="J566" s="67">
        <f>10.0665 * CHOOSE(CONTROL!$C$26, $C$13, 100%, $E$13)</f>
        <v>10.0665</v>
      </c>
      <c r="K566" s="67">
        <f>10.0712 * CHOOSE(CONTROL!$C$26, $C$13, 100%, $E$13)</f>
        <v>10.071199999999999</v>
      </c>
    </row>
    <row r="567" spans="1:11" ht="15">
      <c r="A567" s="13">
        <v>58380</v>
      </c>
      <c r="B567" s="66">
        <f>8.5934 * CHOOSE(CONTROL!$C$26, $C$13, 100%, $E$13)</f>
        <v>8.5934000000000008</v>
      </c>
      <c r="C567" s="66">
        <f>8.5934 * CHOOSE(CONTROL!$C$26, $C$13, 100%, $E$13)</f>
        <v>8.5934000000000008</v>
      </c>
      <c r="D567" s="66">
        <f>8.5972 * CHOOSE(CONTROL!$C$26, $C$13, 100%, $E$13)</f>
        <v>8.5972000000000008</v>
      </c>
      <c r="E567" s="67">
        <f>10.1038 * CHOOSE(CONTROL!$C$26, $C$13, 100%, $E$13)</f>
        <v>10.1038</v>
      </c>
      <c r="F567" s="67">
        <f>10.1038 * CHOOSE(CONTROL!$C$26, $C$13, 100%, $E$13)</f>
        <v>10.1038</v>
      </c>
      <c r="G567" s="67">
        <f>10.1086 * CHOOSE(CONTROL!$C$26, $C$13, 100%, $E$13)</f>
        <v>10.108599999999999</v>
      </c>
      <c r="H567" s="67">
        <f>18.5338* CHOOSE(CONTROL!$C$26, $C$13, 100%, $E$13)</f>
        <v>18.533799999999999</v>
      </c>
      <c r="I567" s="67">
        <f>18.5385 * CHOOSE(CONTROL!$C$26, $C$13, 100%, $E$13)</f>
        <v>18.538499999999999</v>
      </c>
      <c r="J567" s="67">
        <f>10.1038 * CHOOSE(CONTROL!$C$26, $C$13, 100%, $E$13)</f>
        <v>10.1038</v>
      </c>
      <c r="K567" s="67">
        <f>10.1086 * CHOOSE(CONTROL!$C$26, $C$13, 100%, $E$13)</f>
        <v>10.108599999999999</v>
      </c>
    </row>
    <row r="568" spans="1:11" ht="15">
      <c r="A568" s="13">
        <v>58410</v>
      </c>
      <c r="B568" s="66">
        <f>8.5934 * CHOOSE(CONTROL!$C$26, $C$13, 100%, $E$13)</f>
        <v>8.5934000000000008</v>
      </c>
      <c r="C568" s="66">
        <f>8.5934 * CHOOSE(CONTROL!$C$26, $C$13, 100%, $E$13)</f>
        <v>8.5934000000000008</v>
      </c>
      <c r="D568" s="66">
        <f>8.5972 * CHOOSE(CONTROL!$C$26, $C$13, 100%, $E$13)</f>
        <v>8.5972000000000008</v>
      </c>
      <c r="E568" s="67">
        <f>10.0157 * CHOOSE(CONTROL!$C$26, $C$13, 100%, $E$13)</f>
        <v>10.015700000000001</v>
      </c>
      <c r="F568" s="67">
        <f>10.0157 * CHOOSE(CONTROL!$C$26, $C$13, 100%, $E$13)</f>
        <v>10.015700000000001</v>
      </c>
      <c r="G568" s="67">
        <f>10.0205 * CHOOSE(CONTROL!$C$26, $C$13, 100%, $E$13)</f>
        <v>10.0205</v>
      </c>
      <c r="H568" s="67">
        <f>18.5724* CHOOSE(CONTROL!$C$26, $C$13, 100%, $E$13)</f>
        <v>18.572399999999998</v>
      </c>
      <c r="I568" s="67">
        <f>18.5771 * CHOOSE(CONTROL!$C$26, $C$13, 100%, $E$13)</f>
        <v>18.577100000000002</v>
      </c>
      <c r="J568" s="67">
        <f>10.0157 * CHOOSE(CONTROL!$C$26, $C$13, 100%, $E$13)</f>
        <v>10.015700000000001</v>
      </c>
      <c r="K568" s="67">
        <f>10.0205 * CHOOSE(CONTROL!$C$26, $C$13, 100%, $E$13)</f>
        <v>10.0205</v>
      </c>
    </row>
    <row r="569" spans="1:11" ht="15">
      <c r="A569" s="13">
        <v>58441</v>
      </c>
      <c r="B569" s="66">
        <f>8.6667 * CHOOSE(CONTROL!$C$26, $C$13, 100%, $E$13)</f>
        <v>8.6667000000000005</v>
      </c>
      <c r="C569" s="66">
        <f>8.6667 * CHOOSE(CONTROL!$C$26, $C$13, 100%, $E$13)</f>
        <v>8.6667000000000005</v>
      </c>
      <c r="D569" s="66">
        <f>8.6706 * CHOOSE(CONTROL!$C$26, $C$13, 100%, $E$13)</f>
        <v>8.6706000000000003</v>
      </c>
      <c r="E569" s="67">
        <f>10.1604 * CHOOSE(CONTROL!$C$26, $C$13, 100%, $E$13)</f>
        <v>10.160399999999999</v>
      </c>
      <c r="F569" s="67">
        <f>10.1604 * CHOOSE(CONTROL!$C$26, $C$13, 100%, $E$13)</f>
        <v>10.160399999999999</v>
      </c>
      <c r="G569" s="67">
        <f>10.1652 * CHOOSE(CONTROL!$C$26, $C$13, 100%, $E$13)</f>
        <v>10.1652</v>
      </c>
      <c r="H569" s="67">
        <f>18.6111* CHOOSE(CONTROL!$C$26, $C$13, 100%, $E$13)</f>
        <v>18.6111</v>
      </c>
      <c r="I569" s="67">
        <f>18.6158 * CHOOSE(CONTROL!$C$26, $C$13, 100%, $E$13)</f>
        <v>18.6158</v>
      </c>
      <c r="J569" s="67">
        <f>10.1604 * CHOOSE(CONTROL!$C$26, $C$13, 100%, $E$13)</f>
        <v>10.160399999999999</v>
      </c>
      <c r="K569" s="67">
        <f>10.1652 * CHOOSE(CONTROL!$C$26, $C$13, 100%, $E$13)</f>
        <v>10.1652</v>
      </c>
    </row>
    <row r="570" spans="1:11" ht="15">
      <c r="A570" s="13">
        <v>58472</v>
      </c>
      <c r="B570" s="66">
        <f>8.6637 * CHOOSE(CONTROL!$C$26, $C$13, 100%, $E$13)</f>
        <v>8.6637000000000004</v>
      </c>
      <c r="C570" s="66">
        <f>8.6637 * CHOOSE(CONTROL!$C$26, $C$13, 100%, $E$13)</f>
        <v>8.6637000000000004</v>
      </c>
      <c r="D570" s="66">
        <f>8.6676 * CHOOSE(CONTROL!$C$26, $C$13, 100%, $E$13)</f>
        <v>8.6676000000000002</v>
      </c>
      <c r="E570" s="67">
        <f>9.9871 * CHOOSE(CONTROL!$C$26, $C$13, 100%, $E$13)</f>
        <v>9.9870999999999999</v>
      </c>
      <c r="F570" s="67">
        <f>9.9871 * CHOOSE(CONTROL!$C$26, $C$13, 100%, $E$13)</f>
        <v>9.9870999999999999</v>
      </c>
      <c r="G570" s="67">
        <f>9.9919 * CHOOSE(CONTROL!$C$26, $C$13, 100%, $E$13)</f>
        <v>9.9918999999999993</v>
      </c>
      <c r="H570" s="67">
        <f>18.6498* CHOOSE(CONTROL!$C$26, $C$13, 100%, $E$13)</f>
        <v>18.649799999999999</v>
      </c>
      <c r="I570" s="67">
        <f>18.6546 * CHOOSE(CONTROL!$C$26, $C$13, 100%, $E$13)</f>
        <v>18.654599999999999</v>
      </c>
      <c r="J570" s="67">
        <f>9.9871 * CHOOSE(CONTROL!$C$26, $C$13, 100%, $E$13)</f>
        <v>9.9870999999999999</v>
      </c>
      <c r="K570" s="67">
        <f>9.9919 * CHOOSE(CONTROL!$C$26, $C$13, 100%, $E$13)</f>
        <v>9.9918999999999993</v>
      </c>
    </row>
    <row r="571" spans="1:11" ht="15">
      <c r="A571" s="13">
        <v>58501</v>
      </c>
      <c r="B571" s="66">
        <f>8.6607 * CHOOSE(CONTROL!$C$26, $C$13, 100%, $E$13)</f>
        <v>8.6607000000000003</v>
      </c>
      <c r="C571" s="66">
        <f>8.6607 * CHOOSE(CONTROL!$C$26, $C$13, 100%, $E$13)</f>
        <v>8.6607000000000003</v>
      </c>
      <c r="D571" s="66">
        <f>8.6645 * CHOOSE(CONTROL!$C$26, $C$13, 100%, $E$13)</f>
        <v>8.6645000000000003</v>
      </c>
      <c r="E571" s="67">
        <f>10.1199 * CHOOSE(CONTROL!$C$26, $C$13, 100%, $E$13)</f>
        <v>10.119899999999999</v>
      </c>
      <c r="F571" s="67">
        <f>10.1199 * CHOOSE(CONTROL!$C$26, $C$13, 100%, $E$13)</f>
        <v>10.119899999999999</v>
      </c>
      <c r="G571" s="67">
        <f>10.1247 * CHOOSE(CONTROL!$C$26, $C$13, 100%, $E$13)</f>
        <v>10.124700000000001</v>
      </c>
      <c r="H571" s="67">
        <f>18.6887* CHOOSE(CONTROL!$C$26, $C$13, 100%, $E$13)</f>
        <v>18.688700000000001</v>
      </c>
      <c r="I571" s="67">
        <f>18.6935 * CHOOSE(CONTROL!$C$26, $C$13, 100%, $E$13)</f>
        <v>18.6935</v>
      </c>
      <c r="J571" s="67">
        <f>10.1199 * CHOOSE(CONTROL!$C$26, $C$13, 100%, $E$13)</f>
        <v>10.119899999999999</v>
      </c>
      <c r="K571" s="67">
        <f>10.1247 * CHOOSE(CONTROL!$C$26, $C$13, 100%, $E$13)</f>
        <v>10.124700000000001</v>
      </c>
    </row>
    <row r="572" spans="1:11" ht="15">
      <c r="A572" s="13">
        <v>58532</v>
      </c>
      <c r="B572" s="66">
        <f>8.6623 * CHOOSE(CONTROL!$C$26, $C$13, 100%, $E$13)</f>
        <v>8.6623000000000001</v>
      </c>
      <c r="C572" s="66">
        <f>8.6623 * CHOOSE(CONTROL!$C$26, $C$13, 100%, $E$13)</f>
        <v>8.6623000000000001</v>
      </c>
      <c r="D572" s="66">
        <f>8.6661 * CHOOSE(CONTROL!$C$26, $C$13, 100%, $E$13)</f>
        <v>8.6661000000000001</v>
      </c>
      <c r="E572" s="67">
        <f>10.2606 * CHOOSE(CONTROL!$C$26, $C$13, 100%, $E$13)</f>
        <v>10.2606</v>
      </c>
      <c r="F572" s="67">
        <f>10.2606 * CHOOSE(CONTROL!$C$26, $C$13, 100%, $E$13)</f>
        <v>10.2606</v>
      </c>
      <c r="G572" s="67">
        <f>10.2654 * CHOOSE(CONTROL!$C$26, $C$13, 100%, $E$13)</f>
        <v>10.2654</v>
      </c>
      <c r="H572" s="67">
        <f>18.7276* CHOOSE(CONTROL!$C$26, $C$13, 100%, $E$13)</f>
        <v>18.727599999999999</v>
      </c>
      <c r="I572" s="67">
        <f>18.7324 * CHOOSE(CONTROL!$C$26, $C$13, 100%, $E$13)</f>
        <v>18.732399999999998</v>
      </c>
      <c r="J572" s="67">
        <f>10.2606 * CHOOSE(CONTROL!$C$26, $C$13, 100%, $E$13)</f>
        <v>10.2606</v>
      </c>
      <c r="K572" s="67">
        <f>10.2654 * CHOOSE(CONTROL!$C$26, $C$13, 100%, $E$13)</f>
        <v>10.2654</v>
      </c>
    </row>
    <row r="573" spans="1:11" ht="15">
      <c r="A573" s="13">
        <v>58562</v>
      </c>
      <c r="B573" s="66">
        <f>8.6623 * CHOOSE(CONTROL!$C$26, $C$13, 100%, $E$13)</f>
        <v>8.6623000000000001</v>
      </c>
      <c r="C573" s="66">
        <f>8.6623 * CHOOSE(CONTROL!$C$26, $C$13, 100%, $E$13)</f>
        <v>8.6623000000000001</v>
      </c>
      <c r="D573" s="66">
        <f>8.6678 * CHOOSE(CONTROL!$C$26, $C$13, 100%, $E$13)</f>
        <v>8.6677999999999997</v>
      </c>
      <c r="E573" s="67">
        <f>10.315 * CHOOSE(CONTROL!$C$26, $C$13, 100%, $E$13)</f>
        <v>10.315</v>
      </c>
      <c r="F573" s="67">
        <f>10.315 * CHOOSE(CONTROL!$C$26, $C$13, 100%, $E$13)</f>
        <v>10.315</v>
      </c>
      <c r="G573" s="67">
        <f>10.3217 * CHOOSE(CONTROL!$C$26, $C$13, 100%, $E$13)</f>
        <v>10.3217</v>
      </c>
      <c r="H573" s="67">
        <f>18.7666* CHOOSE(CONTROL!$C$26, $C$13, 100%, $E$13)</f>
        <v>18.7666</v>
      </c>
      <c r="I573" s="67">
        <f>18.7734 * CHOOSE(CONTROL!$C$26, $C$13, 100%, $E$13)</f>
        <v>18.773399999999999</v>
      </c>
      <c r="J573" s="67">
        <f>10.315 * CHOOSE(CONTROL!$C$26, $C$13, 100%, $E$13)</f>
        <v>10.315</v>
      </c>
      <c r="K573" s="67">
        <f>10.3217 * CHOOSE(CONTROL!$C$26, $C$13, 100%, $E$13)</f>
        <v>10.3217</v>
      </c>
    </row>
    <row r="574" spans="1:11" ht="15">
      <c r="A574" s="13">
        <v>58593</v>
      </c>
      <c r="B574" s="66">
        <f>8.6684 * CHOOSE(CONTROL!$C$26, $C$13, 100%, $E$13)</f>
        <v>8.6684000000000001</v>
      </c>
      <c r="C574" s="66">
        <f>8.6684 * CHOOSE(CONTROL!$C$26, $C$13, 100%, $E$13)</f>
        <v>8.6684000000000001</v>
      </c>
      <c r="D574" s="66">
        <f>8.6739 * CHOOSE(CONTROL!$C$26, $C$13, 100%, $E$13)</f>
        <v>8.6738999999999997</v>
      </c>
      <c r="E574" s="67">
        <f>10.2649 * CHOOSE(CONTROL!$C$26, $C$13, 100%, $E$13)</f>
        <v>10.264900000000001</v>
      </c>
      <c r="F574" s="67">
        <f>10.2649 * CHOOSE(CONTROL!$C$26, $C$13, 100%, $E$13)</f>
        <v>10.264900000000001</v>
      </c>
      <c r="G574" s="67">
        <f>10.2716 * CHOOSE(CONTROL!$C$26, $C$13, 100%, $E$13)</f>
        <v>10.271599999999999</v>
      </c>
      <c r="H574" s="67">
        <f>18.8057* CHOOSE(CONTROL!$C$26, $C$13, 100%, $E$13)</f>
        <v>18.805700000000002</v>
      </c>
      <c r="I574" s="67">
        <f>18.8125 * CHOOSE(CONTROL!$C$26, $C$13, 100%, $E$13)</f>
        <v>18.8125</v>
      </c>
      <c r="J574" s="67">
        <f>10.2649 * CHOOSE(CONTROL!$C$26, $C$13, 100%, $E$13)</f>
        <v>10.264900000000001</v>
      </c>
      <c r="K574" s="67">
        <f>10.2716 * CHOOSE(CONTROL!$C$26, $C$13, 100%, $E$13)</f>
        <v>10.271599999999999</v>
      </c>
    </row>
    <row r="575" spans="1:11" ht="15">
      <c r="A575" s="13">
        <v>58623</v>
      </c>
      <c r="B575" s="66">
        <f>8.8035 * CHOOSE(CONTROL!$C$26, $C$13, 100%, $E$13)</f>
        <v>8.8034999999999997</v>
      </c>
      <c r="C575" s="66">
        <f>8.8035 * CHOOSE(CONTROL!$C$26, $C$13, 100%, $E$13)</f>
        <v>8.8034999999999997</v>
      </c>
      <c r="D575" s="66">
        <f>8.809 * CHOOSE(CONTROL!$C$26, $C$13, 100%, $E$13)</f>
        <v>8.8089999999999993</v>
      </c>
      <c r="E575" s="67">
        <f>10.4324 * CHOOSE(CONTROL!$C$26, $C$13, 100%, $E$13)</f>
        <v>10.432399999999999</v>
      </c>
      <c r="F575" s="67">
        <f>10.4324 * CHOOSE(CONTROL!$C$26, $C$13, 100%, $E$13)</f>
        <v>10.432399999999999</v>
      </c>
      <c r="G575" s="67">
        <f>10.4391 * CHOOSE(CONTROL!$C$26, $C$13, 100%, $E$13)</f>
        <v>10.4391</v>
      </c>
      <c r="H575" s="67">
        <f>18.8449* CHOOSE(CONTROL!$C$26, $C$13, 100%, $E$13)</f>
        <v>18.844899999999999</v>
      </c>
      <c r="I575" s="67">
        <f>18.8517 * CHOOSE(CONTROL!$C$26, $C$13, 100%, $E$13)</f>
        <v>18.851700000000001</v>
      </c>
      <c r="J575" s="67">
        <f>10.4324 * CHOOSE(CONTROL!$C$26, $C$13, 100%, $E$13)</f>
        <v>10.432399999999999</v>
      </c>
      <c r="K575" s="67">
        <f>10.4391 * CHOOSE(CONTROL!$C$26, $C$13, 100%, $E$13)</f>
        <v>10.4391</v>
      </c>
    </row>
    <row r="576" spans="1:11" ht="15">
      <c r="A576" s="13">
        <v>58654</v>
      </c>
      <c r="B576" s="66">
        <f>8.8102 * CHOOSE(CONTROL!$C$26, $C$13, 100%, $E$13)</f>
        <v>8.8102</v>
      </c>
      <c r="C576" s="66">
        <f>8.8102 * CHOOSE(CONTROL!$C$26, $C$13, 100%, $E$13)</f>
        <v>8.8102</v>
      </c>
      <c r="D576" s="66">
        <f>8.8157 * CHOOSE(CONTROL!$C$26, $C$13, 100%, $E$13)</f>
        <v>8.8156999999999996</v>
      </c>
      <c r="E576" s="67">
        <f>10.274 * CHOOSE(CONTROL!$C$26, $C$13, 100%, $E$13)</f>
        <v>10.273999999999999</v>
      </c>
      <c r="F576" s="67">
        <f>10.274 * CHOOSE(CONTROL!$C$26, $C$13, 100%, $E$13)</f>
        <v>10.273999999999999</v>
      </c>
      <c r="G576" s="67">
        <f>10.2808 * CHOOSE(CONTROL!$C$26, $C$13, 100%, $E$13)</f>
        <v>10.280799999999999</v>
      </c>
      <c r="H576" s="67">
        <f>18.8842* CHOOSE(CONTROL!$C$26, $C$13, 100%, $E$13)</f>
        <v>18.8842</v>
      </c>
      <c r="I576" s="67">
        <f>18.8909 * CHOOSE(CONTROL!$C$26, $C$13, 100%, $E$13)</f>
        <v>18.890899999999998</v>
      </c>
      <c r="J576" s="67">
        <f>10.274 * CHOOSE(CONTROL!$C$26, $C$13, 100%, $E$13)</f>
        <v>10.273999999999999</v>
      </c>
      <c r="K576" s="67">
        <f>10.2808 * CHOOSE(CONTROL!$C$26, $C$13, 100%, $E$13)</f>
        <v>10.280799999999999</v>
      </c>
    </row>
    <row r="577" spans="1:11" ht="15">
      <c r="A577" s="13">
        <v>58685</v>
      </c>
      <c r="B577" s="66">
        <f>8.8072 * CHOOSE(CONTROL!$C$26, $C$13, 100%, $E$13)</f>
        <v>8.8071999999999999</v>
      </c>
      <c r="C577" s="66">
        <f>8.8072 * CHOOSE(CONTROL!$C$26, $C$13, 100%, $E$13)</f>
        <v>8.8071999999999999</v>
      </c>
      <c r="D577" s="66">
        <f>8.8127 * CHOOSE(CONTROL!$C$26, $C$13, 100%, $E$13)</f>
        <v>8.8126999999999995</v>
      </c>
      <c r="E577" s="67">
        <f>10.2538 * CHOOSE(CONTROL!$C$26, $C$13, 100%, $E$13)</f>
        <v>10.2538</v>
      </c>
      <c r="F577" s="67">
        <f>10.2538 * CHOOSE(CONTROL!$C$26, $C$13, 100%, $E$13)</f>
        <v>10.2538</v>
      </c>
      <c r="G577" s="67">
        <f>10.2605 * CHOOSE(CONTROL!$C$26, $C$13, 100%, $E$13)</f>
        <v>10.2605</v>
      </c>
      <c r="H577" s="67">
        <f>18.9235* CHOOSE(CONTROL!$C$26, $C$13, 100%, $E$13)</f>
        <v>18.923500000000001</v>
      </c>
      <c r="I577" s="67">
        <f>18.9303 * CHOOSE(CONTROL!$C$26, $C$13, 100%, $E$13)</f>
        <v>18.930299999999999</v>
      </c>
      <c r="J577" s="67">
        <f>10.2538 * CHOOSE(CONTROL!$C$26, $C$13, 100%, $E$13)</f>
        <v>10.2538</v>
      </c>
      <c r="K577" s="67">
        <f>10.2605 * CHOOSE(CONTROL!$C$26, $C$13, 100%, $E$13)</f>
        <v>10.2605</v>
      </c>
    </row>
    <row r="578" spans="1:11" ht="15">
      <c r="A578" s="13">
        <v>58715</v>
      </c>
      <c r="B578" s="66">
        <f>8.8179 * CHOOSE(CONTROL!$C$26, $C$13, 100%, $E$13)</f>
        <v>8.8178999999999998</v>
      </c>
      <c r="C578" s="66">
        <f>8.8179 * CHOOSE(CONTROL!$C$26, $C$13, 100%, $E$13)</f>
        <v>8.8178999999999998</v>
      </c>
      <c r="D578" s="66">
        <f>8.8218 * CHOOSE(CONTROL!$C$26, $C$13, 100%, $E$13)</f>
        <v>8.8217999999999996</v>
      </c>
      <c r="E578" s="67">
        <f>10.3128 * CHOOSE(CONTROL!$C$26, $C$13, 100%, $E$13)</f>
        <v>10.312799999999999</v>
      </c>
      <c r="F578" s="67">
        <f>10.3128 * CHOOSE(CONTROL!$C$26, $C$13, 100%, $E$13)</f>
        <v>10.312799999999999</v>
      </c>
      <c r="G578" s="67">
        <f>10.3176 * CHOOSE(CONTROL!$C$26, $C$13, 100%, $E$13)</f>
        <v>10.317600000000001</v>
      </c>
      <c r="H578" s="67">
        <f>18.9629* CHOOSE(CONTROL!$C$26, $C$13, 100%, $E$13)</f>
        <v>18.962900000000001</v>
      </c>
      <c r="I578" s="67">
        <f>18.9677 * CHOOSE(CONTROL!$C$26, $C$13, 100%, $E$13)</f>
        <v>18.967700000000001</v>
      </c>
      <c r="J578" s="67">
        <f>10.3128 * CHOOSE(CONTROL!$C$26, $C$13, 100%, $E$13)</f>
        <v>10.312799999999999</v>
      </c>
      <c r="K578" s="67">
        <f>10.3176 * CHOOSE(CONTROL!$C$26, $C$13, 100%, $E$13)</f>
        <v>10.317600000000001</v>
      </c>
    </row>
    <row r="579" spans="1:11" ht="15">
      <c r="A579" s="13">
        <v>58746</v>
      </c>
      <c r="B579" s="66">
        <f>8.821 * CHOOSE(CONTROL!$C$26, $C$13, 100%, $E$13)</f>
        <v>8.8209999999999997</v>
      </c>
      <c r="C579" s="66">
        <f>8.821 * CHOOSE(CONTROL!$C$26, $C$13, 100%, $E$13)</f>
        <v>8.8209999999999997</v>
      </c>
      <c r="D579" s="66">
        <f>8.8248 * CHOOSE(CONTROL!$C$26, $C$13, 100%, $E$13)</f>
        <v>8.8247999999999998</v>
      </c>
      <c r="E579" s="67">
        <f>10.3512 * CHOOSE(CONTROL!$C$26, $C$13, 100%, $E$13)</f>
        <v>10.3512</v>
      </c>
      <c r="F579" s="67">
        <f>10.3512 * CHOOSE(CONTROL!$C$26, $C$13, 100%, $E$13)</f>
        <v>10.3512</v>
      </c>
      <c r="G579" s="67">
        <f>10.3559 * CHOOSE(CONTROL!$C$26, $C$13, 100%, $E$13)</f>
        <v>10.3559</v>
      </c>
      <c r="H579" s="67">
        <f>19.0024* CHOOSE(CONTROL!$C$26, $C$13, 100%, $E$13)</f>
        <v>19.002400000000002</v>
      </c>
      <c r="I579" s="67">
        <f>19.0072 * CHOOSE(CONTROL!$C$26, $C$13, 100%, $E$13)</f>
        <v>19.007200000000001</v>
      </c>
      <c r="J579" s="67">
        <f>10.3512 * CHOOSE(CONTROL!$C$26, $C$13, 100%, $E$13)</f>
        <v>10.3512</v>
      </c>
      <c r="K579" s="67">
        <f>10.3559 * CHOOSE(CONTROL!$C$26, $C$13, 100%, $E$13)</f>
        <v>10.3559</v>
      </c>
    </row>
    <row r="580" spans="1:11" ht="15">
      <c r="A580" s="13">
        <v>58776</v>
      </c>
      <c r="B580" s="66">
        <f>8.821 * CHOOSE(CONTROL!$C$26, $C$13, 100%, $E$13)</f>
        <v>8.8209999999999997</v>
      </c>
      <c r="C580" s="66">
        <f>8.821 * CHOOSE(CONTROL!$C$26, $C$13, 100%, $E$13)</f>
        <v>8.8209999999999997</v>
      </c>
      <c r="D580" s="66">
        <f>8.8248 * CHOOSE(CONTROL!$C$26, $C$13, 100%, $E$13)</f>
        <v>8.8247999999999998</v>
      </c>
      <c r="E580" s="67">
        <f>10.2606 * CHOOSE(CONTROL!$C$26, $C$13, 100%, $E$13)</f>
        <v>10.2606</v>
      </c>
      <c r="F580" s="67">
        <f>10.2606 * CHOOSE(CONTROL!$C$26, $C$13, 100%, $E$13)</f>
        <v>10.2606</v>
      </c>
      <c r="G580" s="67">
        <f>10.2654 * CHOOSE(CONTROL!$C$26, $C$13, 100%, $E$13)</f>
        <v>10.2654</v>
      </c>
      <c r="H580" s="67">
        <f>19.042* CHOOSE(CONTROL!$C$26, $C$13, 100%, $E$13)</f>
        <v>19.042000000000002</v>
      </c>
      <c r="I580" s="67">
        <f>19.0468 * CHOOSE(CONTROL!$C$26, $C$13, 100%, $E$13)</f>
        <v>19.046800000000001</v>
      </c>
      <c r="J580" s="67">
        <f>10.2606 * CHOOSE(CONTROL!$C$26, $C$13, 100%, $E$13)</f>
        <v>10.2606</v>
      </c>
      <c r="K580" s="67">
        <f>10.2654 * CHOOSE(CONTROL!$C$26, $C$13, 100%, $E$13)</f>
        <v>10.2654</v>
      </c>
    </row>
    <row r="581" spans="1:11" ht="15">
      <c r="A581" s="13">
        <v>58807</v>
      </c>
      <c r="B581" s="66">
        <f>8.8962 * CHOOSE(CONTROL!$C$26, $C$13, 100%, $E$13)</f>
        <v>8.8962000000000003</v>
      </c>
      <c r="C581" s="66">
        <f>8.8962 * CHOOSE(CONTROL!$C$26, $C$13, 100%, $E$13)</f>
        <v>8.8962000000000003</v>
      </c>
      <c r="D581" s="66">
        <f>8.9 * CHOOSE(CONTROL!$C$26, $C$13, 100%, $E$13)</f>
        <v>8.9</v>
      </c>
      <c r="E581" s="67">
        <f>10.409 * CHOOSE(CONTROL!$C$26, $C$13, 100%, $E$13)</f>
        <v>10.409000000000001</v>
      </c>
      <c r="F581" s="67">
        <f>10.409 * CHOOSE(CONTROL!$C$26, $C$13, 100%, $E$13)</f>
        <v>10.409000000000001</v>
      </c>
      <c r="G581" s="67">
        <f>10.4138 * CHOOSE(CONTROL!$C$26, $C$13, 100%, $E$13)</f>
        <v>10.4138</v>
      </c>
      <c r="H581" s="67">
        <f>19.0817* CHOOSE(CONTROL!$C$26, $C$13, 100%, $E$13)</f>
        <v>19.081700000000001</v>
      </c>
      <c r="I581" s="67">
        <f>19.0865 * CHOOSE(CONTROL!$C$26, $C$13, 100%, $E$13)</f>
        <v>19.086500000000001</v>
      </c>
      <c r="J581" s="67">
        <f>10.409 * CHOOSE(CONTROL!$C$26, $C$13, 100%, $E$13)</f>
        <v>10.409000000000001</v>
      </c>
      <c r="K581" s="67">
        <f>10.4138 * CHOOSE(CONTROL!$C$26, $C$13, 100%, $E$13)</f>
        <v>10.4138</v>
      </c>
    </row>
    <row r="582" spans="1:11" ht="15">
      <c r="A582" s="13">
        <v>58838</v>
      </c>
      <c r="B582" s="66">
        <f>8.8931 * CHOOSE(CONTROL!$C$26, $C$13, 100%, $E$13)</f>
        <v>8.8931000000000004</v>
      </c>
      <c r="C582" s="66">
        <f>8.8931 * CHOOSE(CONTROL!$C$26, $C$13, 100%, $E$13)</f>
        <v>8.8931000000000004</v>
      </c>
      <c r="D582" s="66">
        <f>8.897 * CHOOSE(CONTROL!$C$26, $C$13, 100%, $E$13)</f>
        <v>8.8970000000000002</v>
      </c>
      <c r="E582" s="67">
        <f>10.2309 * CHOOSE(CONTROL!$C$26, $C$13, 100%, $E$13)</f>
        <v>10.2309</v>
      </c>
      <c r="F582" s="67">
        <f>10.2309 * CHOOSE(CONTROL!$C$26, $C$13, 100%, $E$13)</f>
        <v>10.2309</v>
      </c>
      <c r="G582" s="67">
        <f>10.2357 * CHOOSE(CONTROL!$C$26, $C$13, 100%, $E$13)</f>
        <v>10.2357</v>
      </c>
      <c r="H582" s="67">
        <f>19.1215* CHOOSE(CONTROL!$C$26, $C$13, 100%, $E$13)</f>
        <v>19.121500000000001</v>
      </c>
      <c r="I582" s="67">
        <f>19.1262 * CHOOSE(CONTROL!$C$26, $C$13, 100%, $E$13)</f>
        <v>19.126200000000001</v>
      </c>
      <c r="J582" s="67">
        <f>10.2309 * CHOOSE(CONTROL!$C$26, $C$13, 100%, $E$13)</f>
        <v>10.2309</v>
      </c>
      <c r="K582" s="67">
        <f>10.2357 * CHOOSE(CONTROL!$C$26, $C$13, 100%, $E$13)</f>
        <v>10.2357</v>
      </c>
    </row>
    <row r="583" spans="1:11" ht="15">
      <c r="A583" s="13">
        <v>58866</v>
      </c>
      <c r="B583" s="66">
        <f>8.8901 * CHOOSE(CONTROL!$C$26, $C$13, 100%, $E$13)</f>
        <v>8.8901000000000003</v>
      </c>
      <c r="C583" s="66">
        <f>8.8901 * CHOOSE(CONTROL!$C$26, $C$13, 100%, $E$13)</f>
        <v>8.8901000000000003</v>
      </c>
      <c r="D583" s="66">
        <f>8.894 * CHOOSE(CONTROL!$C$26, $C$13, 100%, $E$13)</f>
        <v>8.8940000000000001</v>
      </c>
      <c r="E583" s="67">
        <f>10.3675 * CHOOSE(CONTROL!$C$26, $C$13, 100%, $E$13)</f>
        <v>10.3675</v>
      </c>
      <c r="F583" s="67">
        <f>10.3675 * CHOOSE(CONTROL!$C$26, $C$13, 100%, $E$13)</f>
        <v>10.3675</v>
      </c>
      <c r="G583" s="67">
        <f>10.3723 * CHOOSE(CONTROL!$C$26, $C$13, 100%, $E$13)</f>
        <v>10.372299999999999</v>
      </c>
      <c r="H583" s="67">
        <f>19.1613* CHOOSE(CONTROL!$C$26, $C$13, 100%, $E$13)</f>
        <v>19.161300000000001</v>
      </c>
      <c r="I583" s="67">
        <f>19.1661 * CHOOSE(CONTROL!$C$26, $C$13, 100%, $E$13)</f>
        <v>19.1661</v>
      </c>
      <c r="J583" s="67">
        <f>10.3675 * CHOOSE(CONTROL!$C$26, $C$13, 100%, $E$13)</f>
        <v>10.3675</v>
      </c>
      <c r="K583" s="67">
        <f>10.3723 * CHOOSE(CONTROL!$C$26, $C$13, 100%, $E$13)</f>
        <v>10.372299999999999</v>
      </c>
    </row>
    <row r="584" spans="1:11" ht="15">
      <c r="A584" s="13">
        <v>58897</v>
      </c>
      <c r="B584" s="66">
        <f>8.8919 * CHOOSE(CONTROL!$C$26, $C$13, 100%, $E$13)</f>
        <v>8.8918999999999997</v>
      </c>
      <c r="C584" s="66">
        <f>8.8919 * CHOOSE(CONTROL!$C$26, $C$13, 100%, $E$13)</f>
        <v>8.8918999999999997</v>
      </c>
      <c r="D584" s="66">
        <f>8.8958 * CHOOSE(CONTROL!$C$26, $C$13, 100%, $E$13)</f>
        <v>8.8957999999999995</v>
      </c>
      <c r="E584" s="67">
        <f>10.5123 * CHOOSE(CONTROL!$C$26, $C$13, 100%, $E$13)</f>
        <v>10.5123</v>
      </c>
      <c r="F584" s="67">
        <f>10.5123 * CHOOSE(CONTROL!$C$26, $C$13, 100%, $E$13)</f>
        <v>10.5123</v>
      </c>
      <c r="G584" s="67">
        <f>10.517 * CHOOSE(CONTROL!$C$26, $C$13, 100%, $E$13)</f>
        <v>10.516999999999999</v>
      </c>
      <c r="H584" s="67">
        <f>19.2012* CHOOSE(CONTROL!$C$26, $C$13, 100%, $E$13)</f>
        <v>19.2012</v>
      </c>
      <c r="I584" s="67">
        <f>19.206 * CHOOSE(CONTROL!$C$26, $C$13, 100%, $E$13)</f>
        <v>19.206</v>
      </c>
      <c r="J584" s="67">
        <f>10.5123 * CHOOSE(CONTROL!$C$26, $C$13, 100%, $E$13)</f>
        <v>10.5123</v>
      </c>
      <c r="K584" s="67">
        <f>10.517 * CHOOSE(CONTROL!$C$26, $C$13, 100%, $E$13)</f>
        <v>10.516999999999999</v>
      </c>
    </row>
    <row r="585" spans="1:11" ht="15">
      <c r="A585" s="13">
        <v>58927</v>
      </c>
      <c r="B585" s="66">
        <f>8.8919 * CHOOSE(CONTROL!$C$26, $C$13, 100%, $E$13)</f>
        <v>8.8918999999999997</v>
      </c>
      <c r="C585" s="66">
        <f>8.8919 * CHOOSE(CONTROL!$C$26, $C$13, 100%, $E$13)</f>
        <v>8.8918999999999997</v>
      </c>
      <c r="D585" s="66">
        <f>8.8974 * CHOOSE(CONTROL!$C$26, $C$13, 100%, $E$13)</f>
        <v>8.8973999999999993</v>
      </c>
      <c r="E585" s="67">
        <f>10.5681 * CHOOSE(CONTROL!$C$26, $C$13, 100%, $E$13)</f>
        <v>10.568099999999999</v>
      </c>
      <c r="F585" s="67">
        <f>10.5681 * CHOOSE(CONTROL!$C$26, $C$13, 100%, $E$13)</f>
        <v>10.568099999999999</v>
      </c>
      <c r="G585" s="67">
        <f>10.5749 * CHOOSE(CONTROL!$C$26, $C$13, 100%, $E$13)</f>
        <v>10.5749</v>
      </c>
      <c r="H585" s="67">
        <f>19.2412* CHOOSE(CONTROL!$C$26, $C$13, 100%, $E$13)</f>
        <v>19.241199999999999</v>
      </c>
      <c r="I585" s="67">
        <f>19.248 * CHOOSE(CONTROL!$C$26, $C$13, 100%, $E$13)</f>
        <v>19.248000000000001</v>
      </c>
      <c r="J585" s="67">
        <f>10.5681 * CHOOSE(CONTROL!$C$26, $C$13, 100%, $E$13)</f>
        <v>10.568099999999999</v>
      </c>
      <c r="K585" s="67">
        <f>10.5749 * CHOOSE(CONTROL!$C$26, $C$13, 100%, $E$13)</f>
        <v>10.5749</v>
      </c>
    </row>
    <row r="586" spans="1:11" ht="15">
      <c r="A586" s="13">
        <v>58958</v>
      </c>
      <c r="B586" s="66">
        <f>8.898 * CHOOSE(CONTROL!$C$26, $C$13, 100%, $E$13)</f>
        <v>8.8979999999999997</v>
      </c>
      <c r="C586" s="66">
        <f>8.898 * CHOOSE(CONTROL!$C$26, $C$13, 100%, $E$13)</f>
        <v>8.8979999999999997</v>
      </c>
      <c r="D586" s="66">
        <f>8.9035 * CHOOSE(CONTROL!$C$26, $C$13, 100%, $E$13)</f>
        <v>8.9034999999999993</v>
      </c>
      <c r="E586" s="67">
        <f>10.5165 * CHOOSE(CONTROL!$C$26, $C$13, 100%, $E$13)</f>
        <v>10.516500000000001</v>
      </c>
      <c r="F586" s="67">
        <f>10.5165 * CHOOSE(CONTROL!$C$26, $C$13, 100%, $E$13)</f>
        <v>10.516500000000001</v>
      </c>
      <c r="G586" s="67">
        <f>10.5233 * CHOOSE(CONTROL!$C$26, $C$13, 100%, $E$13)</f>
        <v>10.523300000000001</v>
      </c>
      <c r="H586" s="67">
        <f>19.2813* CHOOSE(CONTROL!$C$26, $C$13, 100%, $E$13)</f>
        <v>19.281300000000002</v>
      </c>
      <c r="I586" s="67">
        <f>19.288 * CHOOSE(CONTROL!$C$26, $C$13, 100%, $E$13)</f>
        <v>19.288</v>
      </c>
      <c r="J586" s="67">
        <f>10.5165 * CHOOSE(CONTROL!$C$26, $C$13, 100%, $E$13)</f>
        <v>10.516500000000001</v>
      </c>
      <c r="K586" s="67">
        <f>10.5233 * CHOOSE(CONTROL!$C$26, $C$13, 100%, $E$13)</f>
        <v>10.523300000000001</v>
      </c>
    </row>
    <row r="587" spans="1:11" ht="15">
      <c r="A587" s="13">
        <v>58988</v>
      </c>
      <c r="B587" s="66">
        <f>9.0365 * CHOOSE(CONTROL!$C$26, $C$13, 100%, $E$13)</f>
        <v>9.0365000000000002</v>
      </c>
      <c r="C587" s="66">
        <f>9.0365 * CHOOSE(CONTROL!$C$26, $C$13, 100%, $E$13)</f>
        <v>9.0365000000000002</v>
      </c>
      <c r="D587" s="66">
        <f>9.042 * CHOOSE(CONTROL!$C$26, $C$13, 100%, $E$13)</f>
        <v>9.0419999999999998</v>
      </c>
      <c r="E587" s="67">
        <f>10.6879 * CHOOSE(CONTROL!$C$26, $C$13, 100%, $E$13)</f>
        <v>10.687900000000001</v>
      </c>
      <c r="F587" s="67">
        <f>10.6879 * CHOOSE(CONTROL!$C$26, $C$13, 100%, $E$13)</f>
        <v>10.687900000000001</v>
      </c>
      <c r="G587" s="67">
        <f>10.6946 * CHOOSE(CONTROL!$C$26, $C$13, 100%, $E$13)</f>
        <v>10.694599999999999</v>
      </c>
      <c r="H587" s="67">
        <f>19.3215* CHOOSE(CONTROL!$C$26, $C$13, 100%, $E$13)</f>
        <v>19.3215</v>
      </c>
      <c r="I587" s="67">
        <f>19.3282 * CHOOSE(CONTROL!$C$26, $C$13, 100%, $E$13)</f>
        <v>19.328199999999999</v>
      </c>
      <c r="J587" s="67">
        <f>10.6879 * CHOOSE(CONTROL!$C$26, $C$13, 100%, $E$13)</f>
        <v>10.687900000000001</v>
      </c>
      <c r="K587" s="67">
        <f>10.6946 * CHOOSE(CONTROL!$C$26, $C$13, 100%, $E$13)</f>
        <v>10.694599999999999</v>
      </c>
    </row>
    <row r="588" spans="1:11" ht="15">
      <c r="A588" s="13">
        <v>59019</v>
      </c>
      <c r="B588" s="66">
        <f>9.0432 * CHOOSE(CONTROL!$C$26, $C$13, 100%, $E$13)</f>
        <v>9.0432000000000006</v>
      </c>
      <c r="C588" s="66">
        <f>9.0432 * CHOOSE(CONTROL!$C$26, $C$13, 100%, $E$13)</f>
        <v>9.0432000000000006</v>
      </c>
      <c r="D588" s="66">
        <f>9.0487 * CHOOSE(CONTROL!$C$26, $C$13, 100%, $E$13)</f>
        <v>9.0487000000000002</v>
      </c>
      <c r="E588" s="67">
        <f>10.5249 * CHOOSE(CONTROL!$C$26, $C$13, 100%, $E$13)</f>
        <v>10.524900000000001</v>
      </c>
      <c r="F588" s="67">
        <f>10.5249 * CHOOSE(CONTROL!$C$26, $C$13, 100%, $E$13)</f>
        <v>10.524900000000001</v>
      </c>
      <c r="G588" s="67">
        <f>10.5317 * CHOOSE(CONTROL!$C$26, $C$13, 100%, $E$13)</f>
        <v>10.531700000000001</v>
      </c>
      <c r="H588" s="67">
        <f>19.3617* CHOOSE(CONTROL!$C$26, $C$13, 100%, $E$13)</f>
        <v>19.361699999999999</v>
      </c>
      <c r="I588" s="67">
        <f>19.3685 * CHOOSE(CONTROL!$C$26, $C$13, 100%, $E$13)</f>
        <v>19.368500000000001</v>
      </c>
      <c r="J588" s="67">
        <f>10.5249 * CHOOSE(CONTROL!$C$26, $C$13, 100%, $E$13)</f>
        <v>10.524900000000001</v>
      </c>
      <c r="K588" s="67">
        <f>10.5317 * CHOOSE(CONTROL!$C$26, $C$13, 100%, $E$13)</f>
        <v>10.531700000000001</v>
      </c>
    </row>
    <row r="589" spans="1:11" ht="15">
      <c r="A589" s="13">
        <v>59050</v>
      </c>
      <c r="B589" s="66">
        <f>9.0401 * CHOOSE(CONTROL!$C$26, $C$13, 100%, $E$13)</f>
        <v>9.0401000000000007</v>
      </c>
      <c r="C589" s="66">
        <f>9.0401 * CHOOSE(CONTROL!$C$26, $C$13, 100%, $E$13)</f>
        <v>9.0401000000000007</v>
      </c>
      <c r="D589" s="66">
        <f>9.0456 * CHOOSE(CONTROL!$C$26, $C$13, 100%, $E$13)</f>
        <v>9.0456000000000003</v>
      </c>
      <c r="E589" s="67">
        <f>10.5042 * CHOOSE(CONTROL!$C$26, $C$13, 100%, $E$13)</f>
        <v>10.504200000000001</v>
      </c>
      <c r="F589" s="67">
        <f>10.5042 * CHOOSE(CONTROL!$C$26, $C$13, 100%, $E$13)</f>
        <v>10.504200000000001</v>
      </c>
      <c r="G589" s="67">
        <f>10.5109 * CHOOSE(CONTROL!$C$26, $C$13, 100%, $E$13)</f>
        <v>10.510899999999999</v>
      </c>
      <c r="H589" s="67">
        <f>19.4021* CHOOSE(CONTROL!$C$26, $C$13, 100%, $E$13)</f>
        <v>19.402100000000001</v>
      </c>
      <c r="I589" s="67">
        <f>19.4088 * CHOOSE(CONTROL!$C$26, $C$13, 100%, $E$13)</f>
        <v>19.408799999999999</v>
      </c>
      <c r="J589" s="67">
        <f>10.5042 * CHOOSE(CONTROL!$C$26, $C$13, 100%, $E$13)</f>
        <v>10.504200000000001</v>
      </c>
      <c r="K589" s="67">
        <f>10.5109 * CHOOSE(CONTROL!$C$26, $C$13, 100%, $E$13)</f>
        <v>10.510899999999999</v>
      </c>
    </row>
    <row r="590" spans="1:11" ht="15">
      <c r="A590" s="13">
        <v>59080</v>
      </c>
      <c r="B590" s="66">
        <f>9.0516 * CHOOSE(CONTROL!$C$26, $C$13, 100%, $E$13)</f>
        <v>9.0516000000000005</v>
      </c>
      <c r="C590" s="66">
        <f>9.0516 * CHOOSE(CONTROL!$C$26, $C$13, 100%, $E$13)</f>
        <v>9.0516000000000005</v>
      </c>
      <c r="D590" s="66">
        <f>9.0555 * CHOOSE(CONTROL!$C$26, $C$13, 100%, $E$13)</f>
        <v>9.0555000000000003</v>
      </c>
      <c r="E590" s="67">
        <f>10.5653 * CHOOSE(CONTROL!$C$26, $C$13, 100%, $E$13)</f>
        <v>10.565300000000001</v>
      </c>
      <c r="F590" s="67">
        <f>10.5653 * CHOOSE(CONTROL!$C$26, $C$13, 100%, $E$13)</f>
        <v>10.565300000000001</v>
      </c>
      <c r="G590" s="67">
        <f>10.57 * CHOOSE(CONTROL!$C$26, $C$13, 100%, $E$13)</f>
        <v>10.57</v>
      </c>
      <c r="H590" s="67">
        <f>19.4425* CHOOSE(CONTROL!$C$26, $C$13, 100%, $E$13)</f>
        <v>19.442499999999999</v>
      </c>
      <c r="I590" s="67">
        <f>19.4473 * CHOOSE(CONTROL!$C$26, $C$13, 100%, $E$13)</f>
        <v>19.447299999999998</v>
      </c>
      <c r="J590" s="67">
        <f>10.5653 * CHOOSE(CONTROL!$C$26, $C$13, 100%, $E$13)</f>
        <v>10.565300000000001</v>
      </c>
      <c r="K590" s="67">
        <f>10.57 * CHOOSE(CONTROL!$C$26, $C$13, 100%, $E$13)</f>
        <v>10.57</v>
      </c>
    </row>
    <row r="591" spans="1:11" ht="15">
      <c r="A591" s="13">
        <v>59111</v>
      </c>
      <c r="B591" s="66">
        <f>9.0547 * CHOOSE(CONTROL!$C$26, $C$13, 100%, $E$13)</f>
        <v>9.0547000000000004</v>
      </c>
      <c r="C591" s="66">
        <f>9.0547 * CHOOSE(CONTROL!$C$26, $C$13, 100%, $E$13)</f>
        <v>9.0547000000000004</v>
      </c>
      <c r="D591" s="66">
        <f>9.0585 * CHOOSE(CONTROL!$C$26, $C$13, 100%, $E$13)</f>
        <v>9.0585000000000004</v>
      </c>
      <c r="E591" s="67">
        <f>10.6046 * CHOOSE(CONTROL!$C$26, $C$13, 100%, $E$13)</f>
        <v>10.6046</v>
      </c>
      <c r="F591" s="67">
        <f>10.6046 * CHOOSE(CONTROL!$C$26, $C$13, 100%, $E$13)</f>
        <v>10.6046</v>
      </c>
      <c r="G591" s="67">
        <f>10.6094 * CHOOSE(CONTROL!$C$26, $C$13, 100%, $E$13)</f>
        <v>10.609400000000001</v>
      </c>
      <c r="H591" s="67">
        <f>19.483* CHOOSE(CONTROL!$C$26, $C$13, 100%, $E$13)</f>
        <v>19.483000000000001</v>
      </c>
      <c r="I591" s="67">
        <f>19.4878 * CHOOSE(CONTROL!$C$26, $C$13, 100%, $E$13)</f>
        <v>19.4878</v>
      </c>
      <c r="J591" s="67">
        <f>10.6046 * CHOOSE(CONTROL!$C$26, $C$13, 100%, $E$13)</f>
        <v>10.6046</v>
      </c>
      <c r="K591" s="67">
        <f>10.6094 * CHOOSE(CONTROL!$C$26, $C$13, 100%, $E$13)</f>
        <v>10.609400000000001</v>
      </c>
    </row>
    <row r="592" spans="1:11" ht="15">
      <c r="A592" s="13">
        <v>59141</v>
      </c>
      <c r="B592" s="66">
        <f>9.0547 * CHOOSE(CONTROL!$C$26, $C$13, 100%, $E$13)</f>
        <v>9.0547000000000004</v>
      </c>
      <c r="C592" s="66">
        <f>9.0547 * CHOOSE(CONTROL!$C$26, $C$13, 100%, $E$13)</f>
        <v>9.0547000000000004</v>
      </c>
      <c r="D592" s="66">
        <f>9.0585 * CHOOSE(CONTROL!$C$26, $C$13, 100%, $E$13)</f>
        <v>9.0585000000000004</v>
      </c>
      <c r="E592" s="67">
        <f>10.5115 * CHOOSE(CONTROL!$C$26, $C$13, 100%, $E$13)</f>
        <v>10.5115</v>
      </c>
      <c r="F592" s="67">
        <f>10.5115 * CHOOSE(CONTROL!$C$26, $C$13, 100%, $E$13)</f>
        <v>10.5115</v>
      </c>
      <c r="G592" s="67">
        <f>10.5163 * CHOOSE(CONTROL!$C$26, $C$13, 100%, $E$13)</f>
        <v>10.516299999999999</v>
      </c>
      <c r="H592" s="67">
        <f>19.5236* CHOOSE(CONTROL!$C$26, $C$13, 100%, $E$13)</f>
        <v>19.523599999999998</v>
      </c>
      <c r="I592" s="67">
        <f>19.5283 * CHOOSE(CONTROL!$C$26, $C$13, 100%, $E$13)</f>
        <v>19.528300000000002</v>
      </c>
      <c r="J592" s="67">
        <f>10.5115 * CHOOSE(CONTROL!$C$26, $C$13, 100%, $E$13)</f>
        <v>10.5115</v>
      </c>
      <c r="K592" s="67">
        <f>10.5163 * CHOOSE(CONTROL!$C$26, $C$13, 100%, $E$13)</f>
        <v>10.516299999999999</v>
      </c>
    </row>
    <row r="593" spans="1:11" ht="15">
      <c r="A593" s="13">
        <v>59172</v>
      </c>
      <c r="B593" s="66">
        <f>9.1318 * CHOOSE(CONTROL!$C$26, $C$13, 100%, $E$13)</f>
        <v>9.1318000000000001</v>
      </c>
      <c r="C593" s="66">
        <f>9.1318 * CHOOSE(CONTROL!$C$26, $C$13, 100%, $E$13)</f>
        <v>9.1318000000000001</v>
      </c>
      <c r="D593" s="66">
        <f>9.1356 * CHOOSE(CONTROL!$C$26, $C$13, 100%, $E$13)</f>
        <v>9.1356000000000002</v>
      </c>
      <c r="E593" s="67">
        <f>10.6637 * CHOOSE(CONTROL!$C$26, $C$13, 100%, $E$13)</f>
        <v>10.6637</v>
      </c>
      <c r="F593" s="67">
        <f>10.6637 * CHOOSE(CONTROL!$C$26, $C$13, 100%, $E$13)</f>
        <v>10.6637</v>
      </c>
      <c r="G593" s="67">
        <f>10.6685 * CHOOSE(CONTROL!$C$26, $C$13, 100%, $E$13)</f>
        <v>10.6685</v>
      </c>
      <c r="H593" s="67">
        <f>19.5643* CHOOSE(CONTROL!$C$26, $C$13, 100%, $E$13)</f>
        <v>19.564299999999999</v>
      </c>
      <c r="I593" s="67">
        <f>19.569 * CHOOSE(CONTROL!$C$26, $C$13, 100%, $E$13)</f>
        <v>19.568999999999999</v>
      </c>
      <c r="J593" s="67">
        <f>10.6637 * CHOOSE(CONTROL!$C$26, $C$13, 100%, $E$13)</f>
        <v>10.6637</v>
      </c>
      <c r="K593" s="67">
        <f>10.6685 * CHOOSE(CONTROL!$C$26, $C$13, 100%, $E$13)</f>
        <v>10.6685</v>
      </c>
    </row>
    <row r="594" spans="1:11" ht="15">
      <c r="A594" s="13">
        <v>59203</v>
      </c>
      <c r="B594" s="66">
        <f>9.1287 * CHOOSE(CONTROL!$C$26, $C$13, 100%, $E$13)</f>
        <v>9.1287000000000003</v>
      </c>
      <c r="C594" s="66">
        <f>9.1287 * CHOOSE(CONTROL!$C$26, $C$13, 100%, $E$13)</f>
        <v>9.1287000000000003</v>
      </c>
      <c r="D594" s="66">
        <f>9.1326 * CHOOSE(CONTROL!$C$26, $C$13, 100%, $E$13)</f>
        <v>9.1326000000000001</v>
      </c>
      <c r="E594" s="67">
        <f>10.4807 * CHOOSE(CONTROL!$C$26, $C$13, 100%, $E$13)</f>
        <v>10.480700000000001</v>
      </c>
      <c r="F594" s="67">
        <f>10.4807 * CHOOSE(CONTROL!$C$26, $C$13, 100%, $E$13)</f>
        <v>10.480700000000001</v>
      </c>
      <c r="G594" s="67">
        <f>10.4855 * CHOOSE(CONTROL!$C$26, $C$13, 100%, $E$13)</f>
        <v>10.4855</v>
      </c>
      <c r="H594" s="67">
        <f>19.605* CHOOSE(CONTROL!$C$26, $C$13, 100%, $E$13)</f>
        <v>19.605</v>
      </c>
      <c r="I594" s="67">
        <f>19.6098 * CHOOSE(CONTROL!$C$26, $C$13, 100%, $E$13)</f>
        <v>19.6098</v>
      </c>
      <c r="J594" s="67">
        <f>10.4807 * CHOOSE(CONTROL!$C$26, $C$13, 100%, $E$13)</f>
        <v>10.480700000000001</v>
      </c>
      <c r="K594" s="67">
        <f>10.4855 * CHOOSE(CONTROL!$C$26, $C$13, 100%, $E$13)</f>
        <v>10.4855</v>
      </c>
    </row>
    <row r="595" spans="1:11" ht="15">
      <c r="A595" s="13">
        <v>59231</v>
      </c>
      <c r="B595" s="66">
        <f>9.1257 * CHOOSE(CONTROL!$C$26, $C$13, 100%, $E$13)</f>
        <v>9.1257000000000001</v>
      </c>
      <c r="C595" s="66">
        <f>9.1257 * CHOOSE(CONTROL!$C$26, $C$13, 100%, $E$13)</f>
        <v>9.1257000000000001</v>
      </c>
      <c r="D595" s="66">
        <f>9.1295 * CHOOSE(CONTROL!$C$26, $C$13, 100%, $E$13)</f>
        <v>9.1295000000000002</v>
      </c>
      <c r="E595" s="67">
        <f>10.6212 * CHOOSE(CONTROL!$C$26, $C$13, 100%, $E$13)</f>
        <v>10.6212</v>
      </c>
      <c r="F595" s="67">
        <f>10.6212 * CHOOSE(CONTROL!$C$26, $C$13, 100%, $E$13)</f>
        <v>10.6212</v>
      </c>
      <c r="G595" s="67">
        <f>10.626 * CHOOSE(CONTROL!$C$26, $C$13, 100%, $E$13)</f>
        <v>10.625999999999999</v>
      </c>
      <c r="H595" s="67">
        <f>19.6459* CHOOSE(CONTROL!$C$26, $C$13, 100%, $E$13)</f>
        <v>19.645900000000001</v>
      </c>
      <c r="I595" s="67">
        <f>19.6506 * CHOOSE(CONTROL!$C$26, $C$13, 100%, $E$13)</f>
        <v>19.650600000000001</v>
      </c>
      <c r="J595" s="67">
        <f>10.6212 * CHOOSE(CONTROL!$C$26, $C$13, 100%, $E$13)</f>
        <v>10.6212</v>
      </c>
      <c r="K595" s="67">
        <f>10.626 * CHOOSE(CONTROL!$C$26, $C$13, 100%, $E$13)</f>
        <v>10.625999999999999</v>
      </c>
    </row>
    <row r="596" spans="1:11" ht="15">
      <c r="A596" s="13">
        <v>59262</v>
      </c>
      <c r="B596" s="66">
        <f>9.1277 * CHOOSE(CONTROL!$C$26, $C$13, 100%, $E$13)</f>
        <v>9.1277000000000008</v>
      </c>
      <c r="C596" s="66">
        <f>9.1277 * CHOOSE(CONTROL!$C$26, $C$13, 100%, $E$13)</f>
        <v>9.1277000000000008</v>
      </c>
      <c r="D596" s="66">
        <f>9.1315 * CHOOSE(CONTROL!$C$26, $C$13, 100%, $E$13)</f>
        <v>9.1315000000000008</v>
      </c>
      <c r="E596" s="67">
        <f>10.7701 * CHOOSE(CONTROL!$C$26, $C$13, 100%, $E$13)</f>
        <v>10.770099999999999</v>
      </c>
      <c r="F596" s="67">
        <f>10.7701 * CHOOSE(CONTROL!$C$26, $C$13, 100%, $E$13)</f>
        <v>10.770099999999999</v>
      </c>
      <c r="G596" s="67">
        <f>10.7749 * CHOOSE(CONTROL!$C$26, $C$13, 100%, $E$13)</f>
        <v>10.774900000000001</v>
      </c>
      <c r="H596" s="67">
        <f>19.6868* CHOOSE(CONTROL!$C$26, $C$13, 100%, $E$13)</f>
        <v>19.686800000000002</v>
      </c>
      <c r="I596" s="67">
        <f>19.6916 * CHOOSE(CONTROL!$C$26, $C$13, 100%, $E$13)</f>
        <v>19.691600000000001</v>
      </c>
      <c r="J596" s="67">
        <f>10.7701 * CHOOSE(CONTROL!$C$26, $C$13, 100%, $E$13)</f>
        <v>10.770099999999999</v>
      </c>
      <c r="K596" s="67">
        <f>10.7749 * CHOOSE(CONTROL!$C$26, $C$13, 100%, $E$13)</f>
        <v>10.774900000000001</v>
      </c>
    </row>
    <row r="597" spans="1:11" ht="15">
      <c r="A597" s="13">
        <v>59292</v>
      </c>
      <c r="B597" s="66">
        <f>9.1277 * CHOOSE(CONTROL!$C$26, $C$13, 100%, $E$13)</f>
        <v>9.1277000000000008</v>
      </c>
      <c r="C597" s="66">
        <f>9.1277 * CHOOSE(CONTROL!$C$26, $C$13, 100%, $E$13)</f>
        <v>9.1277000000000008</v>
      </c>
      <c r="D597" s="66">
        <f>9.1332 * CHOOSE(CONTROL!$C$26, $C$13, 100%, $E$13)</f>
        <v>9.1332000000000004</v>
      </c>
      <c r="E597" s="67">
        <f>10.8276 * CHOOSE(CONTROL!$C$26, $C$13, 100%, $E$13)</f>
        <v>10.8276</v>
      </c>
      <c r="F597" s="67">
        <f>10.8276 * CHOOSE(CONTROL!$C$26, $C$13, 100%, $E$13)</f>
        <v>10.8276</v>
      </c>
      <c r="G597" s="67">
        <f>10.8343 * CHOOSE(CONTROL!$C$26, $C$13, 100%, $E$13)</f>
        <v>10.834300000000001</v>
      </c>
      <c r="H597" s="67">
        <f>19.7278* CHOOSE(CONTROL!$C$26, $C$13, 100%, $E$13)</f>
        <v>19.727799999999998</v>
      </c>
      <c r="I597" s="67">
        <f>19.7345 * CHOOSE(CONTROL!$C$26, $C$13, 100%, $E$13)</f>
        <v>19.734500000000001</v>
      </c>
      <c r="J597" s="67">
        <f>10.8276 * CHOOSE(CONTROL!$C$26, $C$13, 100%, $E$13)</f>
        <v>10.8276</v>
      </c>
      <c r="K597" s="67">
        <f>10.8343 * CHOOSE(CONTROL!$C$26, $C$13, 100%, $E$13)</f>
        <v>10.834300000000001</v>
      </c>
    </row>
    <row r="598" spans="1:11" ht="15">
      <c r="A598" s="13">
        <v>59323</v>
      </c>
      <c r="B598" s="66">
        <f>9.1337 * CHOOSE(CONTROL!$C$26, $C$13, 100%, $E$13)</f>
        <v>9.1336999999999993</v>
      </c>
      <c r="C598" s="66">
        <f>9.1337 * CHOOSE(CONTROL!$C$26, $C$13, 100%, $E$13)</f>
        <v>9.1336999999999993</v>
      </c>
      <c r="D598" s="66">
        <f>9.1393 * CHOOSE(CONTROL!$C$26, $C$13, 100%, $E$13)</f>
        <v>9.1393000000000004</v>
      </c>
      <c r="E598" s="67">
        <f>10.7744 * CHOOSE(CONTROL!$C$26, $C$13, 100%, $E$13)</f>
        <v>10.7744</v>
      </c>
      <c r="F598" s="67">
        <f>10.7744 * CHOOSE(CONTROL!$C$26, $C$13, 100%, $E$13)</f>
        <v>10.7744</v>
      </c>
      <c r="G598" s="67">
        <f>10.7811 * CHOOSE(CONTROL!$C$26, $C$13, 100%, $E$13)</f>
        <v>10.7811</v>
      </c>
      <c r="H598" s="67">
        <f>19.7689* CHOOSE(CONTROL!$C$26, $C$13, 100%, $E$13)</f>
        <v>19.768899999999999</v>
      </c>
      <c r="I598" s="67">
        <f>19.7756 * CHOOSE(CONTROL!$C$26, $C$13, 100%, $E$13)</f>
        <v>19.775600000000001</v>
      </c>
      <c r="J598" s="67">
        <f>10.7744 * CHOOSE(CONTROL!$C$26, $C$13, 100%, $E$13)</f>
        <v>10.7744</v>
      </c>
      <c r="K598" s="67">
        <f>10.7811 * CHOOSE(CONTROL!$C$26, $C$13, 100%, $E$13)</f>
        <v>10.7811</v>
      </c>
    </row>
    <row r="599" spans="1:11" ht="15">
      <c r="A599" s="13">
        <v>59353</v>
      </c>
      <c r="B599" s="66">
        <f>9.2757 * CHOOSE(CONTROL!$C$26, $C$13, 100%, $E$13)</f>
        <v>9.2757000000000005</v>
      </c>
      <c r="C599" s="66">
        <f>9.2757 * CHOOSE(CONTROL!$C$26, $C$13, 100%, $E$13)</f>
        <v>9.2757000000000005</v>
      </c>
      <c r="D599" s="66">
        <f>9.2812 * CHOOSE(CONTROL!$C$26, $C$13, 100%, $E$13)</f>
        <v>9.2812000000000001</v>
      </c>
      <c r="E599" s="67">
        <f>10.9496 * CHOOSE(CONTROL!$C$26, $C$13, 100%, $E$13)</f>
        <v>10.9496</v>
      </c>
      <c r="F599" s="67">
        <f>10.9496 * CHOOSE(CONTROL!$C$26, $C$13, 100%, $E$13)</f>
        <v>10.9496</v>
      </c>
      <c r="G599" s="67">
        <f>10.9564 * CHOOSE(CONTROL!$C$26, $C$13, 100%, $E$13)</f>
        <v>10.9564</v>
      </c>
      <c r="H599" s="67">
        <f>19.8101* CHOOSE(CONTROL!$C$26, $C$13, 100%, $E$13)</f>
        <v>19.810099999999998</v>
      </c>
      <c r="I599" s="67">
        <f>19.8168 * CHOOSE(CONTROL!$C$26, $C$13, 100%, $E$13)</f>
        <v>19.816800000000001</v>
      </c>
      <c r="J599" s="67">
        <f>10.9496 * CHOOSE(CONTROL!$C$26, $C$13, 100%, $E$13)</f>
        <v>10.9496</v>
      </c>
      <c r="K599" s="67">
        <f>10.9564 * CHOOSE(CONTROL!$C$26, $C$13, 100%, $E$13)</f>
        <v>10.9564</v>
      </c>
    </row>
    <row r="600" spans="1:11" ht="15">
      <c r="A600" s="13">
        <v>59384</v>
      </c>
      <c r="B600" s="66">
        <f>9.2823 * CHOOSE(CONTROL!$C$26, $C$13, 100%, $E$13)</f>
        <v>9.2822999999999993</v>
      </c>
      <c r="C600" s="66">
        <f>9.2823 * CHOOSE(CONTROL!$C$26, $C$13, 100%, $E$13)</f>
        <v>9.2822999999999993</v>
      </c>
      <c r="D600" s="66">
        <f>9.2878 * CHOOSE(CONTROL!$C$26, $C$13, 100%, $E$13)</f>
        <v>9.2878000000000007</v>
      </c>
      <c r="E600" s="67">
        <f>10.782 * CHOOSE(CONTROL!$C$26, $C$13, 100%, $E$13)</f>
        <v>10.782</v>
      </c>
      <c r="F600" s="67">
        <f>10.782 * CHOOSE(CONTROL!$C$26, $C$13, 100%, $E$13)</f>
        <v>10.782</v>
      </c>
      <c r="G600" s="67">
        <f>10.7887 * CHOOSE(CONTROL!$C$26, $C$13, 100%, $E$13)</f>
        <v>10.7887</v>
      </c>
      <c r="H600" s="67">
        <f>19.8514* CHOOSE(CONTROL!$C$26, $C$13, 100%, $E$13)</f>
        <v>19.851400000000002</v>
      </c>
      <c r="I600" s="67">
        <f>19.8581 * CHOOSE(CONTROL!$C$26, $C$13, 100%, $E$13)</f>
        <v>19.8581</v>
      </c>
      <c r="J600" s="67">
        <f>10.782 * CHOOSE(CONTROL!$C$26, $C$13, 100%, $E$13)</f>
        <v>10.782</v>
      </c>
      <c r="K600" s="67">
        <f>10.7887 * CHOOSE(CONTROL!$C$26, $C$13, 100%, $E$13)</f>
        <v>10.7887</v>
      </c>
    </row>
    <row r="601" spans="1:11" ht="15">
      <c r="A601" s="13">
        <v>59415</v>
      </c>
      <c r="B601" s="66">
        <f>9.2793 * CHOOSE(CONTROL!$C$26, $C$13, 100%, $E$13)</f>
        <v>9.2792999999999992</v>
      </c>
      <c r="C601" s="66">
        <f>9.2793 * CHOOSE(CONTROL!$C$26, $C$13, 100%, $E$13)</f>
        <v>9.2792999999999992</v>
      </c>
      <c r="D601" s="66">
        <f>9.2848 * CHOOSE(CONTROL!$C$26, $C$13, 100%, $E$13)</f>
        <v>9.2848000000000006</v>
      </c>
      <c r="E601" s="67">
        <f>10.7607 * CHOOSE(CONTROL!$C$26, $C$13, 100%, $E$13)</f>
        <v>10.7607</v>
      </c>
      <c r="F601" s="67">
        <f>10.7607 * CHOOSE(CONTROL!$C$26, $C$13, 100%, $E$13)</f>
        <v>10.7607</v>
      </c>
      <c r="G601" s="67">
        <f>10.7675 * CHOOSE(CONTROL!$C$26, $C$13, 100%, $E$13)</f>
        <v>10.7675</v>
      </c>
      <c r="H601" s="67">
        <f>19.8927* CHOOSE(CONTROL!$C$26, $C$13, 100%, $E$13)</f>
        <v>19.892700000000001</v>
      </c>
      <c r="I601" s="67">
        <f>19.8995 * CHOOSE(CONTROL!$C$26, $C$13, 100%, $E$13)</f>
        <v>19.8995</v>
      </c>
      <c r="J601" s="67">
        <f>10.7607 * CHOOSE(CONTROL!$C$26, $C$13, 100%, $E$13)</f>
        <v>10.7607</v>
      </c>
      <c r="K601" s="67">
        <f>10.7675 * CHOOSE(CONTROL!$C$26, $C$13, 100%, $E$13)</f>
        <v>10.7675</v>
      </c>
    </row>
    <row r="602" spans="1:11" ht="15">
      <c r="A602" s="13">
        <v>59445</v>
      </c>
      <c r="B602" s="66">
        <f>9.2916 * CHOOSE(CONTROL!$C$26, $C$13, 100%, $E$13)</f>
        <v>9.2916000000000007</v>
      </c>
      <c r="C602" s="66">
        <f>9.2916 * CHOOSE(CONTROL!$C$26, $C$13, 100%, $E$13)</f>
        <v>9.2916000000000007</v>
      </c>
      <c r="D602" s="66">
        <f>9.2954 * CHOOSE(CONTROL!$C$26, $C$13, 100%, $E$13)</f>
        <v>9.2954000000000008</v>
      </c>
      <c r="E602" s="67">
        <f>10.8239 * CHOOSE(CONTROL!$C$26, $C$13, 100%, $E$13)</f>
        <v>10.8239</v>
      </c>
      <c r="F602" s="67">
        <f>10.8239 * CHOOSE(CONTROL!$C$26, $C$13, 100%, $E$13)</f>
        <v>10.8239</v>
      </c>
      <c r="G602" s="67">
        <f>10.8287 * CHOOSE(CONTROL!$C$26, $C$13, 100%, $E$13)</f>
        <v>10.8287</v>
      </c>
      <c r="H602" s="67">
        <f>19.9342* CHOOSE(CONTROL!$C$26, $C$13, 100%, $E$13)</f>
        <v>19.934200000000001</v>
      </c>
      <c r="I602" s="67">
        <f>19.9389 * CHOOSE(CONTROL!$C$26, $C$13, 100%, $E$13)</f>
        <v>19.9389</v>
      </c>
      <c r="J602" s="67">
        <f>10.8239 * CHOOSE(CONTROL!$C$26, $C$13, 100%, $E$13)</f>
        <v>10.8239</v>
      </c>
      <c r="K602" s="67">
        <f>10.8287 * CHOOSE(CONTROL!$C$26, $C$13, 100%, $E$13)</f>
        <v>10.8287</v>
      </c>
    </row>
    <row r="603" spans="1:11" ht="15">
      <c r="A603" s="13">
        <v>59476</v>
      </c>
      <c r="B603" s="66">
        <f>9.2946 * CHOOSE(CONTROL!$C$26, $C$13, 100%, $E$13)</f>
        <v>9.2946000000000009</v>
      </c>
      <c r="C603" s="66">
        <f>9.2946 * CHOOSE(CONTROL!$C$26, $C$13, 100%, $E$13)</f>
        <v>9.2946000000000009</v>
      </c>
      <c r="D603" s="66">
        <f>9.2985 * CHOOSE(CONTROL!$C$26, $C$13, 100%, $E$13)</f>
        <v>9.2985000000000007</v>
      </c>
      <c r="E603" s="67">
        <f>10.8643 * CHOOSE(CONTROL!$C$26, $C$13, 100%, $E$13)</f>
        <v>10.8643</v>
      </c>
      <c r="F603" s="67">
        <f>10.8643 * CHOOSE(CONTROL!$C$26, $C$13, 100%, $E$13)</f>
        <v>10.8643</v>
      </c>
      <c r="G603" s="67">
        <f>10.8691 * CHOOSE(CONTROL!$C$26, $C$13, 100%, $E$13)</f>
        <v>10.8691</v>
      </c>
      <c r="H603" s="67">
        <f>19.9757* CHOOSE(CONTROL!$C$26, $C$13, 100%, $E$13)</f>
        <v>19.9757</v>
      </c>
      <c r="I603" s="67">
        <f>19.9805 * CHOOSE(CONTROL!$C$26, $C$13, 100%, $E$13)</f>
        <v>19.980499999999999</v>
      </c>
      <c r="J603" s="67">
        <f>10.8643 * CHOOSE(CONTROL!$C$26, $C$13, 100%, $E$13)</f>
        <v>10.8643</v>
      </c>
      <c r="K603" s="67">
        <f>10.8691 * CHOOSE(CONTROL!$C$26, $C$13, 100%, $E$13)</f>
        <v>10.8691</v>
      </c>
    </row>
    <row r="604" spans="1:11" ht="15">
      <c r="A604" s="13">
        <v>59506</v>
      </c>
      <c r="B604" s="66">
        <f>9.2946 * CHOOSE(CONTROL!$C$26, $C$13, 100%, $E$13)</f>
        <v>9.2946000000000009</v>
      </c>
      <c r="C604" s="66">
        <f>9.2946 * CHOOSE(CONTROL!$C$26, $C$13, 100%, $E$13)</f>
        <v>9.2946000000000009</v>
      </c>
      <c r="D604" s="66">
        <f>9.2985 * CHOOSE(CONTROL!$C$26, $C$13, 100%, $E$13)</f>
        <v>9.2985000000000007</v>
      </c>
      <c r="E604" s="67">
        <f>10.7686 * CHOOSE(CONTROL!$C$26, $C$13, 100%, $E$13)</f>
        <v>10.768599999999999</v>
      </c>
      <c r="F604" s="67">
        <f>10.7686 * CHOOSE(CONTROL!$C$26, $C$13, 100%, $E$13)</f>
        <v>10.768599999999999</v>
      </c>
      <c r="G604" s="67">
        <f>10.7734 * CHOOSE(CONTROL!$C$26, $C$13, 100%, $E$13)</f>
        <v>10.773400000000001</v>
      </c>
      <c r="H604" s="67">
        <f>20.0173* CHOOSE(CONTROL!$C$26, $C$13, 100%, $E$13)</f>
        <v>20.017299999999999</v>
      </c>
      <c r="I604" s="67">
        <f>20.0221 * CHOOSE(CONTROL!$C$26, $C$13, 100%, $E$13)</f>
        <v>20.022099999999998</v>
      </c>
      <c r="J604" s="67">
        <f>10.7686 * CHOOSE(CONTROL!$C$26, $C$13, 100%, $E$13)</f>
        <v>10.768599999999999</v>
      </c>
      <c r="K604" s="67">
        <f>10.7734 * CHOOSE(CONTROL!$C$26, $C$13, 100%, $E$13)</f>
        <v>10.773400000000001</v>
      </c>
    </row>
    <row r="605" spans="1:11" ht="15">
      <c r="A605" s="13">
        <v>59537</v>
      </c>
      <c r="B605" s="66">
        <f>9.3673 * CHOOSE(CONTROL!$C$26, $C$13, 100%, $E$13)</f>
        <v>9.3673000000000002</v>
      </c>
      <c r="C605" s="66">
        <f>9.3673 * CHOOSE(CONTROL!$C$26, $C$13, 100%, $E$13)</f>
        <v>9.3673000000000002</v>
      </c>
      <c r="D605" s="66">
        <f>9.3712 * CHOOSE(CONTROL!$C$26, $C$13, 100%, $E$13)</f>
        <v>9.3712</v>
      </c>
      <c r="E605" s="67">
        <f>10.9185 * CHOOSE(CONTROL!$C$26, $C$13, 100%, $E$13)</f>
        <v>10.9185</v>
      </c>
      <c r="F605" s="67">
        <f>10.9185 * CHOOSE(CONTROL!$C$26, $C$13, 100%, $E$13)</f>
        <v>10.9185</v>
      </c>
      <c r="G605" s="67">
        <f>10.9232 * CHOOSE(CONTROL!$C$26, $C$13, 100%, $E$13)</f>
        <v>10.9232</v>
      </c>
      <c r="H605" s="67">
        <f>20.0468* CHOOSE(CONTROL!$C$26, $C$13, 100%, $E$13)</f>
        <v>20.046800000000001</v>
      </c>
      <c r="I605" s="67">
        <f>20.0516 * CHOOSE(CONTROL!$C$26, $C$13, 100%, $E$13)</f>
        <v>20.051600000000001</v>
      </c>
      <c r="J605" s="67">
        <f>10.9185 * CHOOSE(CONTROL!$C$26, $C$13, 100%, $E$13)</f>
        <v>10.9185</v>
      </c>
      <c r="K605" s="67">
        <f>10.9232 * CHOOSE(CONTROL!$C$26, $C$13, 100%, $E$13)</f>
        <v>10.9232</v>
      </c>
    </row>
    <row r="606" spans="1:11" ht="15">
      <c r="A606" s="13">
        <v>59568</v>
      </c>
      <c r="B606" s="66">
        <f>9.3643 * CHOOSE(CONTROL!$C$26, $C$13, 100%, $E$13)</f>
        <v>9.3643000000000001</v>
      </c>
      <c r="C606" s="66">
        <f>9.3643 * CHOOSE(CONTROL!$C$26, $C$13, 100%, $E$13)</f>
        <v>9.3643000000000001</v>
      </c>
      <c r="D606" s="66">
        <f>9.3682 * CHOOSE(CONTROL!$C$26, $C$13, 100%, $E$13)</f>
        <v>9.3681999999999999</v>
      </c>
      <c r="E606" s="67">
        <f>10.7305 * CHOOSE(CONTROL!$C$26, $C$13, 100%, $E$13)</f>
        <v>10.730499999999999</v>
      </c>
      <c r="F606" s="67">
        <f>10.7305 * CHOOSE(CONTROL!$C$26, $C$13, 100%, $E$13)</f>
        <v>10.730499999999999</v>
      </c>
      <c r="G606" s="67">
        <f>10.7353 * CHOOSE(CONTROL!$C$26, $C$13, 100%, $E$13)</f>
        <v>10.735300000000001</v>
      </c>
      <c r="H606" s="67">
        <f>20.0886* CHOOSE(CONTROL!$C$26, $C$13, 100%, $E$13)</f>
        <v>20.0886</v>
      </c>
      <c r="I606" s="67">
        <f>20.0933 * CHOOSE(CONTROL!$C$26, $C$13, 100%, $E$13)</f>
        <v>20.093299999999999</v>
      </c>
      <c r="J606" s="67">
        <f>10.7305 * CHOOSE(CONTROL!$C$26, $C$13, 100%, $E$13)</f>
        <v>10.730499999999999</v>
      </c>
      <c r="K606" s="67">
        <f>10.7353 * CHOOSE(CONTROL!$C$26, $C$13, 100%, $E$13)</f>
        <v>10.735300000000001</v>
      </c>
    </row>
    <row r="607" spans="1:11" ht="15">
      <c r="A607" s="13">
        <v>59596</v>
      </c>
      <c r="B607" s="66">
        <f>9.3612 * CHOOSE(CONTROL!$C$26, $C$13, 100%, $E$13)</f>
        <v>9.3612000000000002</v>
      </c>
      <c r="C607" s="66">
        <f>9.3612 * CHOOSE(CONTROL!$C$26, $C$13, 100%, $E$13)</f>
        <v>9.3612000000000002</v>
      </c>
      <c r="D607" s="66">
        <f>9.3651 * CHOOSE(CONTROL!$C$26, $C$13, 100%, $E$13)</f>
        <v>9.3651</v>
      </c>
      <c r="E607" s="67">
        <f>10.8749 * CHOOSE(CONTROL!$C$26, $C$13, 100%, $E$13)</f>
        <v>10.8749</v>
      </c>
      <c r="F607" s="67">
        <f>10.8749 * CHOOSE(CONTROL!$C$26, $C$13, 100%, $E$13)</f>
        <v>10.8749</v>
      </c>
      <c r="G607" s="67">
        <f>10.8797 * CHOOSE(CONTROL!$C$26, $C$13, 100%, $E$13)</f>
        <v>10.8797</v>
      </c>
      <c r="H607" s="67">
        <f>20.1304* CHOOSE(CONTROL!$C$26, $C$13, 100%, $E$13)</f>
        <v>20.130400000000002</v>
      </c>
      <c r="I607" s="67">
        <f>20.1352 * CHOOSE(CONTROL!$C$26, $C$13, 100%, $E$13)</f>
        <v>20.135200000000001</v>
      </c>
      <c r="J607" s="67">
        <f>10.8749 * CHOOSE(CONTROL!$C$26, $C$13, 100%, $E$13)</f>
        <v>10.8749</v>
      </c>
      <c r="K607" s="67">
        <f>10.8797 * CHOOSE(CONTROL!$C$26, $C$13, 100%, $E$13)</f>
        <v>10.8797</v>
      </c>
    </row>
    <row r="608" spans="1:11" ht="15">
      <c r="A608" s="13">
        <v>59627</v>
      </c>
      <c r="B608" s="66">
        <f>9.3634 * CHOOSE(CONTROL!$C$26, $C$13, 100%, $E$13)</f>
        <v>9.3634000000000004</v>
      </c>
      <c r="C608" s="66">
        <f>9.3634 * CHOOSE(CONTROL!$C$26, $C$13, 100%, $E$13)</f>
        <v>9.3634000000000004</v>
      </c>
      <c r="D608" s="66">
        <f>9.3673 * CHOOSE(CONTROL!$C$26, $C$13, 100%, $E$13)</f>
        <v>9.3673000000000002</v>
      </c>
      <c r="E608" s="67">
        <f>11.028 * CHOOSE(CONTROL!$C$26, $C$13, 100%, $E$13)</f>
        <v>11.028</v>
      </c>
      <c r="F608" s="67">
        <f>11.028 * CHOOSE(CONTROL!$C$26, $C$13, 100%, $E$13)</f>
        <v>11.028</v>
      </c>
      <c r="G608" s="67">
        <f>11.0328 * CHOOSE(CONTROL!$C$26, $C$13, 100%, $E$13)</f>
        <v>11.0328</v>
      </c>
      <c r="H608" s="67">
        <f>20.1724* CHOOSE(CONTROL!$C$26, $C$13, 100%, $E$13)</f>
        <v>20.1724</v>
      </c>
      <c r="I608" s="67">
        <f>20.1771 * CHOOSE(CONTROL!$C$26, $C$13, 100%, $E$13)</f>
        <v>20.177099999999999</v>
      </c>
      <c r="J608" s="67">
        <f>11.028 * CHOOSE(CONTROL!$C$26, $C$13, 100%, $E$13)</f>
        <v>11.028</v>
      </c>
      <c r="K608" s="67">
        <f>11.0328 * CHOOSE(CONTROL!$C$26, $C$13, 100%, $E$13)</f>
        <v>11.0328</v>
      </c>
    </row>
    <row r="609" spans="1:11" ht="15">
      <c r="A609" s="13">
        <v>59657</v>
      </c>
      <c r="B609" s="66">
        <f>9.3634 * CHOOSE(CONTROL!$C$26, $C$13, 100%, $E$13)</f>
        <v>9.3634000000000004</v>
      </c>
      <c r="C609" s="66">
        <f>9.3634 * CHOOSE(CONTROL!$C$26, $C$13, 100%, $E$13)</f>
        <v>9.3634000000000004</v>
      </c>
      <c r="D609" s="66">
        <f>9.3689 * CHOOSE(CONTROL!$C$26, $C$13, 100%, $E$13)</f>
        <v>9.3689</v>
      </c>
      <c r="E609" s="67">
        <f>11.087 * CHOOSE(CONTROL!$C$26, $C$13, 100%, $E$13)</f>
        <v>11.087</v>
      </c>
      <c r="F609" s="67">
        <f>11.087 * CHOOSE(CONTROL!$C$26, $C$13, 100%, $E$13)</f>
        <v>11.087</v>
      </c>
      <c r="G609" s="67">
        <f>11.0937 * CHOOSE(CONTROL!$C$26, $C$13, 100%, $E$13)</f>
        <v>11.0937</v>
      </c>
      <c r="H609" s="67">
        <f>20.2144* CHOOSE(CONTROL!$C$26, $C$13, 100%, $E$13)</f>
        <v>20.214400000000001</v>
      </c>
      <c r="I609" s="67">
        <f>20.2211 * CHOOSE(CONTROL!$C$26, $C$13, 100%, $E$13)</f>
        <v>20.2211</v>
      </c>
      <c r="J609" s="67">
        <f>11.087 * CHOOSE(CONTROL!$C$26, $C$13, 100%, $E$13)</f>
        <v>11.087</v>
      </c>
      <c r="K609" s="67">
        <f>11.0937 * CHOOSE(CONTROL!$C$26, $C$13, 100%, $E$13)</f>
        <v>11.0937</v>
      </c>
    </row>
    <row r="610" spans="1:11" ht="15">
      <c r="A610" s="13">
        <v>59688</v>
      </c>
      <c r="B610" s="66">
        <f>9.3695 * CHOOSE(CONTROL!$C$26, $C$13, 100%, $E$13)</f>
        <v>9.3695000000000004</v>
      </c>
      <c r="C610" s="66">
        <f>9.3695 * CHOOSE(CONTROL!$C$26, $C$13, 100%, $E$13)</f>
        <v>9.3695000000000004</v>
      </c>
      <c r="D610" s="66">
        <f>9.375 * CHOOSE(CONTROL!$C$26, $C$13, 100%, $E$13)</f>
        <v>9.375</v>
      </c>
      <c r="E610" s="67">
        <f>11.0322 * CHOOSE(CONTROL!$C$26, $C$13, 100%, $E$13)</f>
        <v>11.0322</v>
      </c>
      <c r="F610" s="67">
        <f>11.0322 * CHOOSE(CONTROL!$C$26, $C$13, 100%, $E$13)</f>
        <v>11.0322</v>
      </c>
      <c r="G610" s="67">
        <f>11.039 * CHOOSE(CONTROL!$C$26, $C$13, 100%, $E$13)</f>
        <v>11.039</v>
      </c>
      <c r="H610" s="67">
        <f>20.2565* CHOOSE(CONTROL!$C$26, $C$13, 100%, $E$13)</f>
        <v>20.256499999999999</v>
      </c>
      <c r="I610" s="67">
        <f>20.2632 * CHOOSE(CONTROL!$C$26, $C$13, 100%, $E$13)</f>
        <v>20.263200000000001</v>
      </c>
      <c r="J610" s="67">
        <f>11.0322 * CHOOSE(CONTROL!$C$26, $C$13, 100%, $E$13)</f>
        <v>11.0322</v>
      </c>
      <c r="K610" s="67">
        <f>11.039 * CHOOSE(CONTROL!$C$26, $C$13, 100%, $E$13)</f>
        <v>11.039</v>
      </c>
    </row>
    <row r="611" spans="1:11" ht="15">
      <c r="A611" s="13">
        <v>59718</v>
      </c>
      <c r="B611" s="66">
        <f>9.5148 * CHOOSE(CONTROL!$C$26, $C$13, 100%, $E$13)</f>
        <v>9.5147999999999993</v>
      </c>
      <c r="C611" s="66">
        <f>9.5148 * CHOOSE(CONTROL!$C$26, $C$13, 100%, $E$13)</f>
        <v>9.5147999999999993</v>
      </c>
      <c r="D611" s="66">
        <f>9.5203 * CHOOSE(CONTROL!$C$26, $C$13, 100%, $E$13)</f>
        <v>9.5203000000000007</v>
      </c>
      <c r="E611" s="67">
        <f>11.2114 * CHOOSE(CONTROL!$C$26, $C$13, 100%, $E$13)</f>
        <v>11.211399999999999</v>
      </c>
      <c r="F611" s="67">
        <f>11.2114 * CHOOSE(CONTROL!$C$26, $C$13, 100%, $E$13)</f>
        <v>11.211399999999999</v>
      </c>
      <c r="G611" s="67">
        <f>11.2182 * CHOOSE(CONTROL!$C$26, $C$13, 100%, $E$13)</f>
        <v>11.2182</v>
      </c>
      <c r="H611" s="67">
        <f>20.2987* CHOOSE(CONTROL!$C$26, $C$13, 100%, $E$13)</f>
        <v>20.2987</v>
      </c>
      <c r="I611" s="67">
        <f>20.3054 * CHOOSE(CONTROL!$C$26, $C$13, 100%, $E$13)</f>
        <v>20.305399999999999</v>
      </c>
      <c r="J611" s="67">
        <f>11.2114 * CHOOSE(CONTROL!$C$26, $C$13, 100%, $E$13)</f>
        <v>11.211399999999999</v>
      </c>
      <c r="K611" s="67">
        <f>11.2182 * CHOOSE(CONTROL!$C$26, $C$13, 100%, $E$13)</f>
        <v>11.2182</v>
      </c>
    </row>
    <row r="612" spans="1:11" ht="15">
      <c r="A612" s="13">
        <v>59749</v>
      </c>
      <c r="B612" s="66">
        <f>9.5215 * CHOOSE(CONTROL!$C$26, $C$13, 100%, $E$13)</f>
        <v>9.5214999999999996</v>
      </c>
      <c r="C612" s="66">
        <f>9.5215 * CHOOSE(CONTROL!$C$26, $C$13, 100%, $E$13)</f>
        <v>9.5214999999999996</v>
      </c>
      <c r="D612" s="66">
        <f>9.527 * CHOOSE(CONTROL!$C$26, $C$13, 100%, $E$13)</f>
        <v>9.5269999999999992</v>
      </c>
      <c r="E612" s="67">
        <f>11.0391 * CHOOSE(CONTROL!$C$26, $C$13, 100%, $E$13)</f>
        <v>11.039099999999999</v>
      </c>
      <c r="F612" s="67">
        <f>11.0391 * CHOOSE(CONTROL!$C$26, $C$13, 100%, $E$13)</f>
        <v>11.039099999999999</v>
      </c>
      <c r="G612" s="67">
        <f>11.0458 * CHOOSE(CONTROL!$C$26, $C$13, 100%, $E$13)</f>
        <v>11.0458</v>
      </c>
      <c r="H612" s="67">
        <f>20.341* CHOOSE(CONTROL!$C$26, $C$13, 100%, $E$13)</f>
        <v>20.341000000000001</v>
      </c>
      <c r="I612" s="67">
        <f>20.3477 * CHOOSE(CONTROL!$C$26, $C$13, 100%, $E$13)</f>
        <v>20.3477</v>
      </c>
      <c r="J612" s="67">
        <f>11.0391 * CHOOSE(CONTROL!$C$26, $C$13, 100%, $E$13)</f>
        <v>11.039099999999999</v>
      </c>
      <c r="K612" s="67">
        <f>11.0458 * CHOOSE(CONTROL!$C$26, $C$13, 100%, $E$13)</f>
        <v>11.0458</v>
      </c>
    </row>
    <row r="613" spans="1:11" ht="15">
      <c r="A613" s="13">
        <v>59780</v>
      </c>
      <c r="B613" s="66">
        <f>9.5185 * CHOOSE(CONTROL!$C$26, $C$13, 100%, $E$13)</f>
        <v>9.5184999999999995</v>
      </c>
      <c r="C613" s="66">
        <f>9.5185 * CHOOSE(CONTROL!$C$26, $C$13, 100%, $E$13)</f>
        <v>9.5184999999999995</v>
      </c>
      <c r="D613" s="66">
        <f>9.524 * CHOOSE(CONTROL!$C$26, $C$13, 100%, $E$13)</f>
        <v>9.5239999999999991</v>
      </c>
      <c r="E613" s="67">
        <f>11.0173 * CHOOSE(CONTROL!$C$26, $C$13, 100%, $E$13)</f>
        <v>11.017300000000001</v>
      </c>
      <c r="F613" s="67">
        <f>11.0173 * CHOOSE(CONTROL!$C$26, $C$13, 100%, $E$13)</f>
        <v>11.017300000000001</v>
      </c>
      <c r="G613" s="67">
        <f>11.024 * CHOOSE(CONTROL!$C$26, $C$13, 100%, $E$13)</f>
        <v>11.023999999999999</v>
      </c>
      <c r="H613" s="67">
        <f>20.3834* CHOOSE(CONTROL!$C$26, $C$13, 100%, $E$13)</f>
        <v>20.383400000000002</v>
      </c>
      <c r="I613" s="67">
        <f>20.3901 * CHOOSE(CONTROL!$C$26, $C$13, 100%, $E$13)</f>
        <v>20.3901</v>
      </c>
      <c r="J613" s="67">
        <f>11.0173 * CHOOSE(CONTROL!$C$26, $C$13, 100%, $E$13)</f>
        <v>11.017300000000001</v>
      </c>
      <c r="K613" s="67">
        <f>11.024 * CHOOSE(CONTROL!$C$26, $C$13, 100%, $E$13)</f>
        <v>11.023999999999999</v>
      </c>
    </row>
    <row r="614" spans="1:11" ht="15">
      <c r="A614" s="13">
        <v>59810</v>
      </c>
      <c r="B614" s="66">
        <f>9.5315 * CHOOSE(CONTROL!$C$26, $C$13, 100%, $E$13)</f>
        <v>9.5314999999999994</v>
      </c>
      <c r="C614" s="66">
        <f>9.5315 * CHOOSE(CONTROL!$C$26, $C$13, 100%, $E$13)</f>
        <v>9.5314999999999994</v>
      </c>
      <c r="D614" s="66">
        <f>9.5354 * CHOOSE(CONTROL!$C$26, $C$13, 100%, $E$13)</f>
        <v>9.5353999999999992</v>
      </c>
      <c r="E614" s="67">
        <f>11.0825 * CHOOSE(CONTROL!$C$26, $C$13, 100%, $E$13)</f>
        <v>11.0825</v>
      </c>
      <c r="F614" s="67">
        <f>11.0825 * CHOOSE(CONTROL!$C$26, $C$13, 100%, $E$13)</f>
        <v>11.0825</v>
      </c>
      <c r="G614" s="67">
        <f>11.0873 * CHOOSE(CONTROL!$C$26, $C$13, 100%, $E$13)</f>
        <v>11.087300000000001</v>
      </c>
      <c r="H614" s="67">
        <f>20.4258* CHOOSE(CONTROL!$C$26, $C$13, 100%, $E$13)</f>
        <v>20.425799999999999</v>
      </c>
      <c r="I614" s="67">
        <f>20.4306 * CHOOSE(CONTROL!$C$26, $C$13, 100%, $E$13)</f>
        <v>20.430599999999998</v>
      </c>
      <c r="J614" s="67">
        <f>11.0825 * CHOOSE(CONTROL!$C$26, $C$13, 100%, $E$13)</f>
        <v>11.0825</v>
      </c>
      <c r="K614" s="67">
        <f>11.0873 * CHOOSE(CONTROL!$C$26, $C$13, 100%, $E$13)</f>
        <v>11.087300000000001</v>
      </c>
    </row>
    <row r="615" spans="1:11" ht="15">
      <c r="A615" s="13">
        <v>59841</v>
      </c>
      <c r="B615" s="66">
        <f>9.5345 * CHOOSE(CONTROL!$C$26, $C$13, 100%, $E$13)</f>
        <v>9.5344999999999995</v>
      </c>
      <c r="C615" s="66">
        <f>9.5345 * CHOOSE(CONTROL!$C$26, $C$13, 100%, $E$13)</f>
        <v>9.5344999999999995</v>
      </c>
      <c r="D615" s="66">
        <f>9.5384 * CHOOSE(CONTROL!$C$26, $C$13, 100%, $E$13)</f>
        <v>9.5383999999999993</v>
      </c>
      <c r="E615" s="67">
        <f>11.124 * CHOOSE(CONTROL!$C$26, $C$13, 100%, $E$13)</f>
        <v>11.124000000000001</v>
      </c>
      <c r="F615" s="67">
        <f>11.124 * CHOOSE(CONTROL!$C$26, $C$13, 100%, $E$13)</f>
        <v>11.124000000000001</v>
      </c>
      <c r="G615" s="67">
        <f>11.1288 * CHOOSE(CONTROL!$C$26, $C$13, 100%, $E$13)</f>
        <v>11.1288</v>
      </c>
      <c r="H615" s="67">
        <f>20.4684* CHOOSE(CONTROL!$C$26, $C$13, 100%, $E$13)</f>
        <v>20.468399999999999</v>
      </c>
      <c r="I615" s="67">
        <f>20.4731 * CHOOSE(CONTROL!$C$26, $C$13, 100%, $E$13)</f>
        <v>20.473099999999999</v>
      </c>
      <c r="J615" s="67">
        <f>11.124 * CHOOSE(CONTROL!$C$26, $C$13, 100%, $E$13)</f>
        <v>11.124000000000001</v>
      </c>
      <c r="K615" s="67">
        <f>11.1288 * CHOOSE(CONTROL!$C$26, $C$13, 100%, $E$13)</f>
        <v>11.1288</v>
      </c>
    </row>
    <row r="616" spans="1:11" ht="15">
      <c r="A616" s="13">
        <v>59871</v>
      </c>
      <c r="B616" s="66">
        <f>9.5345 * CHOOSE(CONTROL!$C$26, $C$13, 100%, $E$13)</f>
        <v>9.5344999999999995</v>
      </c>
      <c r="C616" s="66">
        <f>9.5345 * CHOOSE(CONTROL!$C$26, $C$13, 100%, $E$13)</f>
        <v>9.5344999999999995</v>
      </c>
      <c r="D616" s="66">
        <f>9.5384 * CHOOSE(CONTROL!$C$26, $C$13, 100%, $E$13)</f>
        <v>9.5383999999999993</v>
      </c>
      <c r="E616" s="67">
        <f>11.0257 * CHOOSE(CONTROL!$C$26, $C$13, 100%, $E$13)</f>
        <v>11.025700000000001</v>
      </c>
      <c r="F616" s="67">
        <f>11.0257 * CHOOSE(CONTROL!$C$26, $C$13, 100%, $E$13)</f>
        <v>11.025700000000001</v>
      </c>
      <c r="G616" s="67">
        <f>11.0304 * CHOOSE(CONTROL!$C$26, $C$13, 100%, $E$13)</f>
        <v>11.0304</v>
      </c>
      <c r="H616" s="67">
        <f>20.511* CHOOSE(CONTROL!$C$26, $C$13, 100%, $E$13)</f>
        <v>20.510999999999999</v>
      </c>
      <c r="I616" s="67">
        <f>20.5158 * CHOOSE(CONTROL!$C$26, $C$13, 100%, $E$13)</f>
        <v>20.515799999999999</v>
      </c>
      <c r="J616" s="67">
        <f>11.0257 * CHOOSE(CONTROL!$C$26, $C$13, 100%, $E$13)</f>
        <v>11.025700000000001</v>
      </c>
      <c r="K616" s="67">
        <f>11.0304 * CHOOSE(CONTROL!$C$26, $C$13, 100%, $E$13)</f>
        <v>11.0304</v>
      </c>
    </row>
    <row r="617" spans="1:11" ht="15">
      <c r="A617" s="13">
        <v>59902</v>
      </c>
      <c r="B617" s="66">
        <f>9.6029 * CHOOSE(CONTROL!$C$26, $C$13, 100%, $E$13)</f>
        <v>9.6029</v>
      </c>
      <c r="C617" s="66">
        <f>9.6029 * CHOOSE(CONTROL!$C$26, $C$13, 100%, $E$13)</f>
        <v>9.6029</v>
      </c>
      <c r="D617" s="66">
        <f>9.6068 * CHOOSE(CONTROL!$C$26, $C$13, 100%, $E$13)</f>
        <v>9.6067999999999998</v>
      </c>
      <c r="E617" s="67">
        <f>11.1732 * CHOOSE(CONTROL!$C$26, $C$13, 100%, $E$13)</f>
        <v>11.1732</v>
      </c>
      <c r="F617" s="67">
        <f>11.1732 * CHOOSE(CONTROL!$C$26, $C$13, 100%, $E$13)</f>
        <v>11.1732</v>
      </c>
      <c r="G617" s="67">
        <f>11.178 * CHOOSE(CONTROL!$C$26, $C$13, 100%, $E$13)</f>
        <v>11.178000000000001</v>
      </c>
      <c r="H617" s="67">
        <f>20.5293* CHOOSE(CONTROL!$C$26, $C$13, 100%, $E$13)</f>
        <v>20.529299999999999</v>
      </c>
      <c r="I617" s="67">
        <f>20.5341 * CHOOSE(CONTROL!$C$26, $C$13, 100%, $E$13)</f>
        <v>20.534099999999999</v>
      </c>
      <c r="J617" s="67">
        <f>11.1732 * CHOOSE(CONTROL!$C$26, $C$13, 100%, $E$13)</f>
        <v>11.1732</v>
      </c>
      <c r="K617" s="67">
        <f>11.178 * CHOOSE(CONTROL!$C$26, $C$13, 100%, $E$13)</f>
        <v>11.178000000000001</v>
      </c>
    </row>
    <row r="618" spans="1:11" ht="15">
      <c r="A618" s="13">
        <v>59933</v>
      </c>
      <c r="B618" s="66">
        <f>9.5999 * CHOOSE(CONTROL!$C$26, $C$13, 100%, $E$13)</f>
        <v>9.5998999999999999</v>
      </c>
      <c r="C618" s="66">
        <f>9.5999 * CHOOSE(CONTROL!$C$26, $C$13, 100%, $E$13)</f>
        <v>9.5998999999999999</v>
      </c>
      <c r="D618" s="66">
        <f>9.6037 * CHOOSE(CONTROL!$C$26, $C$13, 100%, $E$13)</f>
        <v>9.6036999999999999</v>
      </c>
      <c r="E618" s="67">
        <f>10.9803 * CHOOSE(CONTROL!$C$26, $C$13, 100%, $E$13)</f>
        <v>10.9803</v>
      </c>
      <c r="F618" s="67">
        <f>10.9803 * CHOOSE(CONTROL!$C$26, $C$13, 100%, $E$13)</f>
        <v>10.9803</v>
      </c>
      <c r="G618" s="67">
        <f>10.9851 * CHOOSE(CONTROL!$C$26, $C$13, 100%, $E$13)</f>
        <v>10.985099999999999</v>
      </c>
      <c r="H618" s="67">
        <f>20.5721* CHOOSE(CONTROL!$C$26, $C$13, 100%, $E$13)</f>
        <v>20.572099999999999</v>
      </c>
      <c r="I618" s="67">
        <f>20.5769 * CHOOSE(CONTROL!$C$26, $C$13, 100%, $E$13)</f>
        <v>20.576899999999998</v>
      </c>
      <c r="J618" s="67">
        <f>10.9803 * CHOOSE(CONTROL!$C$26, $C$13, 100%, $E$13)</f>
        <v>10.9803</v>
      </c>
      <c r="K618" s="67">
        <f>10.9851 * CHOOSE(CONTROL!$C$26, $C$13, 100%, $E$13)</f>
        <v>10.985099999999999</v>
      </c>
    </row>
    <row r="619" spans="1:11" ht="15">
      <c r="A619" s="13">
        <v>59962</v>
      </c>
      <c r="B619" s="66">
        <f>9.5968 * CHOOSE(CONTROL!$C$26, $C$13, 100%, $E$13)</f>
        <v>9.5968</v>
      </c>
      <c r="C619" s="66">
        <f>9.5968 * CHOOSE(CONTROL!$C$26, $C$13, 100%, $E$13)</f>
        <v>9.5968</v>
      </c>
      <c r="D619" s="66">
        <f>9.6007 * CHOOSE(CONTROL!$C$26, $C$13, 100%, $E$13)</f>
        <v>9.6006999999999998</v>
      </c>
      <c r="E619" s="67">
        <f>11.1286 * CHOOSE(CONTROL!$C$26, $C$13, 100%, $E$13)</f>
        <v>11.1286</v>
      </c>
      <c r="F619" s="67">
        <f>11.1286 * CHOOSE(CONTROL!$C$26, $C$13, 100%, $E$13)</f>
        <v>11.1286</v>
      </c>
      <c r="G619" s="67">
        <f>11.1333 * CHOOSE(CONTROL!$C$26, $C$13, 100%, $E$13)</f>
        <v>11.1333</v>
      </c>
      <c r="H619" s="67">
        <f>20.615* CHOOSE(CONTROL!$C$26, $C$13, 100%, $E$13)</f>
        <v>20.614999999999998</v>
      </c>
      <c r="I619" s="67">
        <f>20.6197 * CHOOSE(CONTROL!$C$26, $C$13, 100%, $E$13)</f>
        <v>20.619700000000002</v>
      </c>
      <c r="J619" s="67">
        <f>11.1286 * CHOOSE(CONTROL!$C$26, $C$13, 100%, $E$13)</f>
        <v>11.1286</v>
      </c>
      <c r="K619" s="67">
        <f>11.1333 * CHOOSE(CONTROL!$C$26, $C$13, 100%, $E$13)</f>
        <v>11.1333</v>
      </c>
    </row>
    <row r="620" spans="1:11" ht="15">
      <c r="A620" s="13">
        <v>59993</v>
      </c>
      <c r="B620" s="66">
        <f>9.5992 * CHOOSE(CONTROL!$C$26, $C$13, 100%, $E$13)</f>
        <v>9.5991999999999997</v>
      </c>
      <c r="C620" s="66">
        <f>9.5992 * CHOOSE(CONTROL!$C$26, $C$13, 100%, $E$13)</f>
        <v>9.5991999999999997</v>
      </c>
      <c r="D620" s="66">
        <f>9.6031 * CHOOSE(CONTROL!$C$26, $C$13, 100%, $E$13)</f>
        <v>9.6030999999999995</v>
      </c>
      <c r="E620" s="67">
        <f>11.2859 * CHOOSE(CONTROL!$C$26, $C$13, 100%, $E$13)</f>
        <v>11.2859</v>
      </c>
      <c r="F620" s="67">
        <f>11.2859 * CHOOSE(CONTROL!$C$26, $C$13, 100%, $E$13)</f>
        <v>11.2859</v>
      </c>
      <c r="G620" s="67">
        <f>11.2906 * CHOOSE(CONTROL!$C$26, $C$13, 100%, $E$13)</f>
        <v>11.2906</v>
      </c>
      <c r="H620" s="67">
        <f>20.6579* CHOOSE(CONTROL!$C$26, $C$13, 100%, $E$13)</f>
        <v>20.657900000000001</v>
      </c>
      <c r="I620" s="67">
        <f>20.6627 * CHOOSE(CONTROL!$C$26, $C$13, 100%, $E$13)</f>
        <v>20.662700000000001</v>
      </c>
      <c r="J620" s="67">
        <f>11.2859 * CHOOSE(CONTROL!$C$26, $C$13, 100%, $E$13)</f>
        <v>11.2859</v>
      </c>
      <c r="K620" s="67">
        <f>11.2906 * CHOOSE(CONTROL!$C$26, $C$13, 100%, $E$13)</f>
        <v>11.2906</v>
      </c>
    </row>
    <row r="621" spans="1:11" ht="15">
      <c r="A621" s="13">
        <v>60023</v>
      </c>
      <c r="B621" s="66">
        <f>9.5992 * CHOOSE(CONTROL!$C$26, $C$13, 100%, $E$13)</f>
        <v>9.5991999999999997</v>
      </c>
      <c r="C621" s="66">
        <f>9.5992 * CHOOSE(CONTROL!$C$26, $C$13, 100%, $E$13)</f>
        <v>9.5991999999999997</v>
      </c>
      <c r="D621" s="66">
        <f>9.6047 * CHOOSE(CONTROL!$C$26, $C$13, 100%, $E$13)</f>
        <v>9.6046999999999993</v>
      </c>
      <c r="E621" s="67">
        <f>11.3464 * CHOOSE(CONTROL!$C$26, $C$13, 100%, $E$13)</f>
        <v>11.346399999999999</v>
      </c>
      <c r="F621" s="67">
        <f>11.3464 * CHOOSE(CONTROL!$C$26, $C$13, 100%, $E$13)</f>
        <v>11.346399999999999</v>
      </c>
      <c r="G621" s="67">
        <f>11.3532 * CHOOSE(CONTROL!$C$26, $C$13, 100%, $E$13)</f>
        <v>11.353199999999999</v>
      </c>
      <c r="H621" s="67">
        <f>20.701* CHOOSE(CONTROL!$C$26, $C$13, 100%, $E$13)</f>
        <v>20.701000000000001</v>
      </c>
      <c r="I621" s="67">
        <f>20.7077 * CHOOSE(CONTROL!$C$26, $C$13, 100%, $E$13)</f>
        <v>20.707699999999999</v>
      </c>
      <c r="J621" s="67">
        <f>11.3464 * CHOOSE(CONTROL!$C$26, $C$13, 100%, $E$13)</f>
        <v>11.346399999999999</v>
      </c>
      <c r="K621" s="67">
        <f>11.3532 * CHOOSE(CONTROL!$C$26, $C$13, 100%, $E$13)</f>
        <v>11.353199999999999</v>
      </c>
    </row>
    <row r="622" spans="1:11" ht="15">
      <c r="A622" s="13">
        <v>60054</v>
      </c>
      <c r="B622" s="66">
        <f>9.6053 * CHOOSE(CONTROL!$C$26, $C$13, 100%, $E$13)</f>
        <v>9.6052999999999997</v>
      </c>
      <c r="C622" s="66">
        <f>9.6053 * CHOOSE(CONTROL!$C$26, $C$13, 100%, $E$13)</f>
        <v>9.6052999999999997</v>
      </c>
      <c r="D622" s="66">
        <f>9.6108 * CHOOSE(CONTROL!$C$26, $C$13, 100%, $E$13)</f>
        <v>9.6107999999999993</v>
      </c>
      <c r="E622" s="67">
        <f>11.2901 * CHOOSE(CONTROL!$C$26, $C$13, 100%, $E$13)</f>
        <v>11.290100000000001</v>
      </c>
      <c r="F622" s="67">
        <f>11.2901 * CHOOSE(CONTROL!$C$26, $C$13, 100%, $E$13)</f>
        <v>11.290100000000001</v>
      </c>
      <c r="G622" s="67">
        <f>11.2968 * CHOOSE(CONTROL!$C$26, $C$13, 100%, $E$13)</f>
        <v>11.296799999999999</v>
      </c>
      <c r="H622" s="67">
        <f>20.7441* CHOOSE(CONTROL!$C$26, $C$13, 100%, $E$13)</f>
        <v>20.7441</v>
      </c>
      <c r="I622" s="67">
        <f>20.7508 * CHOOSE(CONTROL!$C$26, $C$13, 100%, $E$13)</f>
        <v>20.750800000000002</v>
      </c>
      <c r="J622" s="67">
        <f>11.2901 * CHOOSE(CONTROL!$C$26, $C$13, 100%, $E$13)</f>
        <v>11.290100000000001</v>
      </c>
      <c r="K622" s="67">
        <f>11.2968 * CHOOSE(CONTROL!$C$26, $C$13, 100%, $E$13)</f>
        <v>11.296799999999999</v>
      </c>
    </row>
    <row r="623" spans="1:11" ht="15">
      <c r="A623" s="13">
        <v>60084</v>
      </c>
      <c r="B623" s="66">
        <f>9.754 * CHOOSE(CONTROL!$C$26, $C$13, 100%, $E$13)</f>
        <v>9.7539999999999996</v>
      </c>
      <c r="C623" s="66">
        <f>9.754 * CHOOSE(CONTROL!$C$26, $C$13, 100%, $E$13)</f>
        <v>9.7539999999999996</v>
      </c>
      <c r="D623" s="66">
        <f>9.7595 * CHOOSE(CONTROL!$C$26, $C$13, 100%, $E$13)</f>
        <v>9.7594999999999992</v>
      </c>
      <c r="E623" s="67">
        <f>11.4732 * CHOOSE(CONTROL!$C$26, $C$13, 100%, $E$13)</f>
        <v>11.4732</v>
      </c>
      <c r="F623" s="67">
        <f>11.4732 * CHOOSE(CONTROL!$C$26, $C$13, 100%, $E$13)</f>
        <v>11.4732</v>
      </c>
      <c r="G623" s="67">
        <f>11.4799 * CHOOSE(CONTROL!$C$26, $C$13, 100%, $E$13)</f>
        <v>11.479900000000001</v>
      </c>
      <c r="H623" s="67">
        <f>20.7873* CHOOSE(CONTROL!$C$26, $C$13, 100%, $E$13)</f>
        <v>20.787299999999998</v>
      </c>
      <c r="I623" s="67">
        <f>20.794 * CHOOSE(CONTROL!$C$26, $C$13, 100%, $E$13)</f>
        <v>20.794</v>
      </c>
      <c r="J623" s="67">
        <f>11.4732 * CHOOSE(CONTROL!$C$26, $C$13, 100%, $E$13)</f>
        <v>11.4732</v>
      </c>
      <c r="K623" s="67">
        <f>11.4799 * CHOOSE(CONTROL!$C$26, $C$13, 100%, $E$13)</f>
        <v>11.479900000000001</v>
      </c>
    </row>
    <row r="624" spans="1:11" ht="15">
      <c r="A624" s="13">
        <v>60115</v>
      </c>
      <c r="B624" s="66">
        <f>9.7607 * CHOOSE(CONTROL!$C$26, $C$13, 100%, $E$13)</f>
        <v>9.7606999999999999</v>
      </c>
      <c r="C624" s="66">
        <f>9.7607 * CHOOSE(CONTROL!$C$26, $C$13, 100%, $E$13)</f>
        <v>9.7606999999999999</v>
      </c>
      <c r="D624" s="66">
        <f>9.7662 * CHOOSE(CONTROL!$C$26, $C$13, 100%, $E$13)</f>
        <v>9.7661999999999995</v>
      </c>
      <c r="E624" s="67">
        <f>11.2961 * CHOOSE(CONTROL!$C$26, $C$13, 100%, $E$13)</f>
        <v>11.296099999999999</v>
      </c>
      <c r="F624" s="67">
        <f>11.2961 * CHOOSE(CONTROL!$C$26, $C$13, 100%, $E$13)</f>
        <v>11.296099999999999</v>
      </c>
      <c r="G624" s="67">
        <f>11.3029 * CHOOSE(CONTROL!$C$26, $C$13, 100%, $E$13)</f>
        <v>11.302899999999999</v>
      </c>
      <c r="H624" s="67">
        <f>20.8306* CHOOSE(CONTROL!$C$26, $C$13, 100%, $E$13)</f>
        <v>20.8306</v>
      </c>
      <c r="I624" s="67">
        <f>20.8373 * CHOOSE(CONTROL!$C$26, $C$13, 100%, $E$13)</f>
        <v>20.837299999999999</v>
      </c>
      <c r="J624" s="67">
        <f>11.2961 * CHOOSE(CONTROL!$C$26, $C$13, 100%, $E$13)</f>
        <v>11.296099999999999</v>
      </c>
      <c r="K624" s="67">
        <f>11.3029 * CHOOSE(CONTROL!$C$26, $C$13, 100%, $E$13)</f>
        <v>11.302899999999999</v>
      </c>
    </row>
    <row r="625" spans="1:11" ht="15">
      <c r="A625" s="13">
        <v>60146</v>
      </c>
      <c r="B625" s="66">
        <f>9.7577 * CHOOSE(CONTROL!$C$26, $C$13, 100%, $E$13)</f>
        <v>9.7576999999999998</v>
      </c>
      <c r="C625" s="66">
        <f>9.7577 * CHOOSE(CONTROL!$C$26, $C$13, 100%, $E$13)</f>
        <v>9.7576999999999998</v>
      </c>
      <c r="D625" s="66">
        <f>9.7632 * CHOOSE(CONTROL!$C$26, $C$13, 100%, $E$13)</f>
        <v>9.7631999999999994</v>
      </c>
      <c r="E625" s="67">
        <f>11.2738 * CHOOSE(CONTROL!$C$26, $C$13, 100%, $E$13)</f>
        <v>11.2738</v>
      </c>
      <c r="F625" s="67">
        <f>11.2738 * CHOOSE(CONTROL!$C$26, $C$13, 100%, $E$13)</f>
        <v>11.2738</v>
      </c>
      <c r="G625" s="67">
        <f>11.2806 * CHOOSE(CONTROL!$C$26, $C$13, 100%, $E$13)</f>
        <v>11.2806</v>
      </c>
      <c r="H625" s="67">
        <f>20.874* CHOOSE(CONTROL!$C$26, $C$13, 100%, $E$13)</f>
        <v>20.873999999999999</v>
      </c>
      <c r="I625" s="67">
        <f>20.8807 * CHOOSE(CONTROL!$C$26, $C$13, 100%, $E$13)</f>
        <v>20.880700000000001</v>
      </c>
      <c r="J625" s="67">
        <f>11.2738 * CHOOSE(CONTROL!$C$26, $C$13, 100%, $E$13)</f>
        <v>11.2738</v>
      </c>
      <c r="K625" s="67">
        <f>11.2806 * CHOOSE(CONTROL!$C$26, $C$13, 100%, $E$13)</f>
        <v>11.2806</v>
      </c>
    </row>
    <row r="626" spans="1:11" ht="15">
      <c r="A626" s="13">
        <v>60176</v>
      </c>
      <c r="B626" s="66">
        <f>9.7714 * CHOOSE(CONTROL!$C$26, $C$13, 100%, $E$13)</f>
        <v>9.7713999999999999</v>
      </c>
      <c r="C626" s="66">
        <f>9.7714 * CHOOSE(CONTROL!$C$26, $C$13, 100%, $E$13)</f>
        <v>9.7713999999999999</v>
      </c>
      <c r="D626" s="66">
        <f>9.7753 * CHOOSE(CONTROL!$C$26, $C$13, 100%, $E$13)</f>
        <v>9.7752999999999997</v>
      </c>
      <c r="E626" s="67">
        <f>11.3412 * CHOOSE(CONTROL!$C$26, $C$13, 100%, $E$13)</f>
        <v>11.341200000000001</v>
      </c>
      <c r="F626" s="67">
        <f>11.3412 * CHOOSE(CONTROL!$C$26, $C$13, 100%, $E$13)</f>
        <v>11.341200000000001</v>
      </c>
      <c r="G626" s="67">
        <f>11.346 * CHOOSE(CONTROL!$C$26, $C$13, 100%, $E$13)</f>
        <v>11.346</v>
      </c>
      <c r="H626" s="67">
        <f>20.9175* CHOOSE(CONTROL!$C$26, $C$13, 100%, $E$13)</f>
        <v>20.9175</v>
      </c>
      <c r="I626" s="67">
        <f>20.9223 * CHOOSE(CONTROL!$C$26, $C$13, 100%, $E$13)</f>
        <v>20.9223</v>
      </c>
      <c r="J626" s="67">
        <f>11.3412 * CHOOSE(CONTROL!$C$26, $C$13, 100%, $E$13)</f>
        <v>11.341200000000001</v>
      </c>
      <c r="K626" s="67">
        <f>11.346 * CHOOSE(CONTROL!$C$26, $C$13, 100%, $E$13)</f>
        <v>11.346</v>
      </c>
    </row>
    <row r="627" spans="1:11" ht="15">
      <c r="A627" s="13">
        <v>60207</v>
      </c>
      <c r="B627" s="66">
        <f>9.7745 * CHOOSE(CONTROL!$C$26, $C$13, 100%, $E$13)</f>
        <v>9.7744999999999997</v>
      </c>
      <c r="C627" s="66">
        <f>9.7745 * CHOOSE(CONTROL!$C$26, $C$13, 100%, $E$13)</f>
        <v>9.7744999999999997</v>
      </c>
      <c r="D627" s="66">
        <f>9.7784 * CHOOSE(CONTROL!$C$26, $C$13, 100%, $E$13)</f>
        <v>9.7783999999999995</v>
      </c>
      <c r="E627" s="67">
        <f>11.3837 * CHOOSE(CONTROL!$C$26, $C$13, 100%, $E$13)</f>
        <v>11.383699999999999</v>
      </c>
      <c r="F627" s="67">
        <f>11.3837 * CHOOSE(CONTROL!$C$26, $C$13, 100%, $E$13)</f>
        <v>11.383699999999999</v>
      </c>
      <c r="G627" s="67">
        <f>11.3884 * CHOOSE(CONTROL!$C$26, $C$13, 100%, $E$13)</f>
        <v>11.388400000000001</v>
      </c>
      <c r="H627" s="67">
        <f>20.9611* CHOOSE(CONTROL!$C$26, $C$13, 100%, $E$13)</f>
        <v>20.961099999999998</v>
      </c>
      <c r="I627" s="67">
        <f>20.9658 * CHOOSE(CONTROL!$C$26, $C$13, 100%, $E$13)</f>
        <v>20.965800000000002</v>
      </c>
      <c r="J627" s="67">
        <f>11.3837 * CHOOSE(CONTROL!$C$26, $C$13, 100%, $E$13)</f>
        <v>11.383699999999999</v>
      </c>
      <c r="K627" s="67">
        <f>11.3884 * CHOOSE(CONTROL!$C$26, $C$13, 100%, $E$13)</f>
        <v>11.388400000000001</v>
      </c>
    </row>
    <row r="628" spans="1:11" ht="15">
      <c r="A628" s="13">
        <v>60237</v>
      </c>
      <c r="B628" s="66">
        <f>9.7745 * CHOOSE(CONTROL!$C$26, $C$13, 100%, $E$13)</f>
        <v>9.7744999999999997</v>
      </c>
      <c r="C628" s="66">
        <f>9.7745 * CHOOSE(CONTROL!$C$26, $C$13, 100%, $E$13)</f>
        <v>9.7744999999999997</v>
      </c>
      <c r="D628" s="66">
        <f>9.7784 * CHOOSE(CONTROL!$C$26, $C$13, 100%, $E$13)</f>
        <v>9.7783999999999995</v>
      </c>
      <c r="E628" s="67">
        <f>11.2827 * CHOOSE(CONTROL!$C$26, $C$13, 100%, $E$13)</f>
        <v>11.2827</v>
      </c>
      <c r="F628" s="67">
        <f>11.2827 * CHOOSE(CONTROL!$C$26, $C$13, 100%, $E$13)</f>
        <v>11.2827</v>
      </c>
      <c r="G628" s="67">
        <f>11.2875 * CHOOSE(CONTROL!$C$26, $C$13, 100%, $E$13)</f>
        <v>11.2875</v>
      </c>
      <c r="H628" s="67">
        <f>21.0047* CHOOSE(CONTROL!$C$26, $C$13, 100%, $E$13)</f>
        <v>21.0047</v>
      </c>
      <c r="I628" s="67">
        <f>21.0095 * CHOOSE(CONTROL!$C$26, $C$13, 100%, $E$13)</f>
        <v>21.009499999999999</v>
      </c>
      <c r="J628" s="67">
        <f>11.2827 * CHOOSE(CONTROL!$C$26, $C$13, 100%, $E$13)</f>
        <v>11.2827</v>
      </c>
      <c r="K628" s="67">
        <f>11.2875 * CHOOSE(CONTROL!$C$26, $C$13, 100%, $E$13)</f>
        <v>11.2875</v>
      </c>
    </row>
    <row r="629" spans="1:11" ht="15">
      <c r="A629" s="13">
        <v>60268</v>
      </c>
      <c r="B629" s="66">
        <f>9.8385 * CHOOSE(CONTROL!$C$26, $C$13, 100%, $E$13)</f>
        <v>9.8384999999999998</v>
      </c>
      <c r="C629" s="66">
        <f>9.8385 * CHOOSE(CONTROL!$C$26, $C$13, 100%, $E$13)</f>
        <v>9.8384999999999998</v>
      </c>
      <c r="D629" s="66">
        <f>9.8423 * CHOOSE(CONTROL!$C$26, $C$13, 100%, $E$13)</f>
        <v>9.8422999999999998</v>
      </c>
      <c r="E629" s="67">
        <f>11.4279 * CHOOSE(CONTROL!$C$26, $C$13, 100%, $E$13)</f>
        <v>11.427899999999999</v>
      </c>
      <c r="F629" s="67">
        <f>11.4279 * CHOOSE(CONTROL!$C$26, $C$13, 100%, $E$13)</f>
        <v>11.427899999999999</v>
      </c>
      <c r="G629" s="67">
        <f>11.4327 * CHOOSE(CONTROL!$C$26, $C$13, 100%, $E$13)</f>
        <v>11.432700000000001</v>
      </c>
      <c r="H629" s="67">
        <f>21.0119* CHOOSE(CONTROL!$C$26, $C$13, 100%, $E$13)</f>
        <v>21.011900000000001</v>
      </c>
      <c r="I629" s="67">
        <f>21.0167 * CHOOSE(CONTROL!$C$26, $C$13, 100%, $E$13)</f>
        <v>21.0167</v>
      </c>
      <c r="J629" s="67">
        <f>11.4279 * CHOOSE(CONTROL!$C$26, $C$13, 100%, $E$13)</f>
        <v>11.427899999999999</v>
      </c>
      <c r="K629" s="67">
        <f>11.4327 * CHOOSE(CONTROL!$C$26, $C$13, 100%, $E$13)</f>
        <v>11.432700000000001</v>
      </c>
    </row>
    <row r="630" spans="1:11" ht="15">
      <c r="A630" s="13">
        <v>60299</v>
      </c>
      <c r="B630" s="66">
        <f>9.8354 * CHOOSE(CONTROL!$C$26, $C$13, 100%, $E$13)</f>
        <v>9.8353999999999999</v>
      </c>
      <c r="C630" s="66">
        <f>9.8354 * CHOOSE(CONTROL!$C$26, $C$13, 100%, $E$13)</f>
        <v>9.8353999999999999</v>
      </c>
      <c r="D630" s="66">
        <f>9.8393 * CHOOSE(CONTROL!$C$26, $C$13, 100%, $E$13)</f>
        <v>9.8392999999999997</v>
      </c>
      <c r="E630" s="67">
        <f>11.2301 * CHOOSE(CONTROL!$C$26, $C$13, 100%, $E$13)</f>
        <v>11.2301</v>
      </c>
      <c r="F630" s="67">
        <f>11.2301 * CHOOSE(CONTROL!$C$26, $C$13, 100%, $E$13)</f>
        <v>11.2301</v>
      </c>
      <c r="G630" s="67">
        <f>11.2349 * CHOOSE(CONTROL!$C$26, $C$13, 100%, $E$13)</f>
        <v>11.2349</v>
      </c>
      <c r="H630" s="67">
        <f>21.0557* CHOOSE(CONTROL!$C$26, $C$13, 100%, $E$13)</f>
        <v>21.055700000000002</v>
      </c>
      <c r="I630" s="67">
        <f>21.0604 * CHOOSE(CONTROL!$C$26, $C$13, 100%, $E$13)</f>
        <v>21.060400000000001</v>
      </c>
      <c r="J630" s="67">
        <f>11.2301 * CHOOSE(CONTROL!$C$26, $C$13, 100%, $E$13)</f>
        <v>11.2301</v>
      </c>
      <c r="K630" s="67">
        <f>11.2349 * CHOOSE(CONTROL!$C$26, $C$13, 100%, $E$13)</f>
        <v>11.2349</v>
      </c>
    </row>
    <row r="631" spans="1:11" ht="15">
      <c r="A631" s="13">
        <v>60327</v>
      </c>
      <c r="B631" s="66">
        <f>9.8324 * CHOOSE(CONTROL!$C$26, $C$13, 100%, $E$13)</f>
        <v>9.8323999999999998</v>
      </c>
      <c r="C631" s="66">
        <f>9.8324 * CHOOSE(CONTROL!$C$26, $C$13, 100%, $E$13)</f>
        <v>9.8323999999999998</v>
      </c>
      <c r="D631" s="66">
        <f>9.8363 * CHOOSE(CONTROL!$C$26, $C$13, 100%, $E$13)</f>
        <v>9.8362999999999996</v>
      </c>
      <c r="E631" s="67">
        <f>11.3823 * CHOOSE(CONTROL!$C$26, $C$13, 100%, $E$13)</f>
        <v>11.382300000000001</v>
      </c>
      <c r="F631" s="67">
        <f>11.3823 * CHOOSE(CONTROL!$C$26, $C$13, 100%, $E$13)</f>
        <v>11.382300000000001</v>
      </c>
      <c r="G631" s="67">
        <f>11.387 * CHOOSE(CONTROL!$C$26, $C$13, 100%, $E$13)</f>
        <v>11.387</v>
      </c>
      <c r="H631" s="67">
        <f>21.0995* CHOOSE(CONTROL!$C$26, $C$13, 100%, $E$13)</f>
        <v>21.099499999999999</v>
      </c>
      <c r="I631" s="67">
        <f>21.1043 * CHOOSE(CONTROL!$C$26, $C$13, 100%, $E$13)</f>
        <v>21.104299999999999</v>
      </c>
      <c r="J631" s="67">
        <f>11.3823 * CHOOSE(CONTROL!$C$26, $C$13, 100%, $E$13)</f>
        <v>11.382300000000001</v>
      </c>
      <c r="K631" s="67">
        <f>11.387 * CHOOSE(CONTROL!$C$26, $C$13, 100%, $E$13)</f>
        <v>11.387</v>
      </c>
    </row>
    <row r="632" spans="1:11" ht="15">
      <c r="A632" s="13">
        <v>60358</v>
      </c>
      <c r="B632" s="66">
        <f>9.835 * CHOOSE(CONTROL!$C$26, $C$13, 100%, $E$13)</f>
        <v>9.8350000000000009</v>
      </c>
      <c r="C632" s="66">
        <f>9.835 * CHOOSE(CONTROL!$C$26, $C$13, 100%, $E$13)</f>
        <v>9.8350000000000009</v>
      </c>
      <c r="D632" s="66">
        <f>9.8388 * CHOOSE(CONTROL!$C$26, $C$13, 100%, $E$13)</f>
        <v>9.8388000000000009</v>
      </c>
      <c r="E632" s="67">
        <f>11.5437 * CHOOSE(CONTROL!$C$26, $C$13, 100%, $E$13)</f>
        <v>11.543699999999999</v>
      </c>
      <c r="F632" s="67">
        <f>11.5437 * CHOOSE(CONTROL!$C$26, $C$13, 100%, $E$13)</f>
        <v>11.543699999999999</v>
      </c>
      <c r="G632" s="67">
        <f>11.5485 * CHOOSE(CONTROL!$C$26, $C$13, 100%, $E$13)</f>
        <v>11.548500000000001</v>
      </c>
      <c r="H632" s="67">
        <f>21.1435* CHOOSE(CONTROL!$C$26, $C$13, 100%, $E$13)</f>
        <v>21.1435</v>
      </c>
      <c r="I632" s="67">
        <f>21.1483 * CHOOSE(CONTROL!$C$26, $C$13, 100%, $E$13)</f>
        <v>21.148299999999999</v>
      </c>
      <c r="J632" s="67">
        <f>11.5437 * CHOOSE(CONTROL!$C$26, $C$13, 100%, $E$13)</f>
        <v>11.543699999999999</v>
      </c>
      <c r="K632" s="67">
        <f>11.5485 * CHOOSE(CONTROL!$C$26, $C$13, 100%, $E$13)</f>
        <v>11.548500000000001</v>
      </c>
    </row>
    <row r="633" spans="1:11" ht="15">
      <c r="A633" s="13">
        <v>60388</v>
      </c>
      <c r="B633" s="66">
        <f>9.835 * CHOOSE(CONTROL!$C$26, $C$13, 100%, $E$13)</f>
        <v>9.8350000000000009</v>
      </c>
      <c r="C633" s="66">
        <f>9.835 * CHOOSE(CONTROL!$C$26, $C$13, 100%, $E$13)</f>
        <v>9.8350000000000009</v>
      </c>
      <c r="D633" s="66">
        <f>9.8405 * CHOOSE(CONTROL!$C$26, $C$13, 100%, $E$13)</f>
        <v>9.8405000000000005</v>
      </c>
      <c r="E633" s="67">
        <f>11.6059 * CHOOSE(CONTROL!$C$26, $C$13, 100%, $E$13)</f>
        <v>11.6059</v>
      </c>
      <c r="F633" s="67">
        <f>11.6059 * CHOOSE(CONTROL!$C$26, $C$13, 100%, $E$13)</f>
        <v>11.6059</v>
      </c>
      <c r="G633" s="67">
        <f>11.6126 * CHOOSE(CONTROL!$C$26, $C$13, 100%, $E$13)</f>
        <v>11.6126</v>
      </c>
      <c r="H633" s="67">
        <f>21.1875* CHOOSE(CONTROL!$C$26, $C$13, 100%, $E$13)</f>
        <v>21.1875</v>
      </c>
      <c r="I633" s="67">
        <f>21.1943 * CHOOSE(CONTROL!$C$26, $C$13, 100%, $E$13)</f>
        <v>21.194299999999998</v>
      </c>
      <c r="J633" s="67">
        <f>11.6059 * CHOOSE(CONTROL!$C$26, $C$13, 100%, $E$13)</f>
        <v>11.6059</v>
      </c>
      <c r="K633" s="67">
        <f>11.6126 * CHOOSE(CONTROL!$C$26, $C$13, 100%, $E$13)</f>
        <v>11.6126</v>
      </c>
    </row>
    <row r="634" spans="1:11" ht="15">
      <c r="A634" s="13">
        <v>60419</v>
      </c>
      <c r="B634" s="66">
        <f>9.841 * CHOOSE(CONTROL!$C$26, $C$13, 100%, $E$13)</f>
        <v>9.8409999999999993</v>
      </c>
      <c r="C634" s="66">
        <f>9.841 * CHOOSE(CONTROL!$C$26, $C$13, 100%, $E$13)</f>
        <v>9.8409999999999993</v>
      </c>
      <c r="D634" s="66">
        <f>9.8466 * CHOOSE(CONTROL!$C$26, $C$13, 100%, $E$13)</f>
        <v>9.8466000000000005</v>
      </c>
      <c r="E634" s="67">
        <f>11.548 * CHOOSE(CONTROL!$C$26, $C$13, 100%, $E$13)</f>
        <v>11.548</v>
      </c>
      <c r="F634" s="67">
        <f>11.548 * CHOOSE(CONTROL!$C$26, $C$13, 100%, $E$13)</f>
        <v>11.548</v>
      </c>
      <c r="G634" s="67">
        <f>11.5547 * CHOOSE(CONTROL!$C$26, $C$13, 100%, $E$13)</f>
        <v>11.5547</v>
      </c>
      <c r="H634" s="67">
        <f>21.2317* CHOOSE(CONTROL!$C$26, $C$13, 100%, $E$13)</f>
        <v>21.2317</v>
      </c>
      <c r="I634" s="67">
        <f>21.2384 * CHOOSE(CONTROL!$C$26, $C$13, 100%, $E$13)</f>
        <v>21.238399999999999</v>
      </c>
      <c r="J634" s="67">
        <f>11.548 * CHOOSE(CONTROL!$C$26, $C$13, 100%, $E$13)</f>
        <v>11.548</v>
      </c>
      <c r="K634" s="67">
        <f>11.5547 * CHOOSE(CONTROL!$C$26, $C$13, 100%, $E$13)</f>
        <v>11.5547</v>
      </c>
    </row>
    <row r="635" spans="1:11" ht="15">
      <c r="A635" s="13">
        <v>60449</v>
      </c>
      <c r="B635" s="66">
        <f>9.9932 * CHOOSE(CONTROL!$C$26, $C$13, 100%, $E$13)</f>
        <v>9.9931999999999999</v>
      </c>
      <c r="C635" s="66">
        <f>9.9932 * CHOOSE(CONTROL!$C$26, $C$13, 100%, $E$13)</f>
        <v>9.9931999999999999</v>
      </c>
      <c r="D635" s="66">
        <f>9.9987 * CHOOSE(CONTROL!$C$26, $C$13, 100%, $E$13)</f>
        <v>9.9986999999999995</v>
      </c>
      <c r="E635" s="67">
        <f>11.735 * CHOOSE(CONTROL!$C$26, $C$13, 100%, $E$13)</f>
        <v>11.734999999999999</v>
      </c>
      <c r="F635" s="67">
        <f>11.735 * CHOOSE(CONTROL!$C$26, $C$13, 100%, $E$13)</f>
        <v>11.734999999999999</v>
      </c>
      <c r="G635" s="67">
        <f>11.7417 * CHOOSE(CONTROL!$C$26, $C$13, 100%, $E$13)</f>
        <v>11.7417</v>
      </c>
      <c r="H635" s="67">
        <f>21.2759* CHOOSE(CONTROL!$C$26, $C$13, 100%, $E$13)</f>
        <v>21.2759</v>
      </c>
      <c r="I635" s="67">
        <f>21.2827 * CHOOSE(CONTROL!$C$26, $C$13, 100%, $E$13)</f>
        <v>21.282699999999998</v>
      </c>
      <c r="J635" s="67">
        <f>11.735 * CHOOSE(CONTROL!$C$26, $C$13, 100%, $E$13)</f>
        <v>11.734999999999999</v>
      </c>
      <c r="K635" s="67">
        <f>11.7417 * CHOOSE(CONTROL!$C$26, $C$13, 100%, $E$13)</f>
        <v>11.7417</v>
      </c>
    </row>
    <row r="636" spans="1:11" ht="15">
      <c r="A636" s="13">
        <v>60480</v>
      </c>
      <c r="B636" s="66">
        <f>9.9999 * CHOOSE(CONTROL!$C$26, $C$13, 100%, $E$13)</f>
        <v>9.9999000000000002</v>
      </c>
      <c r="C636" s="66">
        <f>9.9999 * CHOOSE(CONTROL!$C$26, $C$13, 100%, $E$13)</f>
        <v>9.9999000000000002</v>
      </c>
      <c r="D636" s="66">
        <f>10.0054 * CHOOSE(CONTROL!$C$26, $C$13, 100%, $E$13)</f>
        <v>10.0054</v>
      </c>
      <c r="E636" s="67">
        <f>11.5532 * CHOOSE(CONTROL!$C$26, $C$13, 100%, $E$13)</f>
        <v>11.5532</v>
      </c>
      <c r="F636" s="67">
        <f>11.5532 * CHOOSE(CONTROL!$C$26, $C$13, 100%, $E$13)</f>
        <v>11.5532</v>
      </c>
      <c r="G636" s="67">
        <f>11.56 * CHOOSE(CONTROL!$C$26, $C$13, 100%, $E$13)</f>
        <v>11.56</v>
      </c>
      <c r="H636" s="67">
        <f>21.3202* CHOOSE(CONTROL!$C$26, $C$13, 100%, $E$13)</f>
        <v>21.3202</v>
      </c>
      <c r="I636" s="67">
        <f>21.327 * CHOOSE(CONTROL!$C$26, $C$13, 100%, $E$13)</f>
        <v>21.327000000000002</v>
      </c>
      <c r="J636" s="67">
        <f>11.5532 * CHOOSE(CONTROL!$C$26, $C$13, 100%, $E$13)</f>
        <v>11.5532</v>
      </c>
      <c r="K636" s="67">
        <f>11.56 * CHOOSE(CONTROL!$C$26, $C$13, 100%, $E$13)</f>
        <v>11.56</v>
      </c>
    </row>
    <row r="637" spans="1:11" ht="15">
      <c r="A637" s="13">
        <v>60511</v>
      </c>
      <c r="B637" s="66">
        <f>9.9968 * CHOOSE(CONTROL!$C$26, $C$13, 100%, $E$13)</f>
        <v>9.9968000000000004</v>
      </c>
      <c r="C637" s="66">
        <f>9.9968 * CHOOSE(CONTROL!$C$26, $C$13, 100%, $E$13)</f>
        <v>9.9968000000000004</v>
      </c>
      <c r="D637" s="66">
        <f>10.0023 * CHOOSE(CONTROL!$C$26, $C$13, 100%, $E$13)</f>
        <v>10.0023</v>
      </c>
      <c r="E637" s="67">
        <f>11.5304 * CHOOSE(CONTROL!$C$26, $C$13, 100%, $E$13)</f>
        <v>11.5304</v>
      </c>
      <c r="F637" s="67">
        <f>11.5304 * CHOOSE(CONTROL!$C$26, $C$13, 100%, $E$13)</f>
        <v>11.5304</v>
      </c>
      <c r="G637" s="67">
        <f>11.5371 * CHOOSE(CONTROL!$C$26, $C$13, 100%, $E$13)</f>
        <v>11.537100000000001</v>
      </c>
      <c r="H637" s="67">
        <f>21.3647* CHOOSE(CONTROL!$C$26, $C$13, 100%, $E$13)</f>
        <v>21.364699999999999</v>
      </c>
      <c r="I637" s="67">
        <f>21.3714 * CHOOSE(CONTROL!$C$26, $C$13, 100%, $E$13)</f>
        <v>21.371400000000001</v>
      </c>
      <c r="J637" s="67">
        <f>11.5304 * CHOOSE(CONTROL!$C$26, $C$13, 100%, $E$13)</f>
        <v>11.5304</v>
      </c>
      <c r="K637" s="67">
        <f>11.5371 * CHOOSE(CONTROL!$C$26, $C$13, 100%, $E$13)</f>
        <v>11.537100000000001</v>
      </c>
    </row>
    <row r="638" spans="1:11" ht="15">
      <c r="A638" s="13">
        <v>60541</v>
      </c>
      <c r="B638" s="66">
        <f>10.0114 * CHOOSE(CONTROL!$C$26, $C$13, 100%, $E$13)</f>
        <v>10.0114</v>
      </c>
      <c r="C638" s="66">
        <f>10.0114 * CHOOSE(CONTROL!$C$26, $C$13, 100%, $E$13)</f>
        <v>10.0114</v>
      </c>
      <c r="D638" s="66">
        <f>10.0153 * CHOOSE(CONTROL!$C$26, $C$13, 100%, $E$13)</f>
        <v>10.0153</v>
      </c>
      <c r="E638" s="67">
        <f>11.5998 * CHOOSE(CONTROL!$C$26, $C$13, 100%, $E$13)</f>
        <v>11.5998</v>
      </c>
      <c r="F638" s="67">
        <f>11.5998 * CHOOSE(CONTROL!$C$26, $C$13, 100%, $E$13)</f>
        <v>11.5998</v>
      </c>
      <c r="G638" s="67">
        <f>11.6046 * CHOOSE(CONTROL!$C$26, $C$13, 100%, $E$13)</f>
        <v>11.6046</v>
      </c>
      <c r="H638" s="67">
        <f>21.4092* CHOOSE(CONTROL!$C$26, $C$13, 100%, $E$13)</f>
        <v>21.409199999999998</v>
      </c>
      <c r="I638" s="67">
        <f>21.4139 * CHOOSE(CONTROL!$C$26, $C$13, 100%, $E$13)</f>
        <v>21.413900000000002</v>
      </c>
      <c r="J638" s="67">
        <f>11.5998 * CHOOSE(CONTROL!$C$26, $C$13, 100%, $E$13)</f>
        <v>11.5998</v>
      </c>
      <c r="K638" s="67">
        <f>11.6046 * CHOOSE(CONTROL!$C$26, $C$13, 100%, $E$13)</f>
        <v>11.6046</v>
      </c>
    </row>
    <row r="639" spans="1:11" ht="15">
      <c r="A639" s="13">
        <v>60572</v>
      </c>
      <c r="B639" s="66">
        <f>10.0144 * CHOOSE(CONTROL!$C$26, $C$13, 100%, $E$13)</f>
        <v>10.0144</v>
      </c>
      <c r="C639" s="66">
        <f>10.0144 * CHOOSE(CONTROL!$C$26, $C$13, 100%, $E$13)</f>
        <v>10.0144</v>
      </c>
      <c r="D639" s="66">
        <f>10.0183 * CHOOSE(CONTROL!$C$26, $C$13, 100%, $E$13)</f>
        <v>10.0183</v>
      </c>
      <c r="E639" s="67">
        <f>11.6434 * CHOOSE(CONTROL!$C$26, $C$13, 100%, $E$13)</f>
        <v>11.6434</v>
      </c>
      <c r="F639" s="67">
        <f>11.6434 * CHOOSE(CONTROL!$C$26, $C$13, 100%, $E$13)</f>
        <v>11.6434</v>
      </c>
      <c r="G639" s="67">
        <f>11.6481 * CHOOSE(CONTROL!$C$26, $C$13, 100%, $E$13)</f>
        <v>11.648099999999999</v>
      </c>
      <c r="H639" s="67">
        <f>21.4538* CHOOSE(CONTROL!$C$26, $C$13, 100%, $E$13)</f>
        <v>21.453800000000001</v>
      </c>
      <c r="I639" s="67">
        <f>21.4585 * CHOOSE(CONTROL!$C$26, $C$13, 100%, $E$13)</f>
        <v>21.458500000000001</v>
      </c>
      <c r="J639" s="67">
        <f>11.6434 * CHOOSE(CONTROL!$C$26, $C$13, 100%, $E$13)</f>
        <v>11.6434</v>
      </c>
      <c r="K639" s="67">
        <f>11.6481 * CHOOSE(CONTROL!$C$26, $C$13, 100%, $E$13)</f>
        <v>11.648099999999999</v>
      </c>
    </row>
    <row r="640" spans="1:11" ht="15">
      <c r="A640" s="13">
        <v>60602</v>
      </c>
      <c r="B640" s="66">
        <f>10.0144 * CHOOSE(CONTROL!$C$26, $C$13, 100%, $E$13)</f>
        <v>10.0144</v>
      </c>
      <c r="C640" s="66">
        <f>10.0144 * CHOOSE(CONTROL!$C$26, $C$13, 100%, $E$13)</f>
        <v>10.0144</v>
      </c>
      <c r="D640" s="66">
        <f>10.0183 * CHOOSE(CONTROL!$C$26, $C$13, 100%, $E$13)</f>
        <v>10.0183</v>
      </c>
      <c r="E640" s="67">
        <f>11.5398 * CHOOSE(CONTROL!$C$26, $C$13, 100%, $E$13)</f>
        <v>11.5398</v>
      </c>
      <c r="F640" s="67">
        <f>11.5398 * CHOOSE(CONTROL!$C$26, $C$13, 100%, $E$13)</f>
        <v>11.5398</v>
      </c>
      <c r="G640" s="67">
        <f>11.5446 * CHOOSE(CONTROL!$C$26, $C$13, 100%, $E$13)</f>
        <v>11.544600000000001</v>
      </c>
      <c r="H640" s="67">
        <f>21.4985* CHOOSE(CONTROL!$C$26, $C$13, 100%, $E$13)</f>
        <v>21.4985</v>
      </c>
      <c r="I640" s="67">
        <f>21.5032 * CHOOSE(CONTROL!$C$26, $C$13, 100%, $E$13)</f>
        <v>21.5032</v>
      </c>
      <c r="J640" s="67">
        <f>11.5398 * CHOOSE(CONTROL!$C$26, $C$13, 100%, $E$13)</f>
        <v>11.5398</v>
      </c>
      <c r="K640" s="67">
        <f>11.5446 * CHOOSE(CONTROL!$C$26, $C$13, 100%, $E$13)</f>
        <v>11.544600000000001</v>
      </c>
    </row>
    <row r="641" spans="1:11" ht="15">
      <c r="A641" s="13">
        <v>60633</v>
      </c>
      <c r="B641" s="66">
        <f>10.074 * CHOOSE(CONTROL!$C$26, $C$13, 100%, $E$13)</f>
        <v>10.074</v>
      </c>
      <c r="C641" s="66">
        <f>10.074 * CHOOSE(CONTROL!$C$26, $C$13, 100%, $E$13)</f>
        <v>10.074</v>
      </c>
      <c r="D641" s="66">
        <f>10.0779 * CHOOSE(CONTROL!$C$26, $C$13, 100%, $E$13)</f>
        <v>10.0779</v>
      </c>
      <c r="E641" s="67">
        <f>11.6826 * CHOOSE(CONTROL!$C$26, $C$13, 100%, $E$13)</f>
        <v>11.682600000000001</v>
      </c>
      <c r="F641" s="67">
        <f>11.6826 * CHOOSE(CONTROL!$C$26, $C$13, 100%, $E$13)</f>
        <v>11.682600000000001</v>
      </c>
      <c r="G641" s="67">
        <f>11.6874 * CHOOSE(CONTROL!$C$26, $C$13, 100%, $E$13)</f>
        <v>11.6874</v>
      </c>
      <c r="H641" s="67">
        <f>21.4944* CHOOSE(CONTROL!$C$26, $C$13, 100%, $E$13)</f>
        <v>21.494399999999999</v>
      </c>
      <c r="I641" s="67">
        <f>21.4992 * CHOOSE(CONTROL!$C$26, $C$13, 100%, $E$13)</f>
        <v>21.499199999999998</v>
      </c>
      <c r="J641" s="67">
        <f>11.6826 * CHOOSE(CONTROL!$C$26, $C$13, 100%, $E$13)</f>
        <v>11.682600000000001</v>
      </c>
      <c r="K641" s="67">
        <f>11.6874 * CHOOSE(CONTROL!$C$26, $C$13, 100%, $E$13)</f>
        <v>11.6874</v>
      </c>
    </row>
    <row r="642" spans="1:11" ht="15">
      <c r="A642" s="13">
        <v>60664</v>
      </c>
      <c r="B642" s="66">
        <f>10.071 * CHOOSE(CONTROL!$C$26, $C$13, 100%, $E$13)</f>
        <v>10.071</v>
      </c>
      <c r="C642" s="66">
        <f>10.071 * CHOOSE(CONTROL!$C$26, $C$13, 100%, $E$13)</f>
        <v>10.071</v>
      </c>
      <c r="D642" s="66">
        <f>10.0749 * CHOOSE(CONTROL!$C$26, $C$13, 100%, $E$13)</f>
        <v>10.0749</v>
      </c>
      <c r="E642" s="67">
        <f>11.4799 * CHOOSE(CONTROL!$C$26, $C$13, 100%, $E$13)</f>
        <v>11.479900000000001</v>
      </c>
      <c r="F642" s="67">
        <f>11.4799 * CHOOSE(CONTROL!$C$26, $C$13, 100%, $E$13)</f>
        <v>11.479900000000001</v>
      </c>
      <c r="G642" s="67">
        <f>11.4846 * CHOOSE(CONTROL!$C$26, $C$13, 100%, $E$13)</f>
        <v>11.4846</v>
      </c>
      <c r="H642" s="67">
        <f>21.5392* CHOOSE(CONTROL!$C$26, $C$13, 100%, $E$13)</f>
        <v>21.539200000000001</v>
      </c>
      <c r="I642" s="67">
        <f>21.544 * CHOOSE(CONTROL!$C$26, $C$13, 100%, $E$13)</f>
        <v>21.544</v>
      </c>
      <c r="J642" s="67">
        <f>11.4799 * CHOOSE(CONTROL!$C$26, $C$13, 100%, $E$13)</f>
        <v>11.479900000000001</v>
      </c>
      <c r="K642" s="67">
        <f>11.4846 * CHOOSE(CONTROL!$C$26, $C$13, 100%, $E$13)</f>
        <v>11.4846</v>
      </c>
    </row>
    <row r="643" spans="1:11" ht="15">
      <c r="A643" s="13">
        <v>60692</v>
      </c>
      <c r="B643" s="66">
        <f>10.068 * CHOOSE(CONTROL!$C$26, $C$13, 100%, $E$13)</f>
        <v>10.068</v>
      </c>
      <c r="C643" s="66">
        <f>10.068 * CHOOSE(CONTROL!$C$26, $C$13, 100%, $E$13)</f>
        <v>10.068</v>
      </c>
      <c r="D643" s="66">
        <f>10.0718 * CHOOSE(CONTROL!$C$26, $C$13, 100%, $E$13)</f>
        <v>10.0718</v>
      </c>
      <c r="E643" s="67">
        <f>11.6359 * CHOOSE(CONTROL!$C$26, $C$13, 100%, $E$13)</f>
        <v>11.635899999999999</v>
      </c>
      <c r="F643" s="67">
        <f>11.6359 * CHOOSE(CONTROL!$C$26, $C$13, 100%, $E$13)</f>
        <v>11.635899999999999</v>
      </c>
      <c r="G643" s="67">
        <f>11.6407 * CHOOSE(CONTROL!$C$26, $C$13, 100%, $E$13)</f>
        <v>11.640700000000001</v>
      </c>
      <c r="H643" s="67">
        <f>21.5841* CHOOSE(CONTROL!$C$26, $C$13, 100%, $E$13)</f>
        <v>21.584099999999999</v>
      </c>
      <c r="I643" s="67">
        <f>21.5889 * CHOOSE(CONTROL!$C$26, $C$13, 100%, $E$13)</f>
        <v>21.588899999999999</v>
      </c>
      <c r="J643" s="67">
        <f>11.6359 * CHOOSE(CONTROL!$C$26, $C$13, 100%, $E$13)</f>
        <v>11.635899999999999</v>
      </c>
      <c r="K643" s="67">
        <f>11.6407 * CHOOSE(CONTROL!$C$26, $C$13, 100%, $E$13)</f>
        <v>11.640700000000001</v>
      </c>
    </row>
    <row r="644" spans="1:11" ht="15">
      <c r="A644" s="13">
        <v>60723</v>
      </c>
      <c r="B644" s="66">
        <f>10.0707 * CHOOSE(CONTROL!$C$26, $C$13, 100%, $E$13)</f>
        <v>10.0707</v>
      </c>
      <c r="C644" s="66">
        <f>10.0707 * CHOOSE(CONTROL!$C$26, $C$13, 100%, $E$13)</f>
        <v>10.0707</v>
      </c>
      <c r="D644" s="66">
        <f>10.0746 * CHOOSE(CONTROL!$C$26, $C$13, 100%, $E$13)</f>
        <v>10.0746</v>
      </c>
      <c r="E644" s="67">
        <f>11.8016 * CHOOSE(CONTROL!$C$26, $C$13, 100%, $E$13)</f>
        <v>11.801600000000001</v>
      </c>
      <c r="F644" s="67">
        <f>11.8016 * CHOOSE(CONTROL!$C$26, $C$13, 100%, $E$13)</f>
        <v>11.801600000000001</v>
      </c>
      <c r="G644" s="67">
        <f>11.8063 * CHOOSE(CONTROL!$C$26, $C$13, 100%, $E$13)</f>
        <v>11.8063</v>
      </c>
      <c r="H644" s="67">
        <f>21.6291* CHOOSE(CONTROL!$C$26, $C$13, 100%, $E$13)</f>
        <v>21.629100000000001</v>
      </c>
      <c r="I644" s="67">
        <f>21.6338 * CHOOSE(CONTROL!$C$26, $C$13, 100%, $E$13)</f>
        <v>21.633800000000001</v>
      </c>
      <c r="J644" s="67">
        <f>11.8016 * CHOOSE(CONTROL!$C$26, $C$13, 100%, $E$13)</f>
        <v>11.801600000000001</v>
      </c>
      <c r="K644" s="67">
        <f>11.8063 * CHOOSE(CONTROL!$C$26, $C$13, 100%, $E$13)</f>
        <v>11.8063</v>
      </c>
    </row>
    <row r="645" spans="1:11" ht="15">
      <c r="A645" s="13">
        <v>60753</v>
      </c>
      <c r="B645" s="66">
        <f>10.0707 * CHOOSE(CONTROL!$C$26, $C$13, 100%, $E$13)</f>
        <v>10.0707</v>
      </c>
      <c r="C645" s="66">
        <f>10.0707 * CHOOSE(CONTROL!$C$26, $C$13, 100%, $E$13)</f>
        <v>10.0707</v>
      </c>
      <c r="D645" s="66">
        <f>10.0762 * CHOOSE(CONTROL!$C$26, $C$13, 100%, $E$13)</f>
        <v>10.0762</v>
      </c>
      <c r="E645" s="67">
        <f>11.8653 * CHOOSE(CONTROL!$C$26, $C$13, 100%, $E$13)</f>
        <v>11.8653</v>
      </c>
      <c r="F645" s="67">
        <f>11.8653 * CHOOSE(CONTROL!$C$26, $C$13, 100%, $E$13)</f>
        <v>11.8653</v>
      </c>
      <c r="G645" s="67">
        <f>11.872 * CHOOSE(CONTROL!$C$26, $C$13, 100%, $E$13)</f>
        <v>11.872</v>
      </c>
      <c r="H645" s="67">
        <f>21.6741* CHOOSE(CONTROL!$C$26, $C$13, 100%, $E$13)</f>
        <v>21.674099999999999</v>
      </c>
      <c r="I645" s="67">
        <f>21.6809 * CHOOSE(CONTROL!$C$26, $C$13, 100%, $E$13)</f>
        <v>21.680900000000001</v>
      </c>
      <c r="J645" s="67">
        <f>11.8653 * CHOOSE(CONTROL!$C$26, $C$13, 100%, $E$13)</f>
        <v>11.8653</v>
      </c>
      <c r="K645" s="67">
        <f>11.872 * CHOOSE(CONTROL!$C$26, $C$13, 100%, $E$13)</f>
        <v>11.872</v>
      </c>
    </row>
    <row r="646" spans="1:11" ht="15">
      <c r="A646" s="13">
        <v>60784</v>
      </c>
      <c r="B646" s="66">
        <f>10.0768 * CHOOSE(CONTROL!$C$26, $C$13, 100%, $E$13)</f>
        <v>10.0768</v>
      </c>
      <c r="C646" s="66">
        <f>10.0768 * CHOOSE(CONTROL!$C$26, $C$13, 100%, $E$13)</f>
        <v>10.0768</v>
      </c>
      <c r="D646" s="66">
        <f>10.0823 * CHOOSE(CONTROL!$C$26, $C$13, 100%, $E$13)</f>
        <v>10.0823</v>
      </c>
      <c r="E646" s="67">
        <f>11.8058 * CHOOSE(CONTROL!$C$26, $C$13, 100%, $E$13)</f>
        <v>11.8058</v>
      </c>
      <c r="F646" s="67">
        <f>11.8058 * CHOOSE(CONTROL!$C$26, $C$13, 100%, $E$13)</f>
        <v>11.8058</v>
      </c>
      <c r="G646" s="67">
        <f>11.8126 * CHOOSE(CONTROL!$C$26, $C$13, 100%, $E$13)</f>
        <v>11.8126</v>
      </c>
      <c r="H646" s="67">
        <f>21.7193* CHOOSE(CONTROL!$C$26, $C$13, 100%, $E$13)</f>
        <v>21.7193</v>
      </c>
      <c r="I646" s="67">
        <f>21.726 * CHOOSE(CONTROL!$C$26, $C$13, 100%, $E$13)</f>
        <v>21.725999999999999</v>
      </c>
      <c r="J646" s="67">
        <f>11.8058 * CHOOSE(CONTROL!$C$26, $C$13, 100%, $E$13)</f>
        <v>11.8058</v>
      </c>
      <c r="K646" s="67">
        <f>11.8126 * CHOOSE(CONTROL!$C$26, $C$13, 100%, $E$13)</f>
        <v>11.8126</v>
      </c>
    </row>
    <row r="647" spans="1:11" ht="15">
      <c r="A647" s="13">
        <v>60814</v>
      </c>
      <c r="B647" s="66">
        <f>10.2324 * CHOOSE(CONTROL!$C$26, $C$13, 100%, $E$13)</f>
        <v>10.2324</v>
      </c>
      <c r="C647" s="66">
        <f>10.2324 * CHOOSE(CONTROL!$C$26, $C$13, 100%, $E$13)</f>
        <v>10.2324</v>
      </c>
      <c r="D647" s="66">
        <f>10.2379 * CHOOSE(CONTROL!$C$26, $C$13, 100%, $E$13)</f>
        <v>10.2379</v>
      </c>
      <c r="E647" s="67">
        <f>11.9967 * CHOOSE(CONTROL!$C$26, $C$13, 100%, $E$13)</f>
        <v>11.996700000000001</v>
      </c>
      <c r="F647" s="67">
        <f>11.9967 * CHOOSE(CONTROL!$C$26, $C$13, 100%, $E$13)</f>
        <v>11.996700000000001</v>
      </c>
      <c r="G647" s="67">
        <f>12.0035 * CHOOSE(CONTROL!$C$26, $C$13, 100%, $E$13)</f>
        <v>12.003500000000001</v>
      </c>
      <c r="H647" s="67">
        <f>21.7645* CHOOSE(CONTROL!$C$26, $C$13, 100%, $E$13)</f>
        <v>21.764500000000002</v>
      </c>
      <c r="I647" s="67">
        <f>21.7713 * CHOOSE(CONTROL!$C$26, $C$13, 100%, $E$13)</f>
        <v>21.7713</v>
      </c>
      <c r="J647" s="67">
        <f>11.9967 * CHOOSE(CONTROL!$C$26, $C$13, 100%, $E$13)</f>
        <v>11.996700000000001</v>
      </c>
      <c r="K647" s="67">
        <f>12.0035 * CHOOSE(CONTROL!$C$26, $C$13, 100%, $E$13)</f>
        <v>12.003500000000001</v>
      </c>
    </row>
    <row r="648" spans="1:11" ht="15">
      <c r="A648" s="13">
        <v>60845</v>
      </c>
      <c r="B648" s="66">
        <f>10.2391 * CHOOSE(CONTROL!$C$26, $C$13, 100%, $E$13)</f>
        <v>10.239100000000001</v>
      </c>
      <c r="C648" s="66">
        <f>10.2391 * CHOOSE(CONTROL!$C$26, $C$13, 100%, $E$13)</f>
        <v>10.239100000000001</v>
      </c>
      <c r="D648" s="66">
        <f>10.2446 * CHOOSE(CONTROL!$C$26, $C$13, 100%, $E$13)</f>
        <v>10.2446</v>
      </c>
      <c r="E648" s="67">
        <f>11.8103 * CHOOSE(CONTROL!$C$26, $C$13, 100%, $E$13)</f>
        <v>11.8103</v>
      </c>
      <c r="F648" s="67">
        <f>11.8103 * CHOOSE(CONTROL!$C$26, $C$13, 100%, $E$13)</f>
        <v>11.8103</v>
      </c>
      <c r="G648" s="67">
        <f>11.817 * CHOOSE(CONTROL!$C$26, $C$13, 100%, $E$13)</f>
        <v>11.817</v>
      </c>
      <c r="H648" s="67">
        <f>21.8099* CHOOSE(CONTROL!$C$26, $C$13, 100%, $E$13)</f>
        <v>21.809899999999999</v>
      </c>
      <c r="I648" s="67">
        <f>21.8166 * CHOOSE(CONTROL!$C$26, $C$13, 100%, $E$13)</f>
        <v>21.816600000000001</v>
      </c>
      <c r="J648" s="67">
        <f>11.8103 * CHOOSE(CONTROL!$C$26, $C$13, 100%, $E$13)</f>
        <v>11.8103</v>
      </c>
      <c r="K648" s="67">
        <f>11.817 * CHOOSE(CONTROL!$C$26, $C$13, 100%, $E$13)</f>
        <v>11.817</v>
      </c>
    </row>
    <row r="649" spans="1:11" ht="15">
      <c r="A649" s="13">
        <v>60876</v>
      </c>
      <c r="B649" s="66">
        <f>10.236 * CHOOSE(CONTROL!$C$26, $C$13, 100%, $E$13)</f>
        <v>10.236000000000001</v>
      </c>
      <c r="C649" s="66">
        <f>10.236 * CHOOSE(CONTROL!$C$26, $C$13, 100%, $E$13)</f>
        <v>10.236000000000001</v>
      </c>
      <c r="D649" s="66">
        <f>10.2415 * CHOOSE(CONTROL!$C$26, $C$13, 100%, $E$13)</f>
        <v>10.2415</v>
      </c>
      <c r="E649" s="67">
        <f>11.7869 * CHOOSE(CONTROL!$C$26, $C$13, 100%, $E$13)</f>
        <v>11.786899999999999</v>
      </c>
      <c r="F649" s="67">
        <f>11.7869 * CHOOSE(CONTROL!$C$26, $C$13, 100%, $E$13)</f>
        <v>11.786899999999999</v>
      </c>
      <c r="G649" s="67">
        <f>11.7937 * CHOOSE(CONTROL!$C$26, $C$13, 100%, $E$13)</f>
        <v>11.793699999999999</v>
      </c>
      <c r="H649" s="67">
        <f>21.8553* CHOOSE(CONTROL!$C$26, $C$13, 100%, $E$13)</f>
        <v>21.8553</v>
      </c>
      <c r="I649" s="67">
        <f>21.862 * CHOOSE(CONTROL!$C$26, $C$13, 100%, $E$13)</f>
        <v>21.861999999999998</v>
      </c>
      <c r="J649" s="67">
        <f>11.7869 * CHOOSE(CONTROL!$C$26, $C$13, 100%, $E$13)</f>
        <v>11.786899999999999</v>
      </c>
      <c r="K649" s="67">
        <f>11.7937 * CHOOSE(CONTROL!$C$26, $C$13, 100%, $E$13)</f>
        <v>11.793699999999999</v>
      </c>
    </row>
    <row r="650" spans="1:11" ht="15">
      <c r="A650" s="13">
        <v>60906</v>
      </c>
      <c r="B650" s="66">
        <f>10.2513 * CHOOSE(CONTROL!$C$26, $C$13, 100%, $E$13)</f>
        <v>10.251300000000001</v>
      </c>
      <c r="C650" s="66">
        <f>10.2513 * CHOOSE(CONTROL!$C$26, $C$13, 100%, $E$13)</f>
        <v>10.251300000000001</v>
      </c>
      <c r="D650" s="66">
        <f>10.2552 * CHOOSE(CONTROL!$C$26, $C$13, 100%, $E$13)</f>
        <v>10.2552</v>
      </c>
      <c r="E650" s="67">
        <f>11.8585 * CHOOSE(CONTROL!$C$26, $C$13, 100%, $E$13)</f>
        <v>11.858499999999999</v>
      </c>
      <c r="F650" s="67">
        <f>11.8585 * CHOOSE(CONTROL!$C$26, $C$13, 100%, $E$13)</f>
        <v>11.858499999999999</v>
      </c>
      <c r="G650" s="67">
        <f>11.8632 * CHOOSE(CONTROL!$C$26, $C$13, 100%, $E$13)</f>
        <v>11.863200000000001</v>
      </c>
      <c r="H650" s="67">
        <f>21.9008* CHOOSE(CONTROL!$C$26, $C$13, 100%, $E$13)</f>
        <v>21.9008</v>
      </c>
      <c r="I650" s="67">
        <f>21.9056 * CHOOSE(CONTROL!$C$26, $C$13, 100%, $E$13)</f>
        <v>21.9056</v>
      </c>
      <c r="J650" s="67">
        <f>11.8585 * CHOOSE(CONTROL!$C$26, $C$13, 100%, $E$13)</f>
        <v>11.858499999999999</v>
      </c>
      <c r="K650" s="67">
        <f>11.8632 * CHOOSE(CONTROL!$C$26, $C$13, 100%, $E$13)</f>
        <v>11.863200000000001</v>
      </c>
    </row>
    <row r="651" spans="1:11" ht="15">
      <c r="A651" s="13">
        <v>60937</v>
      </c>
      <c r="B651" s="66">
        <f>10.2544 * CHOOSE(CONTROL!$C$26, $C$13, 100%, $E$13)</f>
        <v>10.2544</v>
      </c>
      <c r="C651" s="66">
        <f>10.2544 * CHOOSE(CONTROL!$C$26, $C$13, 100%, $E$13)</f>
        <v>10.2544</v>
      </c>
      <c r="D651" s="66">
        <f>10.2582 * CHOOSE(CONTROL!$C$26, $C$13, 100%, $E$13)</f>
        <v>10.2582</v>
      </c>
      <c r="E651" s="67">
        <f>11.903 * CHOOSE(CONTROL!$C$26, $C$13, 100%, $E$13)</f>
        <v>11.903</v>
      </c>
      <c r="F651" s="67">
        <f>11.903 * CHOOSE(CONTROL!$C$26, $C$13, 100%, $E$13)</f>
        <v>11.903</v>
      </c>
      <c r="G651" s="67">
        <f>11.9078 * CHOOSE(CONTROL!$C$26, $C$13, 100%, $E$13)</f>
        <v>11.9078</v>
      </c>
      <c r="H651" s="67">
        <f>21.9465* CHOOSE(CONTROL!$C$26, $C$13, 100%, $E$13)</f>
        <v>21.9465</v>
      </c>
      <c r="I651" s="67">
        <f>21.9512 * CHOOSE(CONTROL!$C$26, $C$13, 100%, $E$13)</f>
        <v>21.9512</v>
      </c>
      <c r="J651" s="67">
        <f>11.903 * CHOOSE(CONTROL!$C$26, $C$13, 100%, $E$13)</f>
        <v>11.903</v>
      </c>
      <c r="K651" s="67">
        <f>11.9078 * CHOOSE(CONTROL!$C$26, $C$13, 100%, $E$13)</f>
        <v>11.9078</v>
      </c>
    </row>
    <row r="652" spans="1:11" ht="15">
      <c r="A652" s="13">
        <v>60967</v>
      </c>
      <c r="B652" s="66">
        <f>10.2544 * CHOOSE(CONTROL!$C$26, $C$13, 100%, $E$13)</f>
        <v>10.2544</v>
      </c>
      <c r="C652" s="66">
        <f>10.2544 * CHOOSE(CONTROL!$C$26, $C$13, 100%, $E$13)</f>
        <v>10.2544</v>
      </c>
      <c r="D652" s="66">
        <f>10.2582 * CHOOSE(CONTROL!$C$26, $C$13, 100%, $E$13)</f>
        <v>10.2582</v>
      </c>
      <c r="E652" s="67">
        <f>11.7969 * CHOOSE(CONTROL!$C$26, $C$13, 100%, $E$13)</f>
        <v>11.796900000000001</v>
      </c>
      <c r="F652" s="67">
        <f>11.7969 * CHOOSE(CONTROL!$C$26, $C$13, 100%, $E$13)</f>
        <v>11.796900000000001</v>
      </c>
      <c r="G652" s="67">
        <f>11.8016 * CHOOSE(CONTROL!$C$26, $C$13, 100%, $E$13)</f>
        <v>11.801600000000001</v>
      </c>
      <c r="H652" s="67">
        <f>21.9922* CHOOSE(CONTROL!$C$26, $C$13, 100%, $E$13)</f>
        <v>21.9922</v>
      </c>
      <c r="I652" s="67">
        <f>21.997 * CHOOSE(CONTROL!$C$26, $C$13, 100%, $E$13)</f>
        <v>21.997</v>
      </c>
      <c r="J652" s="67">
        <f>11.7969 * CHOOSE(CONTROL!$C$26, $C$13, 100%, $E$13)</f>
        <v>11.796900000000001</v>
      </c>
      <c r="K652" s="67">
        <f>11.8016 * CHOOSE(CONTROL!$C$26, $C$13, 100%, $E$13)</f>
        <v>11.801600000000001</v>
      </c>
    </row>
    <row r="653" spans="1:11" ht="15">
      <c r="A653" s="13">
        <v>60998</v>
      </c>
      <c r="B653" s="66">
        <f>10.3096 * CHOOSE(CONTROL!$C$26, $C$13, 100%, $E$13)</f>
        <v>10.3096</v>
      </c>
      <c r="C653" s="66">
        <f>10.3096 * CHOOSE(CONTROL!$C$26, $C$13, 100%, $E$13)</f>
        <v>10.3096</v>
      </c>
      <c r="D653" s="66">
        <f>10.3135 * CHOOSE(CONTROL!$C$26, $C$13, 100%, $E$13)</f>
        <v>10.313499999999999</v>
      </c>
      <c r="E653" s="67">
        <f>11.9374 * CHOOSE(CONTROL!$C$26, $C$13, 100%, $E$13)</f>
        <v>11.9374</v>
      </c>
      <c r="F653" s="67">
        <f>11.9374 * CHOOSE(CONTROL!$C$26, $C$13, 100%, $E$13)</f>
        <v>11.9374</v>
      </c>
      <c r="G653" s="67">
        <f>11.9421 * CHOOSE(CONTROL!$C$26, $C$13, 100%, $E$13)</f>
        <v>11.9421</v>
      </c>
      <c r="H653" s="67">
        <f>21.977* CHOOSE(CONTROL!$C$26, $C$13, 100%, $E$13)</f>
        <v>21.977</v>
      </c>
      <c r="I653" s="67">
        <f>21.9818 * CHOOSE(CONTROL!$C$26, $C$13, 100%, $E$13)</f>
        <v>21.9818</v>
      </c>
      <c r="J653" s="67">
        <f>11.9374 * CHOOSE(CONTROL!$C$26, $C$13, 100%, $E$13)</f>
        <v>11.9374</v>
      </c>
      <c r="K653" s="67">
        <f>11.9421 * CHOOSE(CONTROL!$C$26, $C$13, 100%, $E$13)</f>
        <v>11.9421</v>
      </c>
    </row>
    <row r="654" spans="1:11" ht="15">
      <c r="A654" s="13">
        <v>61029</v>
      </c>
      <c r="B654" s="66">
        <f>10.3066 * CHOOSE(CONTROL!$C$26, $C$13, 100%, $E$13)</f>
        <v>10.3066</v>
      </c>
      <c r="C654" s="66">
        <f>10.3066 * CHOOSE(CONTROL!$C$26, $C$13, 100%, $E$13)</f>
        <v>10.3066</v>
      </c>
      <c r="D654" s="66">
        <f>10.3104 * CHOOSE(CONTROL!$C$26, $C$13, 100%, $E$13)</f>
        <v>10.3104</v>
      </c>
      <c r="E654" s="67">
        <f>11.7297 * CHOOSE(CONTROL!$C$26, $C$13, 100%, $E$13)</f>
        <v>11.729699999999999</v>
      </c>
      <c r="F654" s="67">
        <f>11.7297 * CHOOSE(CONTROL!$C$26, $C$13, 100%, $E$13)</f>
        <v>11.729699999999999</v>
      </c>
      <c r="G654" s="67">
        <f>11.7344 * CHOOSE(CONTROL!$C$26, $C$13, 100%, $E$13)</f>
        <v>11.734400000000001</v>
      </c>
      <c r="H654" s="67">
        <f>22.0228* CHOOSE(CONTROL!$C$26, $C$13, 100%, $E$13)</f>
        <v>22.0228</v>
      </c>
      <c r="I654" s="67">
        <f>22.0275 * CHOOSE(CONTROL!$C$26, $C$13, 100%, $E$13)</f>
        <v>22.0275</v>
      </c>
      <c r="J654" s="67">
        <f>11.7297 * CHOOSE(CONTROL!$C$26, $C$13, 100%, $E$13)</f>
        <v>11.729699999999999</v>
      </c>
      <c r="K654" s="67">
        <f>11.7344 * CHOOSE(CONTROL!$C$26, $C$13, 100%, $E$13)</f>
        <v>11.734400000000001</v>
      </c>
    </row>
    <row r="655" spans="1:11" ht="15">
      <c r="A655" s="13">
        <v>61057</v>
      </c>
      <c r="B655" s="66">
        <f>10.3035 * CHOOSE(CONTROL!$C$26, $C$13, 100%, $E$13)</f>
        <v>10.3035</v>
      </c>
      <c r="C655" s="66">
        <f>10.3035 * CHOOSE(CONTROL!$C$26, $C$13, 100%, $E$13)</f>
        <v>10.3035</v>
      </c>
      <c r="D655" s="66">
        <f>10.3074 * CHOOSE(CONTROL!$C$26, $C$13, 100%, $E$13)</f>
        <v>10.307399999999999</v>
      </c>
      <c r="E655" s="67">
        <f>11.8896 * CHOOSE(CONTROL!$C$26, $C$13, 100%, $E$13)</f>
        <v>11.8896</v>
      </c>
      <c r="F655" s="67">
        <f>11.8896 * CHOOSE(CONTROL!$C$26, $C$13, 100%, $E$13)</f>
        <v>11.8896</v>
      </c>
      <c r="G655" s="67">
        <f>11.8944 * CHOOSE(CONTROL!$C$26, $C$13, 100%, $E$13)</f>
        <v>11.894399999999999</v>
      </c>
      <c r="H655" s="67">
        <f>22.0687* CHOOSE(CONTROL!$C$26, $C$13, 100%, $E$13)</f>
        <v>22.0687</v>
      </c>
      <c r="I655" s="67">
        <f>22.0734 * CHOOSE(CONTROL!$C$26, $C$13, 100%, $E$13)</f>
        <v>22.073399999999999</v>
      </c>
      <c r="J655" s="67">
        <f>11.8896 * CHOOSE(CONTROL!$C$26, $C$13, 100%, $E$13)</f>
        <v>11.8896</v>
      </c>
      <c r="K655" s="67">
        <f>11.8944 * CHOOSE(CONTROL!$C$26, $C$13, 100%, $E$13)</f>
        <v>11.894399999999999</v>
      </c>
    </row>
    <row r="656" spans="1:11" ht="15">
      <c r="A656" s="13">
        <v>61088</v>
      </c>
      <c r="B656" s="66">
        <f>10.3065 * CHOOSE(CONTROL!$C$26, $C$13, 100%, $E$13)</f>
        <v>10.3065</v>
      </c>
      <c r="C656" s="66">
        <f>10.3065 * CHOOSE(CONTROL!$C$26, $C$13, 100%, $E$13)</f>
        <v>10.3065</v>
      </c>
      <c r="D656" s="66">
        <f>10.3104 * CHOOSE(CONTROL!$C$26, $C$13, 100%, $E$13)</f>
        <v>10.3104</v>
      </c>
      <c r="E656" s="67">
        <f>12.0594 * CHOOSE(CONTROL!$C$26, $C$13, 100%, $E$13)</f>
        <v>12.0594</v>
      </c>
      <c r="F656" s="67">
        <f>12.0594 * CHOOSE(CONTROL!$C$26, $C$13, 100%, $E$13)</f>
        <v>12.0594</v>
      </c>
      <c r="G656" s="67">
        <f>12.0642 * CHOOSE(CONTROL!$C$26, $C$13, 100%, $E$13)</f>
        <v>12.0642</v>
      </c>
      <c r="H656" s="67">
        <f>22.1146* CHOOSE(CONTROL!$C$26, $C$13, 100%, $E$13)</f>
        <v>22.114599999999999</v>
      </c>
      <c r="I656" s="67">
        <f>22.1194 * CHOOSE(CONTROL!$C$26, $C$13, 100%, $E$13)</f>
        <v>22.119399999999999</v>
      </c>
      <c r="J656" s="67">
        <f>12.0594 * CHOOSE(CONTROL!$C$26, $C$13, 100%, $E$13)</f>
        <v>12.0594</v>
      </c>
      <c r="K656" s="67">
        <f>12.0642 * CHOOSE(CONTROL!$C$26, $C$13, 100%, $E$13)</f>
        <v>12.0642</v>
      </c>
    </row>
    <row r="657" spans="1:11" ht="15">
      <c r="A657" s="13">
        <v>61118</v>
      </c>
      <c r="B657" s="66">
        <f>10.3065 * CHOOSE(CONTROL!$C$26, $C$13, 100%, $E$13)</f>
        <v>10.3065</v>
      </c>
      <c r="C657" s="66">
        <f>10.3065 * CHOOSE(CONTROL!$C$26, $C$13, 100%, $E$13)</f>
        <v>10.3065</v>
      </c>
      <c r="D657" s="66">
        <f>10.312 * CHOOSE(CONTROL!$C$26, $C$13, 100%, $E$13)</f>
        <v>10.311999999999999</v>
      </c>
      <c r="E657" s="67">
        <f>12.1247 * CHOOSE(CONTROL!$C$26, $C$13, 100%, $E$13)</f>
        <v>12.124700000000001</v>
      </c>
      <c r="F657" s="67">
        <f>12.1247 * CHOOSE(CONTROL!$C$26, $C$13, 100%, $E$13)</f>
        <v>12.124700000000001</v>
      </c>
      <c r="G657" s="67">
        <f>12.1314 * CHOOSE(CONTROL!$C$26, $C$13, 100%, $E$13)</f>
        <v>12.131399999999999</v>
      </c>
      <c r="H657" s="67">
        <f>22.1607* CHOOSE(CONTROL!$C$26, $C$13, 100%, $E$13)</f>
        <v>22.160699999999999</v>
      </c>
      <c r="I657" s="67">
        <f>22.1674 * CHOOSE(CONTROL!$C$26, $C$13, 100%, $E$13)</f>
        <v>22.167400000000001</v>
      </c>
      <c r="J657" s="67">
        <f>12.1247 * CHOOSE(CONTROL!$C$26, $C$13, 100%, $E$13)</f>
        <v>12.124700000000001</v>
      </c>
      <c r="K657" s="67">
        <f>12.1314 * CHOOSE(CONTROL!$C$26, $C$13, 100%, $E$13)</f>
        <v>12.131399999999999</v>
      </c>
    </row>
    <row r="658" spans="1:11" ht="15">
      <c r="A658" s="13">
        <v>61149</v>
      </c>
      <c r="B658" s="66">
        <f>10.3126 * CHOOSE(CONTROL!$C$26, $C$13, 100%, $E$13)</f>
        <v>10.3126</v>
      </c>
      <c r="C658" s="66">
        <f>10.3126 * CHOOSE(CONTROL!$C$26, $C$13, 100%, $E$13)</f>
        <v>10.3126</v>
      </c>
      <c r="D658" s="66">
        <f>10.3181 * CHOOSE(CONTROL!$C$26, $C$13, 100%, $E$13)</f>
        <v>10.318099999999999</v>
      </c>
      <c r="E658" s="67">
        <f>12.0637 * CHOOSE(CONTROL!$C$26, $C$13, 100%, $E$13)</f>
        <v>12.063700000000001</v>
      </c>
      <c r="F658" s="67">
        <f>12.0637 * CHOOSE(CONTROL!$C$26, $C$13, 100%, $E$13)</f>
        <v>12.063700000000001</v>
      </c>
      <c r="G658" s="67">
        <f>12.0704 * CHOOSE(CONTROL!$C$26, $C$13, 100%, $E$13)</f>
        <v>12.070399999999999</v>
      </c>
      <c r="H658" s="67">
        <f>22.2069* CHOOSE(CONTROL!$C$26, $C$13, 100%, $E$13)</f>
        <v>22.206900000000001</v>
      </c>
      <c r="I658" s="67">
        <f>22.2136 * CHOOSE(CONTROL!$C$26, $C$13, 100%, $E$13)</f>
        <v>22.2136</v>
      </c>
      <c r="J658" s="67">
        <f>12.0637 * CHOOSE(CONTROL!$C$26, $C$13, 100%, $E$13)</f>
        <v>12.063700000000001</v>
      </c>
      <c r="K658" s="67">
        <f>12.0704 * CHOOSE(CONTROL!$C$26, $C$13, 100%, $E$13)</f>
        <v>12.070399999999999</v>
      </c>
    </row>
    <row r="659" spans="1:11" ht="15">
      <c r="A659" s="13">
        <v>61179</v>
      </c>
      <c r="B659" s="66">
        <f>10.4716 * CHOOSE(CONTROL!$C$26, $C$13, 100%, $E$13)</f>
        <v>10.4716</v>
      </c>
      <c r="C659" s="66">
        <f>10.4716 * CHOOSE(CONTROL!$C$26, $C$13, 100%, $E$13)</f>
        <v>10.4716</v>
      </c>
      <c r="D659" s="66">
        <f>10.4771 * CHOOSE(CONTROL!$C$26, $C$13, 100%, $E$13)</f>
        <v>10.4771</v>
      </c>
      <c r="E659" s="67">
        <f>12.2585 * CHOOSE(CONTROL!$C$26, $C$13, 100%, $E$13)</f>
        <v>12.2585</v>
      </c>
      <c r="F659" s="67">
        <f>12.2585 * CHOOSE(CONTROL!$C$26, $C$13, 100%, $E$13)</f>
        <v>12.2585</v>
      </c>
      <c r="G659" s="67">
        <f>12.2653 * CHOOSE(CONTROL!$C$26, $C$13, 100%, $E$13)</f>
        <v>12.2653</v>
      </c>
      <c r="H659" s="67">
        <f>22.2531* CHOOSE(CONTROL!$C$26, $C$13, 100%, $E$13)</f>
        <v>22.2531</v>
      </c>
      <c r="I659" s="67">
        <f>22.2599 * CHOOSE(CONTROL!$C$26, $C$13, 100%, $E$13)</f>
        <v>22.259899999999998</v>
      </c>
      <c r="J659" s="67">
        <f>12.2585 * CHOOSE(CONTROL!$C$26, $C$13, 100%, $E$13)</f>
        <v>12.2585</v>
      </c>
      <c r="K659" s="67">
        <f>12.2653 * CHOOSE(CONTROL!$C$26, $C$13, 100%, $E$13)</f>
        <v>12.2653</v>
      </c>
    </row>
    <row r="660" spans="1:11" ht="15">
      <c r="A660" s="13">
        <v>61210</v>
      </c>
      <c r="B660" s="66">
        <f>10.4782 * CHOOSE(CONTROL!$C$26, $C$13, 100%, $E$13)</f>
        <v>10.478199999999999</v>
      </c>
      <c r="C660" s="66">
        <f>10.4782 * CHOOSE(CONTROL!$C$26, $C$13, 100%, $E$13)</f>
        <v>10.478199999999999</v>
      </c>
      <c r="D660" s="66">
        <f>10.4837 * CHOOSE(CONTROL!$C$26, $C$13, 100%, $E$13)</f>
        <v>10.483700000000001</v>
      </c>
      <c r="E660" s="67">
        <f>12.0674 * CHOOSE(CONTROL!$C$26, $C$13, 100%, $E$13)</f>
        <v>12.067399999999999</v>
      </c>
      <c r="F660" s="67">
        <f>12.0674 * CHOOSE(CONTROL!$C$26, $C$13, 100%, $E$13)</f>
        <v>12.067399999999999</v>
      </c>
      <c r="G660" s="67">
        <f>12.0741 * CHOOSE(CONTROL!$C$26, $C$13, 100%, $E$13)</f>
        <v>12.0741</v>
      </c>
      <c r="H660" s="67">
        <f>22.2995* CHOOSE(CONTROL!$C$26, $C$13, 100%, $E$13)</f>
        <v>22.299499999999998</v>
      </c>
      <c r="I660" s="67">
        <f>22.3062 * CHOOSE(CONTROL!$C$26, $C$13, 100%, $E$13)</f>
        <v>22.3062</v>
      </c>
      <c r="J660" s="67">
        <f>12.0674 * CHOOSE(CONTROL!$C$26, $C$13, 100%, $E$13)</f>
        <v>12.067399999999999</v>
      </c>
      <c r="K660" s="67">
        <f>12.0741 * CHOOSE(CONTROL!$C$26, $C$13, 100%, $E$13)</f>
        <v>12.0741</v>
      </c>
    </row>
    <row r="661" spans="1:11" ht="15">
      <c r="A661" s="13">
        <v>61241</v>
      </c>
      <c r="B661" s="66">
        <f>10.4752 * CHOOSE(CONTROL!$C$26, $C$13, 100%, $E$13)</f>
        <v>10.475199999999999</v>
      </c>
      <c r="C661" s="66">
        <f>10.4752 * CHOOSE(CONTROL!$C$26, $C$13, 100%, $E$13)</f>
        <v>10.475199999999999</v>
      </c>
      <c r="D661" s="66">
        <f>10.4807 * CHOOSE(CONTROL!$C$26, $C$13, 100%, $E$13)</f>
        <v>10.480700000000001</v>
      </c>
      <c r="E661" s="67">
        <f>12.0435 * CHOOSE(CONTROL!$C$26, $C$13, 100%, $E$13)</f>
        <v>12.0435</v>
      </c>
      <c r="F661" s="67">
        <f>12.0435 * CHOOSE(CONTROL!$C$26, $C$13, 100%, $E$13)</f>
        <v>12.0435</v>
      </c>
      <c r="G661" s="67">
        <f>12.0502 * CHOOSE(CONTROL!$C$26, $C$13, 100%, $E$13)</f>
        <v>12.0502</v>
      </c>
      <c r="H661" s="67">
        <f>22.346* CHOOSE(CONTROL!$C$26, $C$13, 100%, $E$13)</f>
        <v>22.346</v>
      </c>
      <c r="I661" s="67">
        <f>22.3527 * CHOOSE(CONTROL!$C$26, $C$13, 100%, $E$13)</f>
        <v>22.352699999999999</v>
      </c>
      <c r="J661" s="67">
        <f>12.0435 * CHOOSE(CONTROL!$C$26, $C$13, 100%, $E$13)</f>
        <v>12.0435</v>
      </c>
      <c r="K661" s="67">
        <f>12.0502 * CHOOSE(CONTROL!$C$26, $C$13, 100%, $E$13)</f>
        <v>12.0502</v>
      </c>
    </row>
    <row r="662" spans="1:11" ht="15">
      <c r="A662" s="13">
        <v>61271</v>
      </c>
      <c r="B662" s="66">
        <f>10.4913 * CHOOSE(CONTROL!$C$26, $C$13, 100%, $E$13)</f>
        <v>10.491300000000001</v>
      </c>
      <c r="C662" s="66">
        <f>10.4913 * CHOOSE(CONTROL!$C$26, $C$13, 100%, $E$13)</f>
        <v>10.491300000000001</v>
      </c>
      <c r="D662" s="66">
        <f>10.4951 * CHOOSE(CONTROL!$C$26, $C$13, 100%, $E$13)</f>
        <v>10.495100000000001</v>
      </c>
      <c r="E662" s="67">
        <f>12.1171 * CHOOSE(CONTROL!$C$26, $C$13, 100%, $E$13)</f>
        <v>12.117100000000001</v>
      </c>
      <c r="F662" s="67">
        <f>12.1171 * CHOOSE(CONTROL!$C$26, $C$13, 100%, $E$13)</f>
        <v>12.117100000000001</v>
      </c>
      <c r="G662" s="67">
        <f>12.1219 * CHOOSE(CONTROL!$C$26, $C$13, 100%, $E$13)</f>
        <v>12.1219</v>
      </c>
      <c r="H662" s="67">
        <f>22.3925* CHOOSE(CONTROL!$C$26, $C$13, 100%, $E$13)</f>
        <v>22.392499999999998</v>
      </c>
      <c r="I662" s="67">
        <f>22.3973 * CHOOSE(CONTROL!$C$26, $C$13, 100%, $E$13)</f>
        <v>22.397300000000001</v>
      </c>
      <c r="J662" s="67">
        <f>12.1171 * CHOOSE(CONTROL!$C$26, $C$13, 100%, $E$13)</f>
        <v>12.117100000000001</v>
      </c>
      <c r="K662" s="67">
        <f>12.1219 * CHOOSE(CONTROL!$C$26, $C$13, 100%, $E$13)</f>
        <v>12.1219</v>
      </c>
    </row>
    <row r="663" spans="1:11" ht="15">
      <c r="A663" s="13">
        <v>61302</v>
      </c>
      <c r="B663" s="66">
        <f>10.4943 * CHOOSE(CONTROL!$C$26, $C$13, 100%, $E$13)</f>
        <v>10.494300000000001</v>
      </c>
      <c r="C663" s="66">
        <f>10.4943 * CHOOSE(CONTROL!$C$26, $C$13, 100%, $E$13)</f>
        <v>10.494300000000001</v>
      </c>
      <c r="D663" s="66">
        <f>10.4982 * CHOOSE(CONTROL!$C$26, $C$13, 100%, $E$13)</f>
        <v>10.498200000000001</v>
      </c>
      <c r="E663" s="67">
        <f>12.1627 * CHOOSE(CONTROL!$C$26, $C$13, 100%, $E$13)</f>
        <v>12.162699999999999</v>
      </c>
      <c r="F663" s="67">
        <f>12.1627 * CHOOSE(CONTROL!$C$26, $C$13, 100%, $E$13)</f>
        <v>12.162699999999999</v>
      </c>
      <c r="G663" s="67">
        <f>12.1675 * CHOOSE(CONTROL!$C$26, $C$13, 100%, $E$13)</f>
        <v>12.1675</v>
      </c>
      <c r="H663" s="67">
        <f>22.4392* CHOOSE(CONTROL!$C$26, $C$13, 100%, $E$13)</f>
        <v>22.4392</v>
      </c>
      <c r="I663" s="67">
        <f>22.4439 * CHOOSE(CONTROL!$C$26, $C$13, 100%, $E$13)</f>
        <v>22.443899999999999</v>
      </c>
      <c r="J663" s="67">
        <f>12.1627 * CHOOSE(CONTROL!$C$26, $C$13, 100%, $E$13)</f>
        <v>12.162699999999999</v>
      </c>
      <c r="K663" s="67">
        <f>12.1675 * CHOOSE(CONTROL!$C$26, $C$13, 100%, $E$13)</f>
        <v>12.1675</v>
      </c>
    </row>
    <row r="664" spans="1:11" ht="15">
      <c r="A664" s="13">
        <v>61332</v>
      </c>
      <c r="B664" s="66">
        <f>10.4943 * CHOOSE(CONTROL!$C$26, $C$13, 100%, $E$13)</f>
        <v>10.494300000000001</v>
      </c>
      <c r="C664" s="66">
        <f>10.4943 * CHOOSE(CONTROL!$C$26, $C$13, 100%, $E$13)</f>
        <v>10.494300000000001</v>
      </c>
      <c r="D664" s="66">
        <f>10.4982 * CHOOSE(CONTROL!$C$26, $C$13, 100%, $E$13)</f>
        <v>10.498200000000001</v>
      </c>
      <c r="E664" s="67">
        <f>12.0539 * CHOOSE(CONTROL!$C$26, $C$13, 100%, $E$13)</f>
        <v>12.053900000000001</v>
      </c>
      <c r="F664" s="67">
        <f>12.0539 * CHOOSE(CONTROL!$C$26, $C$13, 100%, $E$13)</f>
        <v>12.053900000000001</v>
      </c>
      <c r="G664" s="67">
        <f>12.0587 * CHOOSE(CONTROL!$C$26, $C$13, 100%, $E$13)</f>
        <v>12.0587</v>
      </c>
      <c r="H664" s="67">
        <f>22.4859* CHOOSE(CONTROL!$C$26, $C$13, 100%, $E$13)</f>
        <v>22.485900000000001</v>
      </c>
      <c r="I664" s="67">
        <f>22.4907 * CHOOSE(CONTROL!$C$26, $C$13, 100%, $E$13)</f>
        <v>22.4907</v>
      </c>
      <c r="J664" s="67">
        <f>12.0539 * CHOOSE(CONTROL!$C$26, $C$13, 100%, $E$13)</f>
        <v>12.053900000000001</v>
      </c>
      <c r="K664" s="67">
        <f>12.0587 * CHOOSE(CONTROL!$C$26, $C$13, 100%, $E$13)</f>
        <v>12.0587</v>
      </c>
    </row>
    <row r="665" spans="1:11" ht="15">
      <c r="A665" s="13">
        <v>61363</v>
      </c>
      <c r="B665" s="66">
        <f>10.5452 * CHOOSE(CONTROL!$C$26, $C$13, 100%, $E$13)</f>
        <v>10.545199999999999</v>
      </c>
      <c r="C665" s="66">
        <f>10.5452 * CHOOSE(CONTROL!$C$26, $C$13, 100%, $E$13)</f>
        <v>10.545199999999999</v>
      </c>
      <c r="D665" s="66">
        <f>10.549 * CHOOSE(CONTROL!$C$26, $C$13, 100%, $E$13)</f>
        <v>10.548999999999999</v>
      </c>
      <c r="E665" s="67">
        <f>12.1921 * CHOOSE(CONTROL!$C$26, $C$13, 100%, $E$13)</f>
        <v>12.1921</v>
      </c>
      <c r="F665" s="67">
        <f>12.1921 * CHOOSE(CONTROL!$C$26, $C$13, 100%, $E$13)</f>
        <v>12.1921</v>
      </c>
      <c r="G665" s="67">
        <f>12.1969 * CHOOSE(CONTROL!$C$26, $C$13, 100%, $E$13)</f>
        <v>12.196899999999999</v>
      </c>
      <c r="H665" s="67">
        <f>22.4595* CHOOSE(CONTROL!$C$26, $C$13, 100%, $E$13)</f>
        <v>22.459499999999998</v>
      </c>
      <c r="I665" s="67">
        <f>22.4643 * CHOOSE(CONTROL!$C$26, $C$13, 100%, $E$13)</f>
        <v>22.464300000000001</v>
      </c>
      <c r="J665" s="67">
        <f>12.1921 * CHOOSE(CONTROL!$C$26, $C$13, 100%, $E$13)</f>
        <v>12.1921</v>
      </c>
      <c r="K665" s="67">
        <f>12.1969 * CHOOSE(CONTROL!$C$26, $C$13, 100%, $E$13)</f>
        <v>12.196899999999999</v>
      </c>
    </row>
    <row r="666" spans="1:11" ht="15">
      <c r="A666" s="13">
        <v>61394</v>
      </c>
      <c r="B666" s="66">
        <f>10.5421 * CHOOSE(CONTROL!$C$26, $C$13, 100%, $E$13)</f>
        <v>10.5421</v>
      </c>
      <c r="C666" s="66">
        <f>10.5421 * CHOOSE(CONTROL!$C$26, $C$13, 100%, $E$13)</f>
        <v>10.5421</v>
      </c>
      <c r="D666" s="66">
        <f>10.546 * CHOOSE(CONTROL!$C$26, $C$13, 100%, $E$13)</f>
        <v>10.545999999999999</v>
      </c>
      <c r="E666" s="67">
        <f>11.9794 * CHOOSE(CONTROL!$C$26, $C$13, 100%, $E$13)</f>
        <v>11.9794</v>
      </c>
      <c r="F666" s="67">
        <f>11.9794 * CHOOSE(CONTROL!$C$26, $C$13, 100%, $E$13)</f>
        <v>11.9794</v>
      </c>
      <c r="G666" s="67">
        <f>11.9842 * CHOOSE(CONTROL!$C$26, $C$13, 100%, $E$13)</f>
        <v>11.9842</v>
      </c>
      <c r="H666" s="67">
        <f>22.5063* CHOOSE(CONTROL!$C$26, $C$13, 100%, $E$13)</f>
        <v>22.5063</v>
      </c>
      <c r="I666" s="67">
        <f>22.5111 * CHOOSE(CONTROL!$C$26, $C$13, 100%, $E$13)</f>
        <v>22.511099999999999</v>
      </c>
      <c r="J666" s="67">
        <f>11.9794 * CHOOSE(CONTROL!$C$26, $C$13, 100%, $E$13)</f>
        <v>11.9794</v>
      </c>
      <c r="K666" s="67">
        <f>11.9842 * CHOOSE(CONTROL!$C$26, $C$13, 100%, $E$13)</f>
        <v>11.9842</v>
      </c>
    </row>
    <row r="667" spans="1:11" ht="15">
      <c r="A667" s="13">
        <v>61423</v>
      </c>
      <c r="B667" s="66">
        <f>10.5391 * CHOOSE(CONTROL!$C$26, $C$13, 100%, $E$13)</f>
        <v>10.539099999999999</v>
      </c>
      <c r="C667" s="66">
        <f>10.5391 * CHOOSE(CONTROL!$C$26, $C$13, 100%, $E$13)</f>
        <v>10.539099999999999</v>
      </c>
      <c r="D667" s="66">
        <f>10.543 * CHOOSE(CONTROL!$C$26, $C$13, 100%, $E$13)</f>
        <v>10.542999999999999</v>
      </c>
      <c r="E667" s="67">
        <f>12.1433 * CHOOSE(CONTROL!$C$26, $C$13, 100%, $E$13)</f>
        <v>12.1433</v>
      </c>
      <c r="F667" s="67">
        <f>12.1433 * CHOOSE(CONTROL!$C$26, $C$13, 100%, $E$13)</f>
        <v>12.1433</v>
      </c>
      <c r="G667" s="67">
        <f>12.1481 * CHOOSE(CONTROL!$C$26, $C$13, 100%, $E$13)</f>
        <v>12.148099999999999</v>
      </c>
      <c r="H667" s="67">
        <f>22.5532* CHOOSE(CONTROL!$C$26, $C$13, 100%, $E$13)</f>
        <v>22.5532</v>
      </c>
      <c r="I667" s="67">
        <f>22.558 * CHOOSE(CONTROL!$C$26, $C$13, 100%, $E$13)</f>
        <v>22.558</v>
      </c>
      <c r="J667" s="67">
        <f>12.1433 * CHOOSE(CONTROL!$C$26, $C$13, 100%, $E$13)</f>
        <v>12.1433</v>
      </c>
      <c r="K667" s="67">
        <f>12.1481 * CHOOSE(CONTROL!$C$26, $C$13, 100%, $E$13)</f>
        <v>12.148099999999999</v>
      </c>
    </row>
    <row r="668" spans="1:11" ht="15">
      <c r="A668" s="13">
        <v>61454</v>
      </c>
      <c r="B668" s="66">
        <f>10.5423 * CHOOSE(CONTROL!$C$26, $C$13, 100%, $E$13)</f>
        <v>10.542299999999999</v>
      </c>
      <c r="C668" s="66">
        <f>10.5423 * CHOOSE(CONTROL!$C$26, $C$13, 100%, $E$13)</f>
        <v>10.542299999999999</v>
      </c>
      <c r="D668" s="66">
        <f>10.5461 * CHOOSE(CONTROL!$C$26, $C$13, 100%, $E$13)</f>
        <v>10.546099999999999</v>
      </c>
      <c r="E668" s="67">
        <f>12.3173 * CHOOSE(CONTROL!$C$26, $C$13, 100%, $E$13)</f>
        <v>12.317299999999999</v>
      </c>
      <c r="F668" s="67">
        <f>12.3173 * CHOOSE(CONTROL!$C$26, $C$13, 100%, $E$13)</f>
        <v>12.317299999999999</v>
      </c>
      <c r="G668" s="67">
        <f>12.3221 * CHOOSE(CONTROL!$C$26, $C$13, 100%, $E$13)</f>
        <v>12.322100000000001</v>
      </c>
      <c r="H668" s="67">
        <f>22.6002* CHOOSE(CONTROL!$C$26, $C$13, 100%, $E$13)</f>
        <v>22.600200000000001</v>
      </c>
      <c r="I668" s="67">
        <f>22.605 * CHOOSE(CONTROL!$C$26, $C$13, 100%, $E$13)</f>
        <v>22.605</v>
      </c>
      <c r="J668" s="67">
        <f>12.3173 * CHOOSE(CONTROL!$C$26, $C$13, 100%, $E$13)</f>
        <v>12.317299999999999</v>
      </c>
      <c r="K668" s="67">
        <f>12.3221 * CHOOSE(CONTROL!$C$26, $C$13, 100%, $E$13)</f>
        <v>12.322100000000001</v>
      </c>
    </row>
    <row r="669" spans="1:11" ht="15">
      <c r="A669" s="13">
        <v>61484</v>
      </c>
      <c r="B669" s="66">
        <f>10.5423 * CHOOSE(CONTROL!$C$26, $C$13, 100%, $E$13)</f>
        <v>10.542299999999999</v>
      </c>
      <c r="C669" s="66">
        <f>10.5423 * CHOOSE(CONTROL!$C$26, $C$13, 100%, $E$13)</f>
        <v>10.542299999999999</v>
      </c>
      <c r="D669" s="66">
        <f>10.5478 * CHOOSE(CONTROL!$C$26, $C$13, 100%, $E$13)</f>
        <v>10.547800000000001</v>
      </c>
      <c r="E669" s="67">
        <f>12.3841 * CHOOSE(CONTROL!$C$26, $C$13, 100%, $E$13)</f>
        <v>12.3841</v>
      </c>
      <c r="F669" s="67">
        <f>12.3841 * CHOOSE(CONTROL!$C$26, $C$13, 100%, $E$13)</f>
        <v>12.3841</v>
      </c>
      <c r="G669" s="67">
        <f>12.3909 * CHOOSE(CONTROL!$C$26, $C$13, 100%, $E$13)</f>
        <v>12.3909</v>
      </c>
      <c r="H669" s="67">
        <f>22.6473* CHOOSE(CONTROL!$C$26, $C$13, 100%, $E$13)</f>
        <v>22.647300000000001</v>
      </c>
      <c r="I669" s="67">
        <f>22.654 * CHOOSE(CONTROL!$C$26, $C$13, 100%, $E$13)</f>
        <v>22.654</v>
      </c>
      <c r="J669" s="67">
        <f>12.3841 * CHOOSE(CONTROL!$C$26, $C$13, 100%, $E$13)</f>
        <v>12.3841</v>
      </c>
      <c r="K669" s="67">
        <f>12.3909 * CHOOSE(CONTROL!$C$26, $C$13, 100%, $E$13)</f>
        <v>12.3909</v>
      </c>
    </row>
    <row r="670" spans="1:11" ht="15">
      <c r="A670" s="13">
        <v>61515</v>
      </c>
      <c r="B670" s="66">
        <f>10.5483 * CHOOSE(CONTROL!$C$26, $C$13, 100%, $E$13)</f>
        <v>10.548299999999999</v>
      </c>
      <c r="C670" s="66">
        <f>10.5483 * CHOOSE(CONTROL!$C$26, $C$13, 100%, $E$13)</f>
        <v>10.548299999999999</v>
      </c>
      <c r="D670" s="66">
        <f>10.5538 * CHOOSE(CONTROL!$C$26, $C$13, 100%, $E$13)</f>
        <v>10.553800000000001</v>
      </c>
      <c r="E670" s="67">
        <f>12.3215 * CHOOSE(CONTROL!$C$26, $C$13, 100%, $E$13)</f>
        <v>12.3215</v>
      </c>
      <c r="F670" s="67">
        <f>12.3215 * CHOOSE(CONTROL!$C$26, $C$13, 100%, $E$13)</f>
        <v>12.3215</v>
      </c>
      <c r="G670" s="67">
        <f>12.3283 * CHOOSE(CONTROL!$C$26, $C$13, 100%, $E$13)</f>
        <v>12.3283</v>
      </c>
      <c r="H670" s="67">
        <f>22.6945* CHOOSE(CONTROL!$C$26, $C$13, 100%, $E$13)</f>
        <v>22.694500000000001</v>
      </c>
      <c r="I670" s="67">
        <f>22.7012 * CHOOSE(CONTROL!$C$26, $C$13, 100%, $E$13)</f>
        <v>22.7012</v>
      </c>
      <c r="J670" s="67">
        <f>12.3215 * CHOOSE(CONTROL!$C$26, $C$13, 100%, $E$13)</f>
        <v>12.3215</v>
      </c>
      <c r="K670" s="67">
        <f>12.3283 * CHOOSE(CONTROL!$C$26, $C$13, 100%, $E$13)</f>
        <v>12.3283</v>
      </c>
    </row>
    <row r="671" spans="1:11" ht="15">
      <c r="A671" s="13">
        <v>61545</v>
      </c>
      <c r="B671" s="66">
        <f>10.7107 * CHOOSE(CONTROL!$C$26, $C$13, 100%, $E$13)</f>
        <v>10.710699999999999</v>
      </c>
      <c r="C671" s="66">
        <f>10.7107 * CHOOSE(CONTROL!$C$26, $C$13, 100%, $E$13)</f>
        <v>10.710699999999999</v>
      </c>
      <c r="D671" s="66">
        <f>10.7162 * CHOOSE(CONTROL!$C$26, $C$13, 100%, $E$13)</f>
        <v>10.716200000000001</v>
      </c>
      <c r="E671" s="67">
        <f>12.5203 * CHOOSE(CONTROL!$C$26, $C$13, 100%, $E$13)</f>
        <v>12.520300000000001</v>
      </c>
      <c r="F671" s="67">
        <f>12.5203 * CHOOSE(CONTROL!$C$26, $C$13, 100%, $E$13)</f>
        <v>12.520300000000001</v>
      </c>
      <c r="G671" s="67">
        <f>12.527 * CHOOSE(CONTROL!$C$26, $C$13, 100%, $E$13)</f>
        <v>12.526999999999999</v>
      </c>
      <c r="H671" s="67">
        <f>22.7417* CHOOSE(CONTROL!$C$26, $C$13, 100%, $E$13)</f>
        <v>22.741700000000002</v>
      </c>
      <c r="I671" s="67">
        <f>22.7485 * CHOOSE(CONTROL!$C$26, $C$13, 100%, $E$13)</f>
        <v>22.7485</v>
      </c>
      <c r="J671" s="67">
        <f>12.5203 * CHOOSE(CONTROL!$C$26, $C$13, 100%, $E$13)</f>
        <v>12.520300000000001</v>
      </c>
      <c r="K671" s="67">
        <f>12.527 * CHOOSE(CONTROL!$C$26, $C$13, 100%, $E$13)</f>
        <v>12.526999999999999</v>
      </c>
    </row>
    <row r="672" spans="1:11" ht="15">
      <c r="A672" s="13">
        <v>61576</v>
      </c>
      <c r="B672" s="66">
        <f>10.7174 * CHOOSE(CONTROL!$C$26, $C$13, 100%, $E$13)</f>
        <v>10.7174</v>
      </c>
      <c r="C672" s="66">
        <f>10.7174 * CHOOSE(CONTROL!$C$26, $C$13, 100%, $E$13)</f>
        <v>10.7174</v>
      </c>
      <c r="D672" s="66">
        <f>10.7229 * CHOOSE(CONTROL!$C$26, $C$13, 100%, $E$13)</f>
        <v>10.722899999999999</v>
      </c>
      <c r="E672" s="67">
        <f>12.3244 * CHOOSE(CONTROL!$C$26, $C$13, 100%, $E$13)</f>
        <v>12.324400000000001</v>
      </c>
      <c r="F672" s="67">
        <f>12.3244 * CHOOSE(CONTROL!$C$26, $C$13, 100%, $E$13)</f>
        <v>12.324400000000001</v>
      </c>
      <c r="G672" s="67">
        <f>12.3312 * CHOOSE(CONTROL!$C$26, $C$13, 100%, $E$13)</f>
        <v>12.331200000000001</v>
      </c>
      <c r="H672" s="67">
        <f>22.7891* CHOOSE(CONTROL!$C$26, $C$13, 100%, $E$13)</f>
        <v>22.789100000000001</v>
      </c>
      <c r="I672" s="67">
        <f>22.7959 * CHOOSE(CONTROL!$C$26, $C$13, 100%, $E$13)</f>
        <v>22.7959</v>
      </c>
      <c r="J672" s="67">
        <f>12.3244 * CHOOSE(CONTROL!$C$26, $C$13, 100%, $E$13)</f>
        <v>12.324400000000001</v>
      </c>
      <c r="K672" s="67">
        <f>12.3312 * CHOOSE(CONTROL!$C$26, $C$13, 100%, $E$13)</f>
        <v>12.331200000000001</v>
      </c>
    </row>
    <row r="673" spans="1:11" ht="15">
      <c r="A673" s="13">
        <v>61607</v>
      </c>
      <c r="B673" s="66">
        <f>10.7144 * CHOOSE(CONTROL!$C$26, $C$13, 100%, $E$13)</f>
        <v>10.714399999999999</v>
      </c>
      <c r="C673" s="66">
        <f>10.7144 * CHOOSE(CONTROL!$C$26, $C$13, 100%, $E$13)</f>
        <v>10.714399999999999</v>
      </c>
      <c r="D673" s="66">
        <f>10.7199 * CHOOSE(CONTROL!$C$26, $C$13, 100%, $E$13)</f>
        <v>10.719900000000001</v>
      </c>
      <c r="E673" s="67">
        <f>12.3 * CHOOSE(CONTROL!$C$26, $C$13, 100%, $E$13)</f>
        <v>12.3</v>
      </c>
      <c r="F673" s="67">
        <f>12.3 * CHOOSE(CONTROL!$C$26, $C$13, 100%, $E$13)</f>
        <v>12.3</v>
      </c>
      <c r="G673" s="67">
        <f>12.3068 * CHOOSE(CONTROL!$C$26, $C$13, 100%, $E$13)</f>
        <v>12.306800000000001</v>
      </c>
      <c r="H673" s="67">
        <f>22.8366* CHOOSE(CONTROL!$C$26, $C$13, 100%, $E$13)</f>
        <v>22.836600000000001</v>
      </c>
      <c r="I673" s="67">
        <f>22.8433 * CHOOSE(CONTROL!$C$26, $C$13, 100%, $E$13)</f>
        <v>22.843299999999999</v>
      </c>
      <c r="J673" s="67">
        <f>12.3 * CHOOSE(CONTROL!$C$26, $C$13, 100%, $E$13)</f>
        <v>12.3</v>
      </c>
      <c r="K673" s="67">
        <f>12.3068 * CHOOSE(CONTROL!$C$26, $C$13, 100%, $E$13)</f>
        <v>12.306800000000001</v>
      </c>
    </row>
    <row r="674" spans="1:11" ht="15">
      <c r="A674" s="13">
        <v>61637</v>
      </c>
      <c r="B674" s="66">
        <f>10.7312 * CHOOSE(CONTROL!$C$26, $C$13, 100%, $E$13)</f>
        <v>10.731199999999999</v>
      </c>
      <c r="C674" s="66">
        <f>10.7312 * CHOOSE(CONTROL!$C$26, $C$13, 100%, $E$13)</f>
        <v>10.731199999999999</v>
      </c>
      <c r="D674" s="66">
        <f>10.7351 * CHOOSE(CONTROL!$C$26, $C$13, 100%, $E$13)</f>
        <v>10.735099999999999</v>
      </c>
      <c r="E674" s="67">
        <f>12.3757 * CHOOSE(CONTROL!$C$26, $C$13, 100%, $E$13)</f>
        <v>12.3757</v>
      </c>
      <c r="F674" s="67">
        <f>12.3757 * CHOOSE(CONTROL!$C$26, $C$13, 100%, $E$13)</f>
        <v>12.3757</v>
      </c>
      <c r="G674" s="67">
        <f>12.3805 * CHOOSE(CONTROL!$C$26, $C$13, 100%, $E$13)</f>
        <v>12.3805</v>
      </c>
      <c r="H674" s="67">
        <f>22.8842* CHOOSE(CONTROL!$C$26, $C$13, 100%, $E$13)</f>
        <v>22.8842</v>
      </c>
      <c r="I674" s="67">
        <f>22.8889 * CHOOSE(CONTROL!$C$26, $C$13, 100%, $E$13)</f>
        <v>22.8889</v>
      </c>
      <c r="J674" s="67">
        <f>12.3757 * CHOOSE(CONTROL!$C$26, $C$13, 100%, $E$13)</f>
        <v>12.3757</v>
      </c>
      <c r="K674" s="67">
        <f>12.3805 * CHOOSE(CONTROL!$C$26, $C$13, 100%, $E$13)</f>
        <v>12.3805</v>
      </c>
    </row>
    <row r="675" spans="1:11" ht="15">
      <c r="A675" s="13">
        <v>61668</v>
      </c>
      <c r="B675" s="66">
        <f>10.7342 * CHOOSE(CONTROL!$C$26, $C$13, 100%, $E$13)</f>
        <v>10.7342</v>
      </c>
      <c r="C675" s="66">
        <f>10.7342 * CHOOSE(CONTROL!$C$26, $C$13, 100%, $E$13)</f>
        <v>10.7342</v>
      </c>
      <c r="D675" s="66">
        <f>10.7381 * CHOOSE(CONTROL!$C$26, $C$13, 100%, $E$13)</f>
        <v>10.738099999999999</v>
      </c>
      <c r="E675" s="67">
        <f>12.4224 * CHOOSE(CONTROL!$C$26, $C$13, 100%, $E$13)</f>
        <v>12.4224</v>
      </c>
      <c r="F675" s="67">
        <f>12.4224 * CHOOSE(CONTROL!$C$26, $C$13, 100%, $E$13)</f>
        <v>12.4224</v>
      </c>
      <c r="G675" s="67">
        <f>12.4272 * CHOOSE(CONTROL!$C$26, $C$13, 100%, $E$13)</f>
        <v>12.427199999999999</v>
      </c>
      <c r="H675" s="67">
        <f>22.9319* CHOOSE(CONTROL!$C$26, $C$13, 100%, $E$13)</f>
        <v>22.931899999999999</v>
      </c>
      <c r="I675" s="67">
        <f>22.9366 * CHOOSE(CONTROL!$C$26, $C$13, 100%, $E$13)</f>
        <v>22.936599999999999</v>
      </c>
      <c r="J675" s="67">
        <f>12.4224 * CHOOSE(CONTROL!$C$26, $C$13, 100%, $E$13)</f>
        <v>12.4224</v>
      </c>
      <c r="K675" s="67">
        <f>12.4272 * CHOOSE(CONTROL!$C$26, $C$13, 100%, $E$13)</f>
        <v>12.427199999999999</v>
      </c>
    </row>
    <row r="676" spans="1:11" ht="15">
      <c r="A676" s="13">
        <v>61698</v>
      </c>
      <c r="B676" s="66">
        <f>10.7342 * CHOOSE(CONTROL!$C$26, $C$13, 100%, $E$13)</f>
        <v>10.7342</v>
      </c>
      <c r="C676" s="66">
        <f>10.7342 * CHOOSE(CONTROL!$C$26, $C$13, 100%, $E$13)</f>
        <v>10.7342</v>
      </c>
      <c r="D676" s="66">
        <f>10.7381 * CHOOSE(CONTROL!$C$26, $C$13, 100%, $E$13)</f>
        <v>10.738099999999999</v>
      </c>
      <c r="E676" s="67">
        <f>12.311 * CHOOSE(CONTROL!$C$26, $C$13, 100%, $E$13)</f>
        <v>12.311</v>
      </c>
      <c r="F676" s="67">
        <f>12.311 * CHOOSE(CONTROL!$C$26, $C$13, 100%, $E$13)</f>
        <v>12.311</v>
      </c>
      <c r="G676" s="67">
        <f>12.3158 * CHOOSE(CONTROL!$C$26, $C$13, 100%, $E$13)</f>
        <v>12.315799999999999</v>
      </c>
      <c r="H676" s="67">
        <f>22.9796* CHOOSE(CONTROL!$C$26, $C$13, 100%, $E$13)</f>
        <v>22.979600000000001</v>
      </c>
      <c r="I676" s="67">
        <f>22.9844 * CHOOSE(CONTROL!$C$26, $C$13, 100%, $E$13)</f>
        <v>22.984400000000001</v>
      </c>
      <c r="J676" s="67">
        <f>12.311 * CHOOSE(CONTROL!$C$26, $C$13, 100%, $E$13)</f>
        <v>12.311</v>
      </c>
      <c r="K676" s="67">
        <f>12.3158 * CHOOSE(CONTROL!$C$26, $C$13, 100%, $E$13)</f>
        <v>12.315799999999999</v>
      </c>
    </row>
    <row r="677" spans="1:11" ht="15">
      <c r="A677" s="13">
        <v>61729</v>
      </c>
      <c r="B677" s="66">
        <f>10.7807 * CHOOSE(CONTROL!$C$26, $C$13, 100%, $E$13)</f>
        <v>10.7807</v>
      </c>
      <c r="C677" s="66">
        <f>10.7807 * CHOOSE(CONTROL!$C$26, $C$13, 100%, $E$13)</f>
        <v>10.7807</v>
      </c>
      <c r="D677" s="66">
        <f>10.7846 * CHOOSE(CONTROL!$C$26, $C$13, 100%, $E$13)</f>
        <v>10.784599999999999</v>
      </c>
      <c r="E677" s="67">
        <f>12.4468 * CHOOSE(CONTROL!$C$26, $C$13, 100%, $E$13)</f>
        <v>12.4468</v>
      </c>
      <c r="F677" s="67">
        <f>12.4468 * CHOOSE(CONTROL!$C$26, $C$13, 100%, $E$13)</f>
        <v>12.4468</v>
      </c>
      <c r="G677" s="67">
        <f>12.4516 * CHOOSE(CONTROL!$C$26, $C$13, 100%, $E$13)</f>
        <v>12.451599999999999</v>
      </c>
      <c r="H677" s="67">
        <f>22.9421* CHOOSE(CONTROL!$C$26, $C$13, 100%, $E$13)</f>
        <v>22.9421</v>
      </c>
      <c r="I677" s="67">
        <f>22.9469 * CHOOSE(CONTROL!$C$26, $C$13, 100%, $E$13)</f>
        <v>22.946899999999999</v>
      </c>
      <c r="J677" s="67">
        <f>12.4468 * CHOOSE(CONTROL!$C$26, $C$13, 100%, $E$13)</f>
        <v>12.4468</v>
      </c>
      <c r="K677" s="67">
        <f>12.4516 * CHOOSE(CONTROL!$C$26, $C$13, 100%, $E$13)</f>
        <v>12.451599999999999</v>
      </c>
    </row>
    <row r="678" spans="1:11" ht="15">
      <c r="A678" s="13">
        <v>61760</v>
      </c>
      <c r="B678" s="66">
        <f>10.7777 * CHOOSE(CONTROL!$C$26, $C$13, 100%, $E$13)</f>
        <v>10.777699999999999</v>
      </c>
      <c r="C678" s="66">
        <f>10.7777 * CHOOSE(CONTROL!$C$26, $C$13, 100%, $E$13)</f>
        <v>10.777699999999999</v>
      </c>
      <c r="D678" s="66">
        <f>10.7816 * CHOOSE(CONTROL!$C$26, $C$13, 100%, $E$13)</f>
        <v>10.781599999999999</v>
      </c>
      <c r="E678" s="67">
        <f>12.2292 * CHOOSE(CONTROL!$C$26, $C$13, 100%, $E$13)</f>
        <v>12.229200000000001</v>
      </c>
      <c r="F678" s="67">
        <f>12.2292 * CHOOSE(CONTROL!$C$26, $C$13, 100%, $E$13)</f>
        <v>12.229200000000001</v>
      </c>
      <c r="G678" s="67">
        <f>12.234 * CHOOSE(CONTROL!$C$26, $C$13, 100%, $E$13)</f>
        <v>12.234</v>
      </c>
      <c r="H678" s="67">
        <f>22.9899* CHOOSE(CONTROL!$C$26, $C$13, 100%, $E$13)</f>
        <v>22.989899999999999</v>
      </c>
      <c r="I678" s="67">
        <f>22.9946 * CHOOSE(CONTROL!$C$26, $C$13, 100%, $E$13)</f>
        <v>22.994599999999998</v>
      </c>
      <c r="J678" s="67">
        <f>12.2292 * CHOOSE(CONTROL!$C$26, $C$13, 100%, $E$13)</f>
        <v>12.229200000000001</v>
      </c>
      <c r="K678" s="67">
        <f>12.234 * CHOOSE(CONTROL!$C$26, $C$13, 100%, $E$13)</f>
        <v>12.234</v>
      </c>
    </row>
    <row r="679" spans="1:11" ht="15">
      <c r="A679" s="13">
        <v>61788</v>
      </c>
      <c r="B679" s="66">
        <f>10.7747 * CHOOSE(CONTROL!$C$26, $C$13, 100%, $E$13)</f>
        <v>10.774699999999999</v>
      </c>
      <c r="C679" s="66">
        <f>10.7747 * CHOOSE(CONTROL!$C$26, $C$13, 100%, $E$13)</f>
        <v>10.774699999999999</v>
      </c>
      <c r="D679" s="66">
        <f>10.7785 * CHOOSE(CONTROL!$C$26, $C$13, 100%, $E$13)</f>
        <v>10.778499999999999</v>
      </c>
      <c r="E679" s="67">
        <f>12.397 * CHOOSE(CONTROL!$C$26, $C$13, 100%, $E$13)</f>
        <v>12.397</v>
      </c>
      <c r="F679" s="67">
        <f>12.397 * CHOOSE(CONTROL!$C$26, $C$13, 100%, $E$13)</f>
        <v>12.397</v>
      </c>
      <c r="G679" s="67">
        <f>12.4017 * CHOOSE(CONTROL!$C$26, $C$13, 100%, $E$13)</f>
        <v>12.4017</v>
      </c>
      <c r="H679" s="67">
        <f>23.0378* CHOOSE(CONTROL!$C$26, $C$13, 100%, $E$13)</f>
        <v>23.037800000000001</v>
      </c>
      <c r="I679" s="67">
        <f>23.0425 * CHOOSE(CONTROL!$C$26, $C$13, 100%, $E$13)</f>
        <v>23.0425</v>
      </c>
      <c r="J679" s="67">
        <f>12.397 * CHOOSE(CONTROL!$C$26, $C$13, 100%, $E$13)</f>
        <v>12.397</v>
      </c>
      <c r="K679" s="67">
        <f>12.4017 * CHOOSE(CONTROL!$C$26, $C$13, 100%, $E$13)</f>
        <v>12.4017</v>
      </c>
    </row>
    <row r="680" spans="1:11" ht="15">
      <c r="A680" s="13">
        <v>61819</v>
      </c>
      <c r="B680" s="66">
        <f>10.778 * CHOOSE(CONTROL!$C$26, $C$13, 100%, $E$13)</f>
        <v>10.778</v>
      </c>
      <c r="C680" s="66">
        <f>10.778 * CHOOSE(CONTROL!$C$26, $C$13, 100%, $E$13)</f>
        <v>10.778</v>
      </c>
      <c r="D680" s="66">
        <f>10.7819 * CHOOSE(CONTROL!$C$26, $C$13, 100%, $E$13)</f>
        <v>10.7819</v>
      </c>
      <c r="E680" s="67">
        <f>12.5752 * CHOOSE(CONTROL!$C$26, $C$13, 100%, $E$13)</f>
        <v>12.575200000000001</v>
      </c>
      <c r="F680" s="67">
        <f>12.5752 * CHOOSE(CONTROL!$C$26, $C$13, 100%, $E$13)</f>
        <v>12.575200000000001</v>
      </c>
      <c r="G680" s="67">
        <f>12.5799 * CHOOSE(CONTROL!$C$26, $C$13, 100%, $E$13)</f>
        <v>12.5799</v>
      </c>
      <c r="H680" s="67">
        <f>23.0858* CHOOSE(CONTROL!$C$26, $C$13, 100%, $E$13)</f>
        <v>23.085799999999999</v>
      </c>
      <c r="I680" s="67">
        <f>23.0905 * CHOOSE(CONTROL!$C$26, $C$13, 100%, $E$13)</f>
        <v>23.090499999999999</v>
      </c>
      <c r="J680" s="67">
        <f>12.5752 * CHOOSE(CONTROL!$C$26, $C$13, 100%, $E$13)</f>
        <v>12.575200000000001</v>
      </c>
      <c r="K680" s="67">
        <f>12.5799 * CHOOSE(CONTROL!$C$26, $C$13, 100%, $E$13)</f>
        <v>12.5799</v>
      </c>
    </row>
    <row r="681" spans="1:11" ht="15">
      <c r="A681" s="13">
        <v>61849</v>
      </c>
      <c r="B681" s="66">
        <f>10.778 * CHOOSE(CONTROL!$C$26, $C$13, 100%, $E$13)</f>
        <v>10.778</v>
      </c>
      <c r="C681" s="66">
        <f>10.778 * CHOOSE(CONTROL!$C$26, $C$13, 100%, $E$13)</f>
        <v>10.778</v>
      </c>
      <c r="D681" s="66">
        <f>10.7835 * CHOOSE(CONTROL!$C$26, $C$13, 100%, $E$13)</f>
        <v>10.7835</v>
      </c>
      <c r="E681" s="67">
        <f>12.6436 * CHOOSE(CONTROL!$C$26, $C$13, 100%, $E$13)</f>
        <v>12.643599999999999</v>
      </c>
      <c r="F681" s="67">
        <f>12.6436 * CHOOSE(CONTROL!$C$26, $C$13, 100%, $E$13)</f>
        <v>12.643599999999999</v>
      </c>
      <c r="G681" s="67">
        <f>12.6503 * CHOOSE(CONTROL!$C$26, $C$13, 100%, $E$13)</f>
        <v>12.6503</v>
      </c>
      <c r="H681" s="67">
        <f>23.1339* CHOOSE(CONTROL!$C$26, $C$13, 100%, $E$13)</f>
        <v>23.133900000000001</v>
      </c>
      <c r="I681" s="67">
        <f>23.1406 * CHOOSE(CONTROL!$C$26, $C$13, 100%, $E$13)</f>
        <v>23.140599999999999</v>
      </c>
      <c r="J681" s="67">
        <f>12.6436 * CHOOSE(CONTROL!$C$26, $C$13, 100%, $E$13)</f>
        <v>12.643599999999999</v>
      </c>
      <c r="K681" s="67">
        <f>12.6503 * CHOOSE(CONTROL!$C$26, $C$13, 100%, $E$13)</f>
        <v>12.6503</v>
      </c>
    </row>
    <row r="682" spans="1:11" ht="15">
      <c r="A682" s="13">
        <v>61880</v>
      </c>
      <c r="B682" s="66">
        <f>10.7841 * CHOOSE(CONTROL!$C$26, $C$13, 100%, $E$13)</f>
        <v>10.7841</v>
      </c>
      <c r="C682" s="66">
        <f>10.7841 * CHOOSE(CONTROL!$C$26, $C$13, 100%, $E$13)</f>
        <v>10.7841</v>
      </c>
      <c r="D682" s="66">
        <f>10.7896 * CHOOSE(CONTROL!$C$26, $C$13, 100%, $E$13)</f>
        <v>10.7896</v>
      </c>
      <c r="E682" s="67">
        <f>12.5794 * CHOOSE(CONTROL!$C$26, $C$13, 100%, $E$13)</f>
        <v>12.5794</v>
      </c>
      <c r="F682" s="67">
        <f>12.5794 * CHOOSE(CONTROL!$C$26, $C$13, 100%, $E$13)</f>
        <v>12.5794</v>
      </c>
      <c r="G682" s="67">
        <f>12.5861 * CHOOSE(CONTROL!$C$26, $C$13, 100%, $E$13)</f>
        <v>12.5861</v>
      </c>
      <c r="H682" s="67">
        <f>23.1821* CHOOSE(CONTROL!$C$26, $C$13, 100%, $E$13)</f>
        <v>23.182099999999998</v>
      </c>
      <c r="I682" s="67">
        <f>23.1888 * CHOOSE(CONTROL!$C$26, $C$13, 100%, $E$13)</f>
        <v>23.188800000000001</v>
      </c>
      <c r="J682" s="67">
        <f>12.5794 * CHOOSE(CONTROL!$C$26, $C$13, 100%, $E$13)</f>
        <v>12.5794</v>
      </c>
      <c r="K682" s="67">
        <f>12.5861 * CHOOSE(CONTROL!$C$26, $C$13, 100%, $E$13)</f>
        <v>12.5861</v>
      </c>
    </row>
    <row r="683" spans="1:11" ht="15">
      <c r="A683" s="13">
        <v>61910</v>
      </c>
      <c r="B683" s="66">
        <f>10.9499 * CHOOSE(CONTROL!$C$26, $C$13, 100%, $E$13)</f>
        <v>10.9499</v>
      </c>
      <c r="C683" s="66">
        <f>10.9499 * CHOOSE(CONTROL!$C$26, $C$13, 100%, $E$13)</f>
        <v>10.9499</v>
      </c>
      <c r="D683" s="66">
        <f>10.9554 * CHOOSE(CONTROL!$C$26, $C$13, 100%, $E$13)</f>
        <v>10.955399999999999</v>
      </c>
      <c r="E683" s="67">
        <f>12.7821 * CHOOSE(CONTROL!$C$26, $C$13, 100%, $E$13)</f>
        <v>12.7821</v>
      </c>
      <c r="F683" s="67">
        <f>12.7821 * CHOOSE(CONTROL!$C$26, $C$13, 100%, $E$13)</f>
        <v>12.7821</v>
      </c>
      <c r="G683" s="67">
        <f>12.7888 * CHOOSE(CONTROL!$C$26, $C$13, 100%, $E$13)</f>
        <v>12.7888</v>
      </c>
      <c r="H683" s="67">
        <f>23.2304* CHOOSE(CONTROL!$C$26, $C$13, 100%, $E$13)</f>
        <v>23.230399999999999</v>
      </c>
      <c r="I683" s="67">
        <f>23.2371 * CHOOSE(CONTROL!$C$26, $C$13, 100%, $E$13)</f>
        <v>23.237100000000002</v>
      </c>
      <c r="J683" s="67">
        <f>12.7821 * CHOOSE(CONTROL!$C$26, $C$13, 100%, $E$13)</f>
        <v>12.7821</v>
      </c>
      <c r="K683" s="67">
        <f>12.7888 * CHOOSE(CONTROL!$C$26, $C$13, 100%, $E$13)</f>
        <v>12.7888</v>
      </c>
    </row>
    <row r="684" spans="1:11" ht="15">
      <c r="A684" s="13">
        <v>61941</v>
      </c>
      <c r="B684" s="66">
        <f>10.9566 * CHOOSE(CONTROL!$C$26, $C$13, 100%, $E$13)</f>
        <v>10.9566</v>
      </c>
      <c r="C684" s="66">
        <f>10.9566 * CHOOSE(CONTROL!$C$26, $C$13, 100%, $E$13)</f>
        <v>10.9566</v>
      </c>
      <c r="D684" s="66">
        <f>10.9621 * CHOOSE(CONTROL!$C$26, $C$13, 100%, $E$13)</f>
        <v>10.9621</v>
      </c>
      <c r="E684" s="67">
        <f>12.5815 * CHOOSE(CONTROL!$C$26, $C$13, 100%, $E$13)</f>
        <v>12.5815</v>
      </c>
      <c r="F684" s="67">
        <f>12.5815 * CHOOSE(CONTROL!$C$26, $C$13, 100%, $E$13)</f>
        <v>12.5815</v>
      </c>
      <c r="G684" s="67">
        <f>12.5882 * CHOOSE(CONTROL!$C$26, $C$13, 100%, $E$13)</f>
        <v>12.588200000000001</v>
      </c>
      <c r="H684" s="67">
        <f>23.2788* CHOOSE(CONTROL!$C$26, $C$13, 100%, $E$13)</f>
        <v>23.2788</v>
      </c>
      <c r="I684" s="67">
        <f>23.2855 * CHOOSE(CONTROL!$C$26, $C$13, 100%, $E$13)</f>
        <v>23.285499999999999</v>
      </c>
      <c r="J684" s="67">
        <f>12.5815 * CHOOSE(CONTROL!$C$26, $C$13, 100%, $E$13)</f>
        <v>12.5815</v>
      </c>
      <c r="K684" s="67">
        <f>12.5882 * CHOOSE(CONTROL!$C$26, $C$13, 100%, $E$13)</f>
        <v>12.588200000000001</v>
      </c>
    </row>
    <row r="685" spans="1:11" ht="15">
      <c r="A685" s="13">
        <v>61972</v>
      </c>
      <c r="B685" s="66">
        <f>10.9536 * CHOOSE(CONTROL!$C$26, $C$13, 100%, $E$13)</f>
        <v>10.9536</v>
      </c>
      <c r="C685" s="66">
        <f>10.9536 * CHOOSE(CONTROL!$C$26, $C$13, 100%, $E$13)</f>
        <v>10.9536</v>
      </c>
      <c r="D685" s="66">
        <f>10.9591 * CHOOSE(CONTROL!$C$26, $C$13, 100%, $E$13)</f>
        <v>10.959099999999999</v>
      </c>
      <c r="E685" s="67">
        <f>12.5566 * CHOOSE(CONTROL!$C$26, $C$13, 100%, $E$13)</f>
        <v>12.5566</v>
      </c>
      <c r="F685" s="67">
        <f>12.5566 * CHOOSE(CONTROL!$C$26, $C$13, 100%, $E$13)</f>
        <v>12.5566</v>
      </c>
      <c r="G685" s="67">
        <f>12.5633 * CHOOSE(CONTROL!$C$26, $C$13, 100%, $E$13)</f>
        <v>12.5633</v>
      </c>
      <c r="H685" s="67">
        <f>23.3272* CHOOSE(CONTROL!$C$26, $C$13, 100%, $E$13)</f>
        <v>23.327200000000001</v>
      </c>
      <c r="I685" s="67">
        <f>23.334 * CHOOSE(CONTROL!$C$26, $C$13, 100%, $E$13)</f>
        <v>23.334</v>
      </c>
      <c r="J685" s="67">
        <f>12.5566 * CHOOSE(CONTROL!$C$26, $C$13, 100%, $E$13)</f>
        <v>12.5566</v>
      </c>
      <c r="K685" s="67">
        <f>12.5633 * CHOOSE(CONTROL!$C$26, $C$13, 100%, $E$13)</f>
        <v>12.5633</v>
      </c>
    </row>
    <row r="686" spans="1:11" ht="15">
      <c r="A686" s="13">
        <v>62002</v>
      </c>
      <c r="B686" s="66">
        <f>10.9711 * CHOOSE(CONTROL!$C$26, $C$13, 100%, $E$13)</f>
        <v>10.9711</v>
      </c>
      <c r="C686" s="66">
        <f>10.9711 * CHOOSE(CONTROL!$C$26, $C$13, 100%, $E$13)</f>
        <v>10.9711</v>
      </c>
      <c r="D686" s="66">
        <f>10.975 * CHOOSE(CONTROL!$C$26, $C$13, 100%, $E$13)</f>
        <v>10.975</v>
      </c>
      <c r="E686" s="67">
        <f>12.6344 * CHOOSE(CONTROL!$C$26, $C$13, 100%, $E$13)</f>
        <v>12.634399999999999</v>
      </c>
      <c r="F686" s="67">
        <f>12.6344 * CHOOSE(CONTROL!$C$26, $C$13, 100%, $E$13)</f>
        <v>12.634399999999999</v>
      </c>
      <c r="G686" s="67">
        <f>12.6391 * CHOOSE(CONTROL!$C$26, $C$13, 100%, $E$13)</f>
        <v>12.639099999999999</v>
      </c>
      <c r="H686" s="67">
        <f>23.3758* CHOOSE(CONTROL!$C$26, $C$13, 100%, $E$13)</f>
        <v>23.375800000000002</v>
      </c>
      <c r="I686" s="67">
        <f>23.3806 * CHOOSE(CONTROL!$C$26, $C$13, 100%, $E$13)</f>
        <v>23.380600000000001</v>
      </c>
      <c r="J686" s="67">
        <f>12.6344 * CHOOSE(CONTROL!$C$26, $C$13, 100%, $E$13)</f>
        <v>12.634399999999999</v>
      </c>
      <c r="K686" s="67">
        <f>12.6391 * CHOOSE(CONTROL!$C$26, $C$13, 100%, $E$13)</f>
        <v>12.639099999999999</v>
      </c>
    </row>
    <row r="687" spans="1:11" ht="15">
      <c r="A687" s="13">
        <v>62033</v>
      </c>
      <c r="B687" s="66">
        <f>10.9742 * CHOOSE(CONTROL!$C$26, $C$13, 100%, $E$13)</f>
        <v>10.9742</v>
      </c>
      <c r="C687" s="66">
        <f>10.9742 * CHOOSE(CONTROL!$C$26, $C$13, 100%, $E$13)</f>
        <v>10.9742</v>
      </c>
      <c r="D687" s="66">
        <f>10.9781 * CHOOSE(CONTROL!$C$26, $C$13, 100%, $E$13)</f>
        <v>10.9781</v>
      </c>
      <c r="E687" s="67">
        <f>12.6821 * CHOOSE(CONTROL!$C$26, $C$13, 100%, $E$13)</f>
        <v>12.6821</v>
      </c>
      <c r="F687" s="67">
        <f>12.6821 * CHOOSE(CONTROL!$C$26, $C$13, 100%, $E$13)</f>
        <v>12.6821</v>
      </c>
      <c r="G687" s="67">
        <f>12.6869 * CHOOSE(CONTROL!$C$26, $C$13, 100%, $E$13)</f>
        <v>12.6869</v>
      </c>
      <c r="H687" s="67">
        <f>23.4245* CHOOSE(CONTROL!$C$26, $C$13, 100%, $E$13)</f>
        <v>23.424499999999998</v>
      </c>
      <c r="I687" s="67">
        <f>23.4293 * CHOOSE(CONTROL!$C$26, $C$13, 100%, $E$13)</f>
        <v>23.429300000000001</v>
      </c>
      <c r="J687" s="67">
        <f>12.6821 * CHOOSE(CONTROL!$C$26, $C$13, 100%, $E$13)</f>
        <v>12.6821</v>
      </c>
      <c r="K687" s="67">
        <f>12.6869 * CHOOSE(CONTROL!$C$26, $C$13, 100%, $E$13)</f>
        <v>12.6869</v>
      </c>
    </row>
    <row r="688" spans="1:11" ht="15">
      <c r="A688" s="13">
        <v>62063</v>
      </c>
      <c r="B688" s="66">
        <f>10.9742 * CHOOSE(CONTROL!$C$26, $C$13, 100%, $E$13)</f>
        <v>10.9742</v>
      </c>
      <c r="C688" s="66">
        <f>10.9742 * CHOOSE(CONTROL!$C$26, $C$13, 100%, $E$13)</f>
        <v>10.9742</v>
      </c>
      <c r="D688" s="66">
        <f>10.9781 * CHOOSE(CONTROL!$C$26, $C$13, 100%, $E$13)</f>
        <v>10.9781</v>
      </c>
      <c r="E688" s="67">
        <f>12.5681 * CHOOSE(CONTROL!$C$26, $C$13, 100%, $E$13)</f>
        <v>12.568099999999999</v>
      </c>
      <c r="F688" s="67">
        <f>12.5681 * CHOOSE(CONTROL!$C$26, $C$13, 100%, $E$13)</f>
        <v>12.568099999999999</v>
      </c>
      <c r="G688" s="67">
        <f>12.5729 * CHOOSE(CONTROL!$C$26, $C$13, 100%, $E$13)</f>
        <v>12.572900000000001</v>
      </c>
      <c r="H688" s="67">
        <f>23.4733* CHOOSE(CONTROL!$C$26, $C$13, 100%, $E$13)</f>
        <v>23.473299999999998</v>
      </c>
      <c r="I688" s="67">
        <f>23.4781 * CHOOSE(CONTROL!$C$26, $C$13, 100%, $E$13)</f>
        <v>23.478100000000001</v>
      </c>
      <c r="J688" s="67">
        <f>12.5681 * CHOOSE(CONTROL!$C$26, $C$13, 100%, $E$13)</f>
        <v>12.568099999999999</v>
      </c>
      <c r="K688" s="67">
        <f>12.5729 * CHOOSE(CONTROL!$C$26, $C$13, 100%, $E$13)</f>
        <v>12.572900000000001</v>
      </c>
    </row>
    <row r="689" spans="1:11" ht="15">
      <c r="A689" s="13">
        <v>62094</v>
      </c>
      <c r="B689" s="66">
        <f>11.0163 * CHOOSE(CONTROL!$C$26, $C$13, 100%, $E$13)</f>
        <v>11.016299999999999</v>
      </c>
      <c r="C689" s="66">
        <f>11.0163 * CHOOSE(CONTROL!$C$26, $C$13, 100%, $E$13)</f>
        <v>11.016299999999999</v>
      </c>
      <c r="D689" s="66">
        <f>11.0202 * CHOOSE(CONTROL!$C$26, $C$13, 100%, $E$13)</f>
        <v>11.020200000000001</v>
      </c>
      <c r="E689" s="67">
        <f>12.7015 * CHOOSE(CONTROL!$C$26, $C$13, 100%, $E$13)</f>
        <v>12.701499999999999</v>
      </c>
      <c r="F689" s="67">
        <f>12.7015 * CHOOSE(CONTROL!$C$26, $C$13, 100%, $E$13)</f>
        <v>12.701499999999999</v>
      </c>
      <c r="G689" s="67">
        <f>12.7063 * CHOOSE(CONTROL!$C$26, $C$13, 100%, $E$13)</f>
        <v>12.706300000000001</v>
      </c>
      <c r="H689" s="67">
        <f>23.4246* CHOOSE(CONTROL!$C$26, $C$13, 100%, $E$13)</f>
        <v>23.424600000000002</v>
      </c>
      <c r="I689" s="67">
        <f>23.4294 * CHOOSE(CONTROL!$C$26, $C$13, 100%, $E$13)</f>
        <v>23.429400000000001</v>
      </c>
      <c r="J689" s="67">
        <f>12.7015 * CHOOSE(CONTROL!$C$26, $C$13, 100%, $E$13)</f>
        <v>12.701499999999999</v>
      </c>
      <c r="K689" s="67">
        <f>12.7063 * CHOOSE(CONTROL!$C$26, $C$13, 100%, $E$13)</f>
        <v>12.706300000000001</v>
      </c>
    </row>
    <row r="690" spans="1:11" ht="15">
      <c r="A690" s="13">
        <v>62125</v>
      </c>
      <c r="B690" s="66">
        <f>11.0133 * CHOOSE(CONTROL!$C$26, $C$13, 100%, $E$13)</f>
        <v>11.013299999999999</v>
      </c>
      <c r="C690" s="66">
        <f>11.0133 * CHOOSE(CONTROL!$C$26, $C$13, 100%, $E$13)</f>
        <v>11.013299999999999</v>
      </c>
      <c r="D690" s="66">
        <f>11.0171 * CHOOSE(CONTROL!$C$26, $C$13, 100%, $E$13)</f>
        <v>11.017099999999999</v>
      </c>
      <c r="E690" s="67">
        <f>12.479 * CHOOSE(CONTROL!$C$26, $C$13, 100%, $E$13)</f>
        <v>12.478999999999999</v>
      </c>
      <c r="F690" s="67">
        <f>12.479 * CHOOSE(CONTROL!$C$26, $C$13, 100%, $E$13)</f>
        <v>12.478999999999999</v>
      </c>
      <c r="G690" s="67">
        <f>12.4838 * CHOOSE(CONTROL!$C$26, $C$13, 100%, $E$13)</f>
        <v>12.4838</v>
      </c>
      <c r="H690" s="67">
        <f>23.4734* CHOOSE(CONTROL!$C$26, $C$13, 100%, $E$13)</f>
        <v>23.473400000000002</v>
      </c>
      <c r="I690" s="67">
        <f>23.4782 * CHOOSE(CONTROL!$C$26, $C$13, 100%, $E$13)</f>
        <v>23.478200000000001</v>
      </c>
      <c r="J690" s="67">
        <f>12.479 * CHOOSE(CONTROL!$C$26, $C$13, 100%, $E$13)</f>
        <v>12.478999999999999</v>
      </c>
      <c r="K690" s="67">
        <f>12.4838 * CHOOSE(CONTROL!$C$26, $C$13, 100%, $E$13)</f>
        <v>12.4838</v>
      </c>
    </row>
    <row r="691" spans="1:11" ht="15">
      <c r="A691" s="13">
        <v>62153</v>
      </c>
      <c r="B691" s="66">
        <f>11.0102 * CHOOSE(CONTROL!$C$26, $C$13, 100%, $E$13)</f>
        <v>11.010199999999999</v>
      </c>
      <c r="C691" s="66">
        <f>11.0102 * CHOOSE(CONTROL!$C$26, $C$13, 100%, $E$13)</f>
        <v>11.010199999999999</v>
      </c>
      <c r="D691" s="66">
        <f>11.0141 * CHOOSE(CONTROL!$C$26, $C$13, 100%, $E$13)</f>
        <v>11.014099999999999</v>
      </c>
      <c r="E691" s="67">
        <f>12.6507 * CHOOSE(CONTROL!$C$26, $C$13, 100%, $E$13)</f>
        <v>12.650700000000001</v>
      </c>
      <c r="F691" s="67">
        <f>12.6507 * CHOOSE(CONTROL!$C$26, $C$13, 100%, $E$13)</f>
        <v>12.650700000000001</v>
      </c>
      <c r="G691" s="67">
        <f>12.6554 * CHOOSE(CONTROL!$C$26, $C$13, 100%, $E$13)</f>
        <v>12.6554</v>
      </c>
      <c r="H691" s="67">
        <f>23.5223* CHOOSE(CONTROL!$C$26, $C$13, 100%, $E$13)</f>
        <v>23.522300000000001</v>
      </c>
      <c r="I691" s="67">
        <f>23.5271 * CHOOSE(CONTROL!$C$26, $C$13, 100%, $E$13)</f>
        <v>23.527100000000001</v>
      </c>
      <c r="J691" s="67">
        <f>12.6507 * CHOOSE(CONTROL!$C$26, $C$13, 100%, $E$13)</f>
        <v>12.650700000000001</v>
      </c>
      <c r="K691" s="67">
        <f>12.6554 * CHOOSE(CONTROL!$C$26, $C$13, 100%, $E$13)</f>
        <v>12.6554</v>
      </c>
    </row>
    <row r="692" spans="1:11" ht="15">
      <c r="A692" s="13">
        <v>62184</v>
      </c>
      <c r="B692" s="66">
        <f>11.0138 * CHOOSE(CONTROL!$C$26, $C$13, 100%, $E$13)</f>
        <v>11.0138</v>
      </c>
      <c r="C692" s="66">
        <f>11.0138 * CHOOSE(CONTROL!$C$26, $C$13, 100%, $E$13)</f>
        <v>11.0138</v>
      </c>
      <c r="D692" s="66">
        <f>11.0177 * CHOOSE(CONTROL!$C$26, $C$13, 100%, $E$13)</f>
        <v>11.0177</v>
      </c>
      <c r="E692" s="67">
        <f>12.833 * CHOOSE(CONTROL!$C$26, $C$13, 100%, $E$13)</f>
        <v>12.833</v>
      </c>
      <c r="F692" s="67">
        <f>12.833 * CHOOSE(CONTROL!$C$26, $C$13, 100%, $E$13)</f>
        <v>12.833</v>
      </c>
      <c r="G692" s="67">
        <f>12.8378 * CHOOSE(CONTROL!$C$26, $C$13, 100%, $E$13)</f>
        <v>12.8378</v>
      </c>
      <c r="H692" s="67">
        <f>23.5713* CHOOSE(CONTROL!$C$26, $C$13, 100%, $E$13)</f>
        <v>23.571300000000001</v>
      </c>
      <c r="I692" s="67">
        <f>23.5761 * CHOOSE(CONTROL!$C$26, $C$13, 100%, $E$13)</f>
        <v>23.5761</v>
      </c>
      <c r="J692" s="67">
        <f>12.833 * CHOOSE(CONTROL!$C$26, $C$13, 100%, $E$13)</f>
        <v>12.833</v>
      </c>
      <c r="K692" s="67">
        <f>12.8378 * CHOOSE(CONTROL!$C$26, $C$13, 100%, $E$13)</f>
        <v>12.8378</v>
      </c>
    </row>
    <row r="693" spans="1:11" ht="15">
      <c r="A693" s="13">
        <v>62214</v>
      </c>
      <c r="B693" s="66">
        <f>11.0138 * CHOOSE(CONTROL!$C$26, $C$13, 100%, $E$13)</f>
        <v>11.0138</v>
      </c>
      <c r="C693" s="66">
        <f>11.0138 * CHOOSE(CONTROL!$C$26, $C$13, 100%, $E$13)</f>
        <v>11.0138</v>
      </c>
      <c r="D693" s="66">
        <f>11.0193 * CHOOSE(CONTROL!$C$26, $C$13, 100%, $E$13)</f>
        <v>11.019299999999999</v>
      </c>
      <c r="E693" s="67">
        <f>12.903 * CHOOSE(CONTROL!$C$26, $C$13, 100%, $E$13)</f>
        <v>12.903</v>
      </c>
      <c r="F693" s="67">
        <f>12.903 * CHOOSE(CONTROL!$C$26, $C$13, 100%, $E$13)</f>
        <v>12.903</v>
      </c>
      <c r="G693" s="67">
        <f>12.9097 * CHOOSE(CONTROL!$C$26, $C$13, 100%, $E$13)</f>
        <v>12.909700000000001</v>
      </c>
      <c r="H693" s="67">
        <f>23.6204* CHOOSE(CONTROL!$C$26, $C$13, 100%, $E$13)</f>
        <v>23.6204</v>
      </c>
      <c r="I693" s="67">
        <f>23.6272 * CHOOSE(CONTROL!$C$26, $C$13, 100%, $E$13)</f>
        <v>23.627199999999998</v>
      </c>
      <c r="J693" s="67">
        <f>12.903 * CHOOSE(CONTROL!$C$26, $C$13, 100%, $E$13)</f>
        <v>12.903</v>
      </c>
      <c r="K693" s="67">
        <f>12.9097 * CHOOSE(CONTROL!$C$26, $C$13, 100%, $E$13)</f>
        <v>12.909700000000001</v>
      </c>
    </row>
    <row r="694" spans="1:11" ht="15">
      <c r="A694" s="13">
        <v>62245</v>
      </c>
      <c r="B694" s="66">
        <f>11.0199 * CHOOSE(CONTROL!$C$26, $C$13, 100%, $E$13)</f>
        <v>11.0199</v>
      </c>
      <c r="C694" s="66">
        <f>11.0199 * CHOOSE(CONTROL!$C$26, $C$13, 100%, $E$13)</f>
        <v>11.0199</v>
      </c>
      <c r="D694" s="66">
        <f>11.0254 * CHOOSE(CONTROL!$C$26, $C$13, 100%, $E$13)</f>
        <v>11.025399999999999</v>
      </c>
      <c r="E694" s="67">
        <f>12.8373 * CHOOSE(CONTROL!$C$26, $C$13, 100%, $E$13)</f>
        <v>12.837300000000001</v>
      </c>
      <c r="F694" s="67">
        <f>12.8373 * CHOOSE(CONTROL!$C$26, $C$13, 100%, $E$13)</f>
        <v>12.837300000000001</v>
      </c>
      <c r="G694" s="67">
        <f>12.844 * CHOOSE(CONTROL!$C$26, $C$13, 100%, $E$13)</f>
        <v>12.843999999999999</v>
      </c>
      <c r="H694" s="67">
        <f>23.6697* CHOOSE(CONTROL!$C$26, $C$13, 100%, $E$13)</f>
        <v>23.669699999999999</v>
      </c>
      <c r="I694" s="67">
        <f>23.6764 * CHOOSE(CONTROL!$C$26, $C$13, 100%, $E$13)</f>
        <v>23.676400000000001</v>
      </c>
      <c r="J694" s="67">
        <f>12.8373 * CHOOSE(CONTROL!$C$26, $C$13, 100%, $E$13)</f>
        <v>12.837300000000001</v>
      </c>
      <c r="K694" s="67">
        <f>12.844 * CHOOSE(CONTROL!$C$26, $C$13, 100%, $E$13)</f>
        <v>12.843999999999999</v>
      </c>
    </row>
    <row r="695" spans="1:11" ht="15">
      <c r="A695" s="13">
        <v>62275</v>
      </c>
      <c r="B695" s="66">
        <f>11.1891 * CHOOSE(CONTROL!$C$26, $C$13, 100%, $E$13)</f>
        <v>11.1891</v>
      </c>
      <c r="C695" s="66">
        <f>11.1891 * CHOOSE(CONTROL!$C$26, $C$13, 100%, $E$13)</f>
        <v>11.1891</v>
      </c>
      <c r="D695" s="66">
        <f>11.1946 * CHOOSE(CONTROL!$C$26, $C$13, 100%, $E$13)</f>
        <v>11.194599999999999</v>
      </c>
      <c r="E695" s="67">
        <f>13.0438 * CHOOSE(CONTROL!$C$26, $C$13, 100%, $E$13)</f>
        <v>13.043799999999999</v>
      </c>
      <c r="F695" s="67">
        <f>13.0438 * CHOOSE(CONTROL!$C$26, $C$13, 100%, $E$13)</f>
        <v>13.043799999999999</v>
      </c>
      <c r="G695" s="67">
        <f>13.0506 * CHOOSE(CONTROL!$C$26, $C$13, 100%, $E$13)</f>
        <v>13.050599999999999</v>
      </c>
      <c r="H695" s="67">
        <f>23.719* CHOOSE(CONTROL!$C$26, $C$13, 100%, $E$13)</f>
        <v>23.719000000000001</v>
      </c>
      <c r="I695" s="67">
        <f>23.7257 * CHOOSE(CONTROL!$C$26, $C$13, 100%, $E$13)</f>
        <v>23.7257</v>
      </c>
      <c r="J695" s="67">
        <f>13.0438 * CHOOSE(CONTROL!$C$26, $C$13, 100%, $E$13)</f>
        <v>13.043799999999999</v>
      </c>
      <c r="K695" s="67">
        <f>13.0506 * CHOOSE(CONTROL!$C$26, $C$13, 100%, $E$13)</f>
        <v>13.050599999999999</v>
      </c>
    </row>
    <row r="696" spans="1:11" ht="15">
      <c r="A696" s="13">
        <v>62306</v>
      </c>
      <c r="B696" s="66">
        <f>11.1958 * CHOOSE(CONTROL!$C$26, $C$13, 100%, $E$13)</f>
        <v>11.1958</v>
      </c>
      <c r="C696" s="66">
        <f>11.1958 * CHOOSE(CONTROL!$C$26, $C$13, 100%, $E$13)</f>
        <v>11.1958</v>
      </c>
      <c r="D696" s="66">
        <f>11.2013 * CHOOSE(CONTROL!$C$26, $C$13, 100%, $E$13)</f>
        <v>11.2013</v>
      </c>
      <c r="E696" s="67">
        <f>12.8386 * CHOOSE(CONTROL!$C$26, $C$13, 100%, $E$13)</f>
        <v>12.8386</v>
      </c>
      <c r="F696" s="67">
        <f>12.8386 * CHOOSE(CONTROL!$C$26, $C$13, 100%, $E$13)</f>
        <v>12.8386</v>
      </c>
      <c r="G696" s="67">
        <f>12.8453 * CHOOSE(CONTROL!$C$26, $C$13, 100%, $E$13)</f>
        <v>12.8453</v>
      </c>
      <c r="H696" s="67">
        <f>23.7684* CHOOSE(CONTROL!$C$26, $C$13, 100%, $E$13)</f>
        <v>23.7684</v>
      </c>
      <c r="I696" s="67">
        <f>23.7751 * CHOOSE(CONTROL!$C$26, $C$13, 100%, $E$13)</f>
        <v>23.775099999999998</v>
      </c>
      <c r="J696" s="67">
        <f>12.8386 * CHOOSE(CONTROL!$C$26, $C$13, 100%, $E$13)</f>
        <v>12.8386</v>
      </c>
      <c r="K696" s="67">
        <f>12.8453 * CHOOSE(CONTROL!$C$26, $C$13, 100%, $E$13)</f>
        <v>12.8453</v>
      </c>
    </row>
    <row r="697" spans="1:11" ht="15">
      <c r="A697" s="13">
        <v>62337</v>
      </c>
      <c r="B697" s="66">
        <f>11.1927 * CHOOSE(CONTROL!$C$26, $C$13, 100%, $E$13)</f>
        <v>11.1927</v>
      </c>
      <c r="C697" s="66">
        <f>11.1927 * CHOOSE(CONTROL!$C$26, $C$13, 100%, $E$13)</f>
        <v>11.1927</v>
      </c>
      <c r="D697" s="66">
        <f>11.1982 * CHOOSE(CONTROL!$C$26, $C$13, 100%, $E$13)</f>
        <v>11.1982</v>
      </c>
      <c r="E697" s="67">
        <f>12.8131 * CHOOSE(CONTROL!$C$26, $C$13, 100%, $E$13)</f>
        <v>12.8131</v>
      </c>
      <c r="F697" s="67">
        <f>12.8131 * CHOOSE(CONTROL!$C$26, $C$13, 100%, $E$13)</f>
        <v>12.8131</v>
      </c>
      <c r="G697" s="67">
        <f>12.8199 * CHOOSE(CONTROL!$C$26, $C$13, 100%, $E$13)</f>
        <v>12.819900000000001</v>
      </c>
      <c r="H697" s="67">
        <f>23.8179* CHOOSE(CONTROL!$C$26, $C$13, 100%, $E$13)</f>
        <v>23.817900000000002</v>
      </c>
      <c r="I697" s="67">
        <f>23.8246 * CHOOSE(CONTROL!$C$26, $C$13, 100%, $E$13)</f>
        <v>23.8246</v>
      </c>
      <c r="J697" s="67">
        <f>12.8131 * CHOOSE(CONTROL!$C$26, $C$13, 100%, $E$13)</f>
        <v>12.8131</v>
      </c>
      <c r="K697" s="67">
        <f>12.8199 * CHOOSE(CONTROL!$C$26, $C$13, 100%, $E$13)</f>
        <v>12.819900000000001</v>
      </c>
    </row>
    <row r="698" spans="1:11" ht="15">
      <c r="A698" s="13">
        <v>62367</v>
      </c>
      <c r="B698" s="66">
        <f>11.2111 * CHOOSE(CONTROL!$C$26, $C$13, 100%, $E$13)</f>
        <v>11.2111</v>
      </c>
      <c r="C698" s="66">
        <f>11.2111 * CHOOSE(CONTROL!$C$26, $C$13, 100%, $E$13)</f>
        <v>11.2111</v>
      </c>
      <c r="D698" s="66">
        <f>11.215 * CHOOSE(CONTROL!$C$26, $C$13, 100%, $E$13)</f>
        <v>11.215</v>
      </c>
      <c r="E698" s="67">
        <f>12.893 * CHOOSE(CONTROL!$C$26, $C$13, 100%, $E$13)</f>
        <v>12.893000000000001</v>
      </c>
      <c r="F698" s="67">
        <f>12.893 * CHOOSE(CONTROL!$C$26, $C$13, 100%, $E$13)</f>
        <v>12.893000000000001</v>
      </c>
      <c r="G698" s="67">
        <f>12.8978 * CHOOSE(CONTROL!$C$26, $C$13, 100%, $E$13)</f>
        <v>12.8978</v>
      </c>
      <c r="H698" s="67">
        <f>23.8675* CHOOSE(CONTROL!$C$26, $C$13, 100%, $E$13)</f>
        <v>23.8675</v>
      </c>
      <c r="I698" s="67">
        <f>23.8723 * CHOOSE(CONTROL!$C$26, $C$13, 100%, $E$13)</f>
        <v>23.872299999999999</v>
      </c>
      <c r="J698" s="67">
        <f>12.893 * CHOOSE(CONTROL!$C$26, $C$13, 100%, $E$13)</f>
        <v>12.893000000000001</v>
      </c>
      <c r="K698" s="67">
        <f>12.8978 * CHOOSE(CONTROL!$C$26, $C$13, 100%, $E$13)</f>
        <v>12.8978</v>
      </c>
    </row>
    <row r="699" spans="1:11" ht="15">
      <c r="A699" s="13">
        <v>62398</v>
      </c>
      <c r="B699" s="66">
        <f>11.2141 * CHOOSE(CONTROL!$C$26, $C$13, 100%, $E$13)</f>
        <v>11.2141</v>
      </c>
      <c r="C699" s="66">
        <f>11.2141 * CHOOSE(CONTROL!$C$26, $C$13, 100%, $E$13)</f>
        <v>11.2141</v>
      </c>
      <c r="D699" s="66">
        <f>11.218 * CHOOSE(CONTROL!$C$26, $C$13, 100%, $E$13)</f>
        <v>11.218</v>
      </c>
      <c r="E699" s="67">
        <f>12.9418 * CHOOSE(CONTROL!$C$26, $C$13, 100%, $E$13)</f>
        <v>12.941800000000001</v>
      </c>
      <c r="F699" s="67">
        <f>12.9418 * CHOOSE(CONTROL!$C$26, $C$13, 100%, $E$13)</f>
        <v>12.941800000000001</v>
      </c>
      <c r="G699" s="67">
        <f>12.9465 * CHOOSE(CONTROL!$C$26, $C$13, 100%, $E$13)</f>
        <v>12.9465</v>
      </c>
      <c r="H699" s="67">
        <f>23.9172* CHOOSE(CONTROL!$C$26, $C$13, 100%, $E$13)</f>
        <v>23.917200000000001</v>
      </c>
      <c r="I699" s="67">
        <f>23.922 * CHOOSE(CONTROL!$C$26, $C$13, 100%, $E$13)</f>
        <v>23.922000000000001</v>
      </c>
      <c r="J699" s="67">
        <f>12.9418 * CHOOSE(CONTROL!$C$26, $C$13, 100%, $E$13)</f>
        <v>12.941800000000001</v>
      </c>
      <c r="K699" s="67">
        <f>12.9465 * CHOOSE(CONTROL!$C$26, $C$13, 100%, $E$13)</f>
        <v>12.9465</v>
      </c>
    </row>
    <row r="700" spans="1:11" ht="15">
      <c r="A700" s="13">
        <v>62428</v>
      </c>
      <c r="B700" s="66">
        <f>11.2141 * CHOOSE(CONTROL!$C$26, $C$13, 100%, $E$13)</f>
        <v>11.2141</v>
      </c>
      <c r="C700" s="66">
        <f>11.2141 * CHOOSE(CONTROL!$C$26, $C$13, 100%, $E$13)</f>
        <v>11.2141</v>
      </c>
      <c r="D700" s="66">
        <f>11.218 * CHOOSE(CONTROL!$C$26, $C$13, 100%, $E$13)</f>
        <v>11.218</v>
      </c>
      <c r="E700" s="67">
        <f>12.8252 * CHOOSE(CONTROL!$C$26, $C$13, 100%, $E$13)</f>
        <v>12.825200000000001</v>
      </c>
      <c r="F700" s="67">
        <f>12.8252 * CHOOSE(CONTROL!$C$26, $C$13, 100%, $E$13)</f>
        <v>12.825200000000001</v>
      </c>
      <c r="G700" s="67">
        <f>12.8299 * CHOOSE(CONTROL!$C$26, $C$13, 100%, $E$13)</f>
        <v>12.8299</v>
      </c>
      <c r="H700" s="67">
        <f>23.9671* CHOOSE(CONTROL!$C$26, $C$13, 100%, $E$13)</f>
        <v>23.967099999999999</v>
      </c>
      <c r="I700" s="67">
        <f>23.9718 * CHOOSE(CONTROL!$C$26, $C$13, 100%, $E$13)</f>
        <v>23.971800000000002</v>
      </c>
      <c r="J700" s="67">
        <f>12.8252 * CHOOSE(CONTROL!$C$26, $C$13, 100%, $E$13)</f>
        <v>12.825200000000001</v>
      </c>
      <c r="K700" s="67">
        <f>12.8299 * CHOOSE(CONTROL!$C$26, $C$13, 100%, $E$13)</f>
        <v>12.8299</v>
      </c>
    </row>
    <row r="701" spans="1:11" ht="15">
      <c r="A701" s="13">
        <v>62459</v>
      </c>
      <c r="B701" s="66">
        <f>11.2519 * CHOOSE(CONTROL!$C$26, $C$13, 100%, $E$13)</f>
        <v>11.251899999999999</v>
      </c>
      <c r="C701" s="66">
        <f>11.2519 * CHOOSE(CONTROL!$C$26, $C$13, 100%, $E$13)</f>
        <v>11.251899999999999</v>
      </c>
      <c r="D701" s="66">
        <f>11.2558 * CHOOSE(CONTROL!$C$26, $C$13, 100%, $E$13)</f>
        <v>11.255800000000001</v>
      </c>
      <c r="E701" s="67">
        <f>12.9563 * CHOOSE(CONTROL!$C$26, $C$13, 100%, $E$13)</f>
        <v>12.956300000000001</v>
      </c>
      <c r="F701" s="67">
        <f>12.9563 * CHOOSE(CONTROL!$C$26, $C$13, 100%, $E$13)</f>
        <v>12.956300000000001</v>
      </c>
      <c r="G701" s="67">
        <f>12.961 * CHOOSE(CONTROL!$C$26, $C$13, 100%, $E$13)</f>
        <v>12.961</v>
      </c>
      <c r="H701" s="67">
        <f>23.9072* CHOOSE(CONTROL!$C$26, $C$13, 100%, $E$13)</f>
        <v>23.9072</v>
      </c>
      <c r="I701" s="67">
        <f>23.9119 * CHOOSE(CONTROL!$C$26, $C$13, 100%, $E$13)</f>
        <v>23.911899999999999</v>
      </c>
      <c r="J701" s="67">
        <f>12.9563 * CHOOSE(CONTROL!$C$26, $C$13, 100%, $E$13)</f>
        <v>12.956300000000001</v>
      </c>
      <c r="K701" s="67">
        <f>12.961 * CHOOSE(CONTROL!$C$26, $C$13, 100%, $E$13)</f>
        <v>12.961</v>
      </c>
    </row>
    <row r="702" spans="1:11" ht="15">
      <c r="A702" s="13">
        <v>62490</v>
      </c>
      <c r="B702" s="66">
        <f>11.2488 * CHOOSE(CONTROL!$C$26, $C$13, 100%, $E$13)</f>
        <v>11.248799999999999</v>
      </c>
      <c r="C702" s="66">
        <f>11.2488 * CHOOSE(CONTROL!$C$26, $C$13, 100%, $E$13)</f>
        <v>11.248799999999999</v>
      </c>
      <c r="D702" s="66">
        <f>11.2527 * CHOOSE(CONTROL!$C$26, $C$13, 100%, $E$13)</f>
        <v>11.252700000000001</v>
      </c>
      <c r="E702" s="67">
        <f>12.7288 * CHOOSE(CONTROL!$C$26, $C$13, 100%, $E$13)</f>
        <v>12.7288</v>
      </c>
      <c r="F702" s="67">
        <f>12.7288 * CHOOSE(CONTROL!$C$26, $C$13, 100%, $E$13)</f>
        <v>12.7288</v>
      </c>
      <c r="G702" s="67">
        <f>12.7336 * CHOOSE(CONTROL!$C$26, $C$13, 100%, $E$13)</f>
        <v>12.733599999999999</v>
      </c>
      <c r="H702" s="67">
        <f>23.957* CHOOSE(CONTROL!$C$26, $C$13, 100%, $E$13)</f>
        <v>23.957000000000001</v>
      </c>
      <c r="I702" s="67">
        <f>23.9618 * CHOOSE(CONTROL!$C$26, $C$13, 100%, $E$13)</f>
        <v>23.9618</v>
      </c>
      <c r="J702" s="67">
        <f>12.7288 * CHOOSE(CONTROL!$C$26, $C$13, 100%, $E$13)</f>
        <v>12.7288</v>
      </c>
      <c r="K702" s="67">
        <f>12.7336 * CHOOSE(CONTROL!$C$26, $C$13, 100%, $E$13)</f>
        <v>12.733599999999999</v>
      </c>
    </row>
    <row r="703" spans="1:11" ht="15">
      <c r="A703" s="13">
        <v>62518</v>
      </c>
      <c r="B703" s="66">
        <f>11.2458 * CHOOSE(CONTROL!$C$26, $C$13, 100%, $E$13)</f>
        <v>11.245799999999999</v>
      </c>
      <c r="C703" s="66">
        <f>11.2458 * CHOOSE(CONTROL!$C$26, $C$13, 100%, $E$13)</f>
        <v>11.245799999999999</v>
      </c>
      <c r="D703" s="66">
        <f>11.2497 * CHOOSE(CONTROL!$C$26, $C$13, 100%, $E$13)</f>
        <v>11.249700000000001</v>
      </c>
      <c r="E703" s="67">
        <f>12.9043 * CHOOSE(CONTROL!$C$26, $C$13, 100%, $E$13)</f>
        <v>12.904299999999999</v>
      </c>
      <c r="F703" s="67">
        <f>12.9043 * CHOOSE(CONTROL!$C$26, $C$13, 100%, $E$13)</f>
        <v>12.904299999999999</v>
      </c>
      <c r="G703" s="67">
        <f>12.9091 * CHOOSE(CONTROL!$C$26, $C$13, 100%, $E$13)</f>
        <v>12.9091</v>
      </c>
      <c r="H703" s="67">
        <f>24.0069* CHOOSE(CONTROL!$C$26, $C$13, 100%, $E$13)</f>
        <v>24.006900000000002</v>
      </c>
      <c r="I703" s="67">
        <f>24.0117 * CHOOSE(CONTROL!$C$26, $C$13, 100%, $E$13)</f>
        <v>24.011700000000001</v>
      </c>
      <c r="J703" s="67">
        <f>12.9043 * CHOOSE(CONTROL!$C$26, $C$13, 100%, $E$13)</f>
        <v>12.904299999999999</v>
      </c>
      <c r="K703" s="67">
        <f>12.9091 * CHOOSE(CONTROL!$C$26, $C$13, 100%, $E$13)</f>
        <v>12.9091</v>
      </c>
    </row>
    <row r="704" spans="1:11" ht="15">
      <c r="A704" s="13">
        <v>62549</v>
      </c>
      <c r="B704" s="66">
        <f>11.2496 * CHOOSE(CONTROL!$C$26, $C$13, 100%, $E$13)</f>
        <v>11.249599999999999</v>
      </c>
      <c r="C704" s="66">
        <f>11.2496 * CHOOSE(CONTROL!$C$26, $C$13, 100%, $E$13)</f>
        <v>11.249599999999999</v>
      </c>
      <c r="D704" s="66">
        <f>11.2534 * CHOOSE(CONTROL!$C$26, $C$13, 100%, $E$13)</f>
        <v>11.253399999999999</v>
      </c>
      <c r="E704" s="67">
        <f>13.0909 * CHOOSE(CONTROL!$C$26, $C$13, 100%, $E$13)</f>
        <v>13.0909</v>
      </c>
      <c r="F704" s="67">
        <f>13.0909 * CHOOSE(CONTROL!$C$26, $C$13, 100%, $E$13)</f>
        <v>13.0909</v>
      </c>
      <c r="G704" s="67">
        <f>13.0956 * CHOOSE(CONTROL!$C$26, $C$13, 100%, $E$13)</f>
        <v>13.095599999999999</v>
      </c>
      <c r="H704" s="67">
        <f>24.0569* CHOOSE(CONTROL!$C$26, $C$13, 100%, $E$13)</f>
        <v>24.056899999999999</v>
      </c>
      <c r="I704" s="67">
        <f>24.0617 * CHOOSE(CONTROL!$C$26, $C$13, 100%, $E$13)</f>
        <v>24.061699999999998</v>
      </c>
      <c r="J704" s="67">
        <f>13.0909 * CHOOSE(CONTROL!$C$26, $C$13, 100%, $E$13)</f>
        <v>13.0909</v>
      </c>
      <c r="K704" s="67">
        <f>13.0956 * CHOOSE(CONTROL!$C$26, $C$13, 100%, $E$13)</f>
        <v>13.095599999999999</v>
      </c>
    </row>
    <row r="705" spans="1:11" ht="15">
      <c r="A705" s="13">
        <v>62579</v>
      </c>
      <c r="B705" s="66">
        <f>11.2496 * CHOOSE(CONTROL!$C$26, $C$13, 100%, $E$13)</f>
        <v>11.249599999999999</v>
      </c>
      <c r="C705" s="66">
        <f>11.2496 * CHOOSE(CONTROL!$C$26, $C$13, 100%, $E$13)</f>
        <v>11.249599999999999</v>
      </c>
      <c r="D705" s="66">
        <f>11.2551 * CHOOSE(CONTROL!$C$26, $C$13, 100%, $E$13)</f>
        <v>11.255100000000001</v>
      </c>
      <c r="E705" s="67">
        <f>13.1624 * CHOOSE(CONTROL!$C$26, $C$13, 100%, $E$13)</f>
        <v>13.1624</v>
      </c>
      <c r="F705" s="67">
        <f>13.1624 * CHOOSE(CONTROL!$C$26, $C$13, 100%, $E$13)</f>
        <v>13.1624</v>
      </c>
      <c r="G705" s="67">
        <f>13.1692 * CHOOSE(CONTROL!$C$26, $C$13, 100%, $E$13)</f>
        <v>13.1692</v>
      </c>
      <c r="H705" s="67">
        <f>24.107* CHOOSE(CONTROL!$C$26, $C$13, 100%, $E$13)</f>
        <v>24.106999999999999</v>
      </c>
      <c r="I705" s="67">
        <f>24.1138 * CHOOSE(CONTROL!$C$26, $C$13, 100%, $E$13)</f>
        <v>24.113800000000001</v>
      </c>
      <c r="J705" s="67">
        <f>13.1624 * CHOOSE(CONTROL!$C$26, $C$13, 100%, $E$13)</f>
        <v>13.1624</v>
      </c>
      <c r="K705" s="67">
        <f>13.1692 * CHOOSE(CONTROL!$C$26, $C$13, 100%, $E$13)</f>
        <v>13.1692</v>
      </c>
    </row>
    <row r="706" spans="1:11" ht="15">
      <c r="A706" s="13">
        <v>62610</v>
      </c>
      <c r="B706" s="66">
        <f>11.2556 * CHOOSE(CONTROL!$C$26, $C$13, 100%, $E$13)</f>
        <v>11.255599999999999</v>
      </c>
      <c r="C706" s="66">
        <f>11.2556 * CHOOSE(CONTROL!$C$26, $C$13, 100%, $E$13)</f>
        <v>11.255599999999999</v>
      </c>
      <c r="D706" s="66">
        <f>11.2611 * CHOOSE(CONTROL!$C$26, $C$13, 100%, $E$13)</f>
        <v>11.261100000000001</v>
      </c>
      <c r="E706" s="67">
        <f>13.0951 * CHOOSE(CONTROL!$C$26, $C$13, 100%, $E$13)</f>
        <v>13.0951</v>
      </c>
      <c r="F706" s="67">
        <f>13.0951 * CHOOSE(CONTROL!$C$26, $C$13, 100%, $E$13)</f>
        <v>13.0951</v>
      </c>
      <c r="G706" s="67">
        <f>13.1019 * CHOOSE(CONTROL!$C$26, $C$13, 100%, $E$13)</f>
        <v>13.101900000000001</v>
      </c>
      <c r="H706" s="67">
        <f>24.1572* CHOOSE(CONTROL!$C$26, $C$13, 100%, $E$13)</f>
        <v>24.1572</v>
      </c>
      <c r="I706" s="67">
        <f>24.164 * CHOOSE(CONTROL!$C$26, $C$13, 100%, $E$13)</f>
        <v>24.164000000000001</v>
      </c>
      <c r="J706" s="67">
        <f>13.0951 * CHOOSE(CONTROL!$C$26, $C$13, 100%, $E$13)</f>
        <v>13.0951</v>
      </c>
      <c r="K706" s="67">
        <f>13.1019 * CHOOSE(CONTROL!$C$26, $C$13, 100%, $E$13)</f>
        <v>13.101900000000001</v>
      </c>
    </row>
    <row r="707" spans="1:11" ht="15">
      <c r="A707" s="13">
        <v>62640</v>
      </c>
      <c r="B707" s="66">
        <f>11.4283 * CHOOSE(CONTROL!$C$26, $C$13, 100%, $E$13)</f>
        <v>11.4283</v>
      </c>
      <c r="C707" s="66">
        <f>11.4283 * CHOOSE(CONTROL!$C$26, $C$13, 100%, $E$13)</f>
        <v>11.4283</v>
      </c>
      <c r="D707" s="66">
        <f>11.4338 * CHOOSE(CONTROL!$C$26, $C$13, 100%, $E$13)</f>
        <v>11.4338</v>
      </c>
      <c r="E707" s="67">
        <f>13.3056 * CHOOSE(CONTROL!$C$26, $C$13, 100%, $E$13)</f>
        <v>13.3056</v>
      </c>
      <c r="F707" s="67">
        <f>13.3056 * CHOOSE(CONTROL!$C$26, $C$13, 100%, $E$13)</f>
        <v>13.3056</v>
      </c>
      <c r="G707" s="67">
        <f>13.3123 * CHOOSE(CONTROL!$C$26, $C$13, 100%, $E$13)</f>
        <v>13.3123</v>
      </c>
      <c r="H707" s="67">
        <f>24.2076* CHOOSE(CONTROL!$C$26, $C$13, 100%, $E$13)</f>
        <v>24.207599999999999</v>
      </c>
      <c r="I707" s="67">
        <f>24.2143 * CHOOSE(CONTROL!$C$26, $C$13, 100%, $E$13)</f>
        <v>24.214300000000001</v>
      </c>
      <c r="J707" s="67">
        <f>13.3056 * CHOOSE(CONTROL!$C$26, $C$13, 100%, $E$13)</f>
        <v>13.3056</v>
      </c>
      <c r="K707" s="67">
        <f>13.3123 * CHOOSE(CONTROL!$C$26, $C$13, 100%, $E$13)</f>
        <v>13.3123</v>
      </c>
    </row>
    <row r="708" spans="1:11" ht="15">
      <c r="A708" s="13">
        <v>62671</v>
      </c>
      <c r="B708" s="66">
        <f>11.435 * CHOOSE(CONTROL!$C$26, $C$13, 100%, $E$13)</f>
        <v>11.435</v>
      </c>
      <c r="C708" s="66">
        <f>11.435 * CHOOSE(CONTROL!$C$26, $C$13, 100%, $E$13)</f>
        <v>11.435</v>
      </c>
      <c r="D708" s="66">
        <f>11.4405 * CHOOSE(CONTROL!$C$26, $C$13, 100%, $E$13)</f>
        <v>11.4405</v>
      </c>
      <c r="E708" s="67">
        <f>13.0956 * CHOOSE(CONTROL!$C$26, $C$13, 100%, $E$13)</f>
        <v>13.095599999999999</v>
      </c>
      <c r="F708" s="67">
        <f>13.0956 * CHOOSE(CONTROL!$C$26, $C$13, 100%, $E$13)</f>
        <v>13.095599999999999</v>
      </c>
      <c r="G708" s="67">
        <f>13.1024 * CHOOSE(CONTROL!$C$26, $C$13, 100%, $E$13)</f>
        <v>13.102399999999999</v>
      </c>
      <c r="H708" s="67">
        <f>24.258* CHOOSE(CONTROL!$C$26, $C$13, 100%, $E$13)</f>
        <v>24.257999999999999</v>
      </c>
      <c r="I708" s="67">
        <f>24.2647 * CHOOSE(CONTROL!$C$26, $C$13, 100%, $E$13)</f>
        <v>24.264700000000001</v>
      </c>
      <c r="J708" s="67">
        <f>13.0956 * CHOOSE(CONTROL!$C$26, $C$13, 100%, $E$13)</f>
        <v>13.095599999999999</v>
      </c>
      <c r="K708" s="67">
        <f>13.1024 * CHOOSE(CONTROL!$C$26, $C$13, 100%, $E$13)</f>
        <v>13.102399999999999</v>
      </c>
    </row>
    <row r="709" spans="1:11" ht="15">
      <c r="A709" s="13">
        <v>62702</v>
      </c>
      <c r="B709" s="66">
        <f>11.4319 * CHOOSE(CONTROL!$C$26, $C$13, 100%, $E$13)</f>
        <v>11.431900000000001</v>
      </c>
      <c r="C709" s="66">
        <f>11.4319 * CHOOSE(CONTROL!$C$26, $C$13, 100%, $E$13)</f>
        <v>11.431900000000001</v>
      </c>
      <c r="D709" s="66">
        <f>11.4374 * CHOOSE(CONTROL!$C$26, $C$13, 100%, $E$13)</f>
        <v>11.4374</v>
      </c>
      <c r="E709" s="67">
        <f>13.0697 * CHOOSE(CONTROL!$C$26, $C$13, 100%, $E$13)</f>
        <v>13.069699999999999</v>
      </c>
      <c r="F709" s="67">
        <f>13.0697 * CHOOSE(CONTROL!$C$26, $C$13, 100%, $E$13)</f>
        <v>13.069699999999999</v>
      </c>
      <c r="G709" s="67">
        <f>13.0764 * CHOOSE(CONTROL!$C$26, $C$13, 100%, $E$13)</f>
        <v>13.0764</v>
      </c>
      <c r="H709" s="67">
        <f>24.3085* CHOOSE(CONTROL!$C$26, $C$13, 100%, $E$13)</f>
        <v>24.308499999999999</v>
      </c>
      <c r="I709" s="67">
        <f>24.3153 * CHOOSE(CONTROL!$C$26, $C$13, 100%, $E$13)</f>
        <v>24.315300000000001</v>
      </c>
      <c r="J709" s="67">
        <f>13.0697 * CHOOSE(CONTROL!$C$26, $C$13, 100%, $E$13)</f>
        <v>13.069699999999999</v>
      </c>
      <c r="K709" s="67">
        <f>13.0764 * CHOOSE(CONTROL!$C$26, $C$13, 100%, $E$13)</f>
        <v>13.0764</v>
      </c>
    </row>
    <row r="710" spans="1:11" ht="15">
      <c r="A710" s="13">
        <v>62732</v>
      </c>
      <c r="B710" s="66">
        <f>11.451 * CHOOSE(CONTROL!$C$26, $C$13, 100%, $E$13)</f>
        <v>11.451000000000001</v>
      </c>
      <c r="C710" s="66">
        <f>11.451 * CHOOSE(CONTROL!$C$26, $C$13, 100%, $E$13)</f>
        <v>11.451000000000001</v>
      </c>
      <c r="D710" s="66">
        <f>11.4549 * CHOOSE(CONTROL!$C$26, $C$13, 100%, $E$13)</f>
        <v>11.4549</v>
      </c>
      <c r="E710" s="67">
        <f>13.1516 * CHOOSE(CONTROL!$C$26, $C$13, 100%, $E$13)</f>
        <v>13.1516</v>
      </c>
      <c r="F710" s="67">
        <f>13.1516 * CHOOSE(CONTROL!$C$26, $C$13, 100%, $E$13)</f>
        <v>13.1516</v>
      </c>
      <c r="G710" s="67">
        <f>13.1564 * CHOOSE(CONTROL!$C$26, $C$13, 100%, $E$13)</f>
        <v>13.1564</v>
      </c>
      <c r="H710" s="67">
        <f>24.3592* CHOOSE(CONTROL!$C$26, $C$13, 100%, $E$13)</f>
        <v>24.359200000000001</v>
      </c>
      <c r="I710" s="67">
        <f>24.364 * CHOOSE(CONTROL!$C$26, $C$13, 100%, $E$13)</f>
        <v>24.364000000000001</v>
      </c>
      <c r="J710" s="67">
        <f>13.1516 * CHOOSE(CONTROL!$C$26, $C$13, 100%, $E$13)</f>
        <v>13.1516</v>
      </c>
      <c r="K710" s="67">
        <f>13.1564 * CHOOSE(CONTROL!$C$26, $C$13, 100%, $E$13)</f>
        <v>13.1564</v>
      </c>
    </row>
    <row r="711" spans="1:11" ht="15">
      <c r="A711" s="13">
        <v>62763</v>
      </c>
      <c r="B711" s="66">
        <f>11.4541 * CHOOSE(CONTROL!$C$26, $C$13, 100%, $E$13)</f>
        <v>11.4541</v>
      </c>
      <c r="C711" s="66">
        <f>11.4541 * CHOOSE(CONTROL!$C$26, $C$13, 100%, $E$13)</f>
        <v>11.4541</v>
      </c>
      <c r="D711" s="66">
        <f>11.4579 * CHOOSE(CONTROL!$C$26, $C$13, 100%, $E$13)</f>
        <v>11.4579</v>
      </c>
      <c r="E711" s="67">
        <f>13.2015 * CHOOSE(CONTROL!$C$26, $C$13, 100%, $E$13)</f>
        <v>13.201499999999999</v>
      </c>
      <c r="F711" s="67">
        <f>13.2015 * CHOOSE(CONTROL!$C$26, $C$13, 100%, $E$13)</f>
        <v>13.201499999999999</v>
      </c>
      <c r="G711" s="67">
        <f>13.2062 * CHOOSE(CONTROL!$C$26, $C$13, 100%, $E$13)</f>
        <v>13.206200000000001</v>
      </c>
      <c r="H711" s="67">
        <f>24.4099* CHOOSE(CONTROL!$C$26, $C$13, 100%, $E$13)</f>
        <v>24.4099</v>
      </c>
      <c r="I711" s="67">
        <f>24.4147 * CHOOSE(CONTROL!$C$26, $C$13, 100%, $E$13)</f>
        <v>24.4147</v>
      </c>
      <c r="J711" s="67">
        <f>13.2015 * CHOOSE(CONTROL!$C$26, $C$13, 100%, $E$13)</f>
        <v>13.201499999999999</v>
      </c>
      <c r="K711" s="67">
        <f>13.2062 * CHOOSE(CONTROL!$C$26, $C$13, 100%, $E$13)</f>
        <v>13.206200000000001</v>
      </c>
    </row>
    <row r="712" spans="1:11" ht="15">
      <c r="A712" s="13">
        <v>62793</v>
      </c>
      <c r="B712" s="66">
        <f>11.4541 * CHOOSE(CONTROL!$C$26, $C$13, 100%, $E$13)</f>
        <v>11.4541</v>
      </c>
      <c r="C712" s="66">
        <f>11.4541 * CHOOSE(CONTROL!$C$26, $C$13, 100%, $E$13)</f>
        <v>11.4541</v>
      </c>
      <c r="D712" s="66">
        <f>11.4579 * CHOOSE(CONTROL!$C$26, $C$13, 100%, $E$13)</f>
        <v>11.4579</v>
      </c>
      <c r="E712" s="67">
        <f>13.0822 * CHOOSE(CONTROL!$C$26, $C$13, 100%, $E$13)</f>
        <v>13.0822</v>
      </c>
      <c r="F712" s="67">
        <f>13.0822 * CHOOSE(CONTROL!$C$26, $C$13, 100%, $E$13)</f>
        <v>13.0822</v>
      </c>
      <c r="G712" s="67">
        <f>13.087 * CHOOSE(CONTROL!$C$26, $C$13, 100%, $E$13)</f>
        <v>13.087</v>
      </c>
      <c r="H712" s="67">
        <f>24.4608* CHOOSE(CONTROL!$C$26, $C$13, 100%, $E$13)</f>
        <v>24.460799999999999</v>
      </c>
      <c r="I712" s="67">
        <f>24.4656 * CHOOSE(CONTROL!$C$26, $C$13, 100%, $E$13)</f>
        <v>24.465599999999998</v>
      </c>
      <c r="J712" s="67">
        <f>13.0822 * CHOOSE(CONTROL!$C$26, $C$13, 100%, $E$13)</f>
        <v>13.0822</v>
      </c>
      <c r="K712" s="67">
        <f>13.087 * CHOOSE(CONTROL!$C$26, $C$13, 100%, $E$13)</f>
        <v>13.087</v>
      </c>
    </row>
    <row r="713" spans="1:11" ht="15">
      <c r="A713" s="13">
        <v>62824</v>
      </c>
      <c r="B713" s="66">
        <f>11.4875 * CHOOSE(CONTROL!$C$26, $C$13, 100%, $E$13)</f>
        <v>11.487500000000001</v>
      </c>
      <c r="C713" s="66">
        <f>11.4875 * CHOOSE(CONTROL!$C$26, $C$13, 100%, $E$13)</f>
        <v>11.487500000000001</v>
      </c>
      <c r="D713" s="66">
        <f>11.4913 * CHOOSE(CONTROL!$C$26, $C$13, 100%, $E$13)</f>
        <v>11.491300000000001</v>
      </c>
      <c r="E713" s="67">
        <f>13.211 * CHOOSE(CONTROL!$C$26, $C$13, 100%, $E$13)</f>
        <v>13.211</v>
      </c>
      <c r="F713" s="67">
        <f>13.211 * CHOOSE(CONTROL!$C$26, $C$13, 100%, $E$13)</f>
        <v>13.211</v>
      </c>
      <c r="G713" s="67">
        <f>13.2158 * CHOOSE(CONTROL!$C$26, $C$13, 100%, $E$13)</f>
        <v>13.2158</v>
      </c>
      <c r="H713" s="67">
        <f>24.3897* CHOOSE(CONTROL!$C$26, $C$13, 100%, $E$13)</f>
        <v>24.389700000000001</v>
      </c>
      <c r="I713" s="67">
        <f>24.3945 * CHOOSE(CONTROL!$C$26, $C$13, 100%, $E$13)</f>
        <v>24.394500000000001</v>
      </c>
      <c r="J713" s="67">
        <f>13.211 * CHOOSE(CONTROL!$C$26, $C$13, 100%, $E$13)</f>
        <v>13.211</v>
      </c>
      <c r="K713" s="67">
        <f>13.2158 * CHOOSE(CONTROL!$C$26, $C$13, 100%, $E$13)</f>
        <v>13.2158</v>
      </c>
    </row>
    <row r="714" spans="1:11" ht="15">
      <c r="A714" s="13">
        <v>62855</v>
      </c>
      <c r="B714" s="66">
        <f>11.4844 * CHOOSE(CONTROL!$C$26, $C$13, 100%, $E$13)</f>
        <v>11.484400000000001</v>
      </c>
      <c r="C714" s="66">
        <f>11.4844 * CHOOSE(CONTROL!$C$26, $C$13, 100%, $E$13)</f>
        <v>11.484400000000001</v>
      </c>
      <c r="D714" s="66">
        <f>11.4883 * CHOOSE(CONTROL!$C$26, $C$13, 100%, $E$13)</f>
        <v>11.488300000000001</v>
      </c>
      <c r="E714" s="67">
        <f>12.9786 * CHOOSE(CONTROL!$C$26, $C$13, 100%, $E$13)</f>
        <v>12.9786</v>
      </c>
      <c r="F714" s="67">
        <f>12.9786 * CHOOSE(CONTROL!$C$26, $C$13, 100%, $E$13)</f>
        <v>12.9786</v>
      </c>
      <c r="G714" s="67">
        <f>12.9834 * CHOOSE(CONTROL!$C$26, $C$13, 100%, $E$13)</f>
        <v>12.9834</v>
      </c>
      <c r="H714" s="67">
        <f>24.4405* CHOOSE(CONTROL!$C$26, $C$13, 100%, $E$13)</f>
        <v>24.4405</v>
      </c>
      <c r="I714" s="67">
        <f>24.4453 * CHOOSE(CONTROL!$C$26, $C$13, 100%, $E$13)</f>
        <v>24.4453</v>
      </c>
      <c r="J714" s="67">
        <f>12.9786 * CHOOSE(CONTROL!$C$26, $C$13, 100%, $E$13)</f>
        <v>12.9786</v>
      </c>
      <c r="K714" s="67">
        <f>12.9834 * CHOOSE(CONTROL!$C$26, $C$13, 100%, $E$13)</f>
        <v>12.9834</v>
      </c>
    </row>
    <row r="715" spans="1:11" ht="15">
      <c r="A715" s="13">
        <v>62884</v>
      </c>
      <c r="B715" s="66">
        <f>11.4814 * CHOOSE(CONTROL!$C$26, $C$13, 100%, $E$13)</f>
        <v>11.481400000000001</v>
      </c>
      <c r="C715" s="66">
        <f>11.4814 * CHOOSE(CONTROL!$C$26, $C$13, 100%, $E$13)</f>
        <v>11.481400000000001</v>
      </c>
      <c r="D715" s="66">
        <f>11.4852 * CHOOSE(CONTROL!$C$26, $C$13, 100%, $E$13)</f>
        <v>11.485200000000001</v>
      </c>
      <c r="E715" s="67">
        <f>13.158 * CHOOSE(CONTROL!$C$26, $C$13, 100%, $E$13)</f>
        <v>13.157999999999999</v>
      </c>
      <c r="F715" s="67">
        <f>13.158 * CHOOSE(CONTROL!$C$26, $C$13, 100%, $E$13)</f>
        <v>13.157999999999999</v>
      </c>
      <c r="G715" s="67">
        <f>13.1628 * CHOOSE(CONTROL!$C$26, $C$13, 100%, $E$13)</f>
        <v>13.162800000000001</v>
      </c>
      <c r="H715" s="67">
        <f>24.4915* CHOOSE(CONTROL!$C$26, $C$13, 100%, $E$13)</f>
        <v>24.491499999999998</v>
      </c>
      <c r="I715" s="67">
        <f>24.4962 * CHOOSE(CONTROL!$C$26, $C$13, 100%, $E$13)</f>
        <v>24.496200000000002</v>
      </c>
      <c r="J715" s="67">
        <f>13.158 * CHOOSE(CONTROL!$C$26, $C$13, 100%, $E$13)</f>
        <v>13.157999999999999</v>
      </c>
      <c r="K715" s="67">
        <f>13.1628 * CHOOSE(CONTROL!$C$26, $C$13, 100%, $E$13)</f>
        <v>13.162800000000001</v>
      </c>
    </row>
    <row r="716" spans="1:11" ht="15">
      <c r="A716" s="13">
        <v>62915</v>
      </c>
      <c r="B716" s="66">
        <f>11.4853 * CHOOSE(CONTROL!$C$26, $C$13, 100%, $E$13)</f>
        <v>11.485300000000001</v>
      </c>
      <c r="C716" s="66">
        <f>11.4853 * CHOOSE(CONTROL!$C$26, $C$13, 100%, $E$13)</f>
        <v>11.485300000000001</v>
      </c>
      <c r="D716" s="66">
        <f>11.4892 * CHOOSE(CONTROL!$C$26, $C$13, 100%, $E$13)</f>
        <v>11.4892</v>
      </c>
      <c r="E716" s="67">
        <f>13.3487 * CHOOSE(CONTROL!$C$26, $C$13, 100%, $E$13)</f>
        <v>13.348699999999999</v>
      </c>
      <c r="F716" s="67">
        <f>13.3487 * CHOOSE(CONTROL!$C$26, $C$13, 100%, $E$13)</f>
        <v>13.348699999999999</v>
      </c>
      <c r="G716" s="67">
        <f>13.3535 * CHOOSE(CONTROL!$C$26, $C$13, 100%, $E$13)</f>
        <v>13.3535</v>
      </c>
      <c r="H716" s="67">
        <f>24.5425* CHOOSE(CONTROL!$C$26, $C$13, 100%, $E$13)</f>
        <v>24.5425</v>
      </c>
      <c r="I716" s="67">
        <f>24.5472 * CHOOSE(CONTROL!$C$26, $C$13, 100%, $E$13)</f>
        <v>24.5472</v>
      </c>
      <c r="J716" s="67">
        <f>13.3487 * CHOOSE(CONTROL!$C$26, $C$13, 100%, $E$13)</f>
        <v>13.348699999999999</v>
      </c>
      <c r="K716" s="67">
        <f>13.3535 * CHOOSE(CONTROL!$C$26, $C$13, 100%, $E$13)</f>
        <v>13.3535</v>
      </c>
    </row>
    <row r="717" spans="1:11" ht="15">
      <c r="A717" s="13">
        <v>62945</v>
      </c>
      <c r="B717" s="66">
        <f>11.4853 * CHOOSE(CONTROL!$C$26, $C$13, 100%, $E$13)</f>
        <v>11.485300000000001</v>
      </c>
      <c r="C717" s="66">
        <f>11.4853 * CHOOSE(CONTROL!$C$26, $C$13, 100%, $E$13)</f>
        <v>11.485300000000001</v>
      </c>
      <c r="D717" s="66">
        <f>11.4908 * CHOOSE(CONTROL!$C$26, $C$13, 100%, $E$13)</f>
        <v>11.4908</v>
      </c>
      <c r="E717" s="67">
        <f>13.4219 * CHOOSE(CONTROL!$C$26, $C$13, 100%, $E$13)</f>
        <v>13.421900000000001</v>
      </c>
      <c r="F717" s="67">
        <f>13.4219 * CHOOSE(CONTROL!$C$26, $C$13, 100%, $E$13)</f>
        <v>13.421900000000001</v>
      </c>
      <c r="G717" s="67">
        <f>13.4286 * CHOOSE(CONTROL!$C$26, $C$13, 100%, $E$13)</f>
        <v>13.428599999999999</v>
      </c>
      <c r="H717" s="67">
        <f>24.5936* CHOOSE(CONTROL!$C$26, $C$13, 100%, $E$13)</f>
        <v>24.593599999999999</v>
      </c>
      <c r="I717" s="67">
        <f>24.6003 * CHOOSE(CONTROL!$C$26, $C$13, 100%, $E$13)</f>
        <v>24.600300000000001</v>
      </c>
      <c r="J717" s="67">
        <f>13.4219 * CHOOSE(CONTROL!$C$26, $C$13, 100%, $E$13)</f>
        <v>13.421900000000001</v>
      </c>
      <c r="K717" s="67">
        <f>13.4286 * CHOOSE(CONTROL!$C$26, $C$13, 100%, $E$13)</f>
        <v>13.428599999999999</v>
      </c>
    </row>
    <row r="718" spans="1:11" ht="15">
      <c r="A718" s="13">
        <v>62976</v>
      </c>
      <c r="B718" s="66">
        <f>11.4914 * CHOOSE(CONTROL!$C$26, $C$13, 100%, $E$13)</f>
        <v>11.491400000000001</v>
      </c>
      <c r="C718" s="66">
        <f>11.4914 * CHOOSE(CONTROL!$C$26, $C$13, 100%, $E$13)</f>
        <v>11.491400000000001</v>
      </c>
      <c r="D718" s="66">
        <f>11.4969 * CHOOSE(CONTROL!$C$26, $C$13, 100%, $E$13)</f>
        <v>11.4969</v>
      </c>
      <c r="E718" s="67">
        <f>13.353 * CHOOSE(CONTROL!$C$26, $C$13, 100%, $E$13)</f>
        <v>13.353</v>
      </c>
      <c r="F718" s="67">
        <f>13.353 * CHOOSE(CONTROL!$C$26, $C$13, 100%, $E$13)</f>
        <v>13.353</v>
      </c>
      <c r="G718" s="67">
        <f>13.3597 * CHOOSE(CONTROL!$C$26, $C$13, 100%, $E$13)</f>
        <v>13.3597</v>
      </c>
      <c r="H718" s="67">
        <f>24.6448* CHOOSE(CONTROL!$C$26, $C$13, 100%, $E$13)</f>
        <v>24.6448</v>
      </c>
      <c r="I718" s="67">
        <f>24.6516 * CHOOSE(CONTROL!$C$26, $C$13, 100%, $E$13)</f>
        <v>24.651599999999998</v>
      </c>
      <c r="J718" s="67">
        <f>13.353 * CHOOSE(CONTROL!$C$26, $C$13, 100%, $E$13)</f>
        <v>13.353</v>
      </c>
      <c r="K718" s="67">
        <f>13.3597 * CHOOSE(CONTROL!$C$26, $C$13, 100%, $E$13)</f>
        <v>13.3597</v>
      </c>
    </row>
    <row r="719" spans="1:11" ht="15">
      <c r="A719" s="13">
        <v>63006</v>
      </c>
      <c r="B719" s="66">
        <f>11.6674 * CHOOSE(CONTROL!$C$26, $C$13, 100%, $E$13)</f>
        <v>11.667400000000001</v>
      </c>
      <c r="C719" s="66">
        <f>11.6674 * CHOOSE(CONTROL!$C$26, $C$13, 100%, $E$13)</f>
        <v>11.667400000000001</v>
      </c>
      <c r="D719" s="66">
        <f>11.673 * CHOOSE(CONTROL!$C$26, $C$13, 100%, $E$13)</f>
        <v>11.673</v>
      </c>
      <c r="E719" s="67">
        <f>13.5674 * CHOOSE(CONTROL!$C$26, $C$13, 100%, $E$13)</f>
        <v>13.567399999999999</v>
      </c>
      <c r="F719" s="67">
        <f>13.5674 * CHOOSE(CONTROL!$C$26, $C$13, 100%, $E$13)</f>
        <v>13.567399999999999</v>
      </c>
      <c r="G719" s="67">
        <f>13.5741 * CHOOSE(CONTROL!$C$26, $C$13, 100%, $E$13)</f>
        <v>13.5741</v>
      </c>
      <c r="H719" s="67">
        <f>24.6962* CHOOSE(CONTROL!$C$26, $C$13, 100%, $E$13)</f>
        <v>24.696200000000001</v>
      </c>
      <c r="I719" s="67">
        <f>24.7029 * CHOOSE(CONTROL!$C$26, $C$13, 100%, $E$13)</f>
        <v>24.7029</v>
      </c>
      <c r="J719" s="67">
        <f>13.5674 * CHOOSE(CONTROL!$C$26, $C$13, 100%, $E$13)</f>
        <v>13.567399999999999</v>
      </c>
      <c r="K719" s="67">
        <f>13.5741 * CHOOSE(CONTROL!$C$26, $C$13, 100%, $E$13)</f>
        <v>13.5741</v>
      </c>
    </row>
    <row r="720" spans="1:11" ht="15">
      <c r="A720" s="13">
        <v>63037</v>
      </c>
      <c r="B720" s="66">
        <f>11.6741 * CHOOSE(CONTROL!$C$26, $C$13, 100%, $E$13)</f>
        <v>11.674099999999999</v>
      </c>
      <c r="C720" s="66">
        <f>11.6741 * CHOOSE(CONTROL!$C$26, $C$13, 100%, $E$13)</f>
        <v>11.674099999999999</v>
      </c>
      <c r="D720" s="66">
        <f>11.6796 * CHOOSE(CONTROL!$C$26, $C$13, 100%, $E$13)</f>
        <v>11.679600000000001</v>
      </c>
      <c r="E720" s="67">
        <f>13.3527 * CHOOSE(CONTROL!$C$26, $C$13, 100%, $E$13)</f>
        <v>13.3527</v>
      </c>
      <c r="F720" s="67">
        <f>13.3527 * CHOOSE(CONTROL!$C$26, $C$13, 100%, $E$13)</f>
        <v>13.3527</v>
      </c>
      <c r="G720" s="67">
        <f>13.3594 * CHOOSE(CONTROL!$C$26, $C$13, 100%, $E$13)</f>
        <v>13.359400000000001</v>
      </c>
      <c r="H720" s="67">
        <f>24.7476* CHOOSE(CONTROL!$C$26, $C$13, 100%, $E$13)</f>
        <v>24.747599999999998</v>
      </c>
      <c r="I720" s="67">
        <f>24.7544 * CHOOSE(CONTROL!$C$26, $C$13, 100%, $E$13)</f>
        <v>24.7544</v>
      </c>
      <c r="J720" s="67">
        <f>13.3527 * CHOOSE(CONTROL!$C$26, $C$13, 100%, $E$13)</f>
        <v>13.3527</v>
      </c>
      <c r="K720" s="67">
        <f>13.3594 * CHOOSE(CONTROL!$C$26, $C$13, 100%, $E$13)</f>
        <v>13.359400000000001</v>
      </c>
    </row>
    <row r="721" spans="1:11" ht="15">
      <c r="A721" s="13">
        <v>63068</v>
      </c>
      <c r="B721" s="66">
        <f>11.6711 * CHOOSE(CONTROL!$C$26, $C$13, 100%, $E$13)</f>
        <v>11.671099999999999</v>
      </c>
      <c r="C721" s="66">
        <f>11.6711 * CHOOSE(CONTROL!$C$26, $C$13, 100%, $E$13)</f>
        <v>11.671099999999999</v>
      </c>
      <c r="D721" s="66">
        <f>11.6766 * CHOOSE(CONTROL!$C$26, $C$13, 100%, $E$13)</f>
        <v>11.676600000000001</v>
      </c>
      <c r="E721" s="67">
        <f>13.3262 * CHOOSE(CONTROL!$C$26, $C$13, 100%, $E$13)</f>
        <v>13.3262</v>
      </c>
      <c r="F721" s="67">
        <f>13.3262 * CHOOSE(CONTROL!$C$26, $C$13, 100%, $E$13)</f>
        <v>13.3262</v>
      </c>
      <c r="G721" s="67">
        <f>13.333 * CHOOSE(CONTROL!$C$26, $C$13, 100%, $E$13)</f>
        <v>13.333</v>
      </c>
      <c r="H721" s="67">
        <f>24.7992* CHOOSE(CONTROL!$C$26, $C$13, 100%, $E$13)</f>
        <v>24.799199999999999</v>
      </c>
      <c r="I721" s="67">
        <f>24.8059 * CHOOSE(CONTROL!$C$26, $C$13, 100%, $E$13)</f>
        <v>24.805900000000001</v>
      </c>
      <c r="J721" s="67">
        <f>13.3262 * CHOOSE(CONTROL!$C$26, $C$13, 100%, $E$13)</f>
        <v>13.3262</v>
      </c>
      <c r="K721" s="67">
        <f>13.333 * CHOOSE(CONTROL!$C$26, $C$13, 100%, $E$13)</f>
        <v>13.333</v>
      </c>
    </row>
    <row r="722" spans="1:11" ht="15">
      <c r="A722" s="13">
        <v>63098</v>
      </c>
      <c r="B722" s="66">
        <f>11.691 * CHOOSE(CONTROL!$C$26, $C$13, 100%, $E$13)</f>
        <v>11.691000000000001</v>
      </c>
      <c r="C722" s="66">
        <f>11.691 * CHOOSE(CONTROL!$C$26, $C$13, 100%, $E$13)</f>
        <v>11.691000000000001</v>
      </c>
      <c r="D722" s="66">
        <f>11.6948 * CHOOSE(CONTROL!$C$26, $C$13, 100%, $E$13)</f>
        <v>11.694800000000001</v>
      </c>
      <c r="E722" s="67">
        <f>13.4103 * CHOOSE(CONTROL!$C$26, $C$13, 100%, $E$13)</f>
        <v>13.410299999999999</v>
      </c>
      <c r="F722" s="67">
        <f>13.4103 * CHOOSE(CONTROL!$C$26, $C$13, 100%, $E$13)</f>
        <v>13.410299999999999</v>
      </c>
      <c r="G722" s="67">
        <f>13.4151 * CHOOSE(CONTROL!$C$26, $C$13, 100%, $E$13)</f>
        <v>13.415100000000001</v>
      </c>
      <c r="H722" s="67">
        <f>24.8509* CHOOSE(CONTROL!$C$26, $C$13, 100%, $E$13)</f>
        <v>24.850899999999999</v>
      </c>
      <c r="I722" s="67">
        <f>24.8556 * CHOOSE(CONTROL!$C$26, $C$13, 100%, $E$13)</f>
        <v>24.855599999999999</v>
      </c>
      <c r="J722" s="67">
        <f>13.4103 * CHOOSE(CONTROL!$C$26, $C$13, 100%, $E$13)</f>
        <v>13.410299999999999</v>
      </c>
      <c r="K722" s="67">
        <f>13.4151 * CHOOSE(CONTROL!$C$26, $C$13, 100%, $E$13)</f>
        <v>13.415100000000001</v>
      </c>
    </row>
    <row r="723" spans="1:11" ht="15">
      <c r="A723" s="13">
        <v>63129</v>
      </c>
      <c r="B723" s="66">
        <f>11.694 * CHOOSE(CONTROL!$C$26, $C$13, 100%, $E$13)</f>
        <v>11.694000000000001</v>
      </c>
      <c r="C723" s="66">
        <f>11.694 * CHOOSE(CONTROL!$C$26, $C$13, 100%, $E$13)</f>
        <v>11.694000000000001</v>
      </c>
      <c r="D723" s="66">
        <f>11.6979 * CHOOSE(CONTROL!$C$26, $C$13, 100%, $E$13)</f>
        <v>11.697900000000001</v>
      </c>
      <c r="E723" s="67">
        <f>13.4611 * CHOOSE(CONTROL!$C$26, $C$13, 100%, $E$13)</f>
        <v>13.4611</v>
      </c>
      <c r="F723" s="67">
        <f>13.4611 * CHOOSE(CONTROL!$C$26, $C$13, 100%, $E$13)</f>
        <v>13.4611</v>
      </c>
      <c r="G723" s="67">
        <f>13.4659 * CHOOSE(CONTROL!$C$26, $C$13, 100%, $E$13)</f>
        <v>13.4659</v>
      </c>
      <c r="H723" s="67">
        <f>24.9026* CHOOSE(CONTROL!$C$26, $C$13, 100%, $E$13)</f>
        <v>24.9026</v>
      </c>
      <c r="I723" s="67">
        <f>24.9074 * CHOOSE(CONTROL!$C$26, $C$13, 100%, $E$13)</f>
        <v>24.907399999999999</v>
      </c>
      <c r="J723" s="67">
        <f>13.4611 * CHOOSE(CONTROL!$C$26, $C$13, 100%, $E$13)</f>
        <v>13.4611</v>
      </c>
      <c r="K723" s="67">
        <f>13.4659 * CHOOSE(CONTROL!$C$26, $C$13, 100%, $E$13)</f>
        <v>13.4659</v>
      </c>
    </row>
    <row r="724" spans="1:11" ht="15">
      <c r="A724" s="13">
        <v>63159</v>
      </c>
      <c r="B724" s="66">
        <f>11.694 * CHOOSE(CONTROL!$C$26, $C$13, 100%, $E$13)</f>
        <v>11.694000000000001</v>
      </c>
      <c r="C724" s="66">
        <f>11.694 * CHOOSE(CONTROL!$C$26, $C$13, 100%, $E$13)</f>
        <v>11.694000000000001</v>
      </c>
      <c r="D724" s="66">
        <f>11.6979 * CHOOSE(CONTROL!$C$26, $C$13, 100%, $E$13)</f>
        <v>11.697900000000001</v>
      </c>
      <c r="E724" s="67">
        <f>13.3393 * CHOOSE(CONTROL!$C$26, $C$13, 100%, $E$13)</f>
        <v>13.3393</v>
      </c>
      <c r="F724" s="67">
        <f>13.3393 * CHOOSE(CONTROL!$C$26, $C$13, 100%, $E$13)</f>
        <v>13.3393</v>
      </c>
      <c r="G724" s="67">
        <f>13.3441 * CHOOSE(CONTROL!$C$26, $C$13, 100%, $E$13)</f>
        <v>13.344099999999999</v>
      </c>
      <c r="H724" s="67">
        <f>24.9545* CHOOSE(CONTROL!$C$26, $C$13, 100%, $E$13)</f>
        <v>24.954499999999999</v>
      </c>
      <c r="I724" s="67">
        <f>24.9593 * CHOOSE(CONTROL!$C$26, $C$13, 100%, $E$13)</f>
        <v>24.959299999999999</v>
      </c>
      <c r="J724" s="67">
        <f>13.3393 * CHOOSE(CONTROL!$C$26, $C$13, 100%, $E$13)</f>
        <v>13.3393</v>
      </c>
      <c r="K724" s="67">
        <f>13.3441 * CHOOSE(CONTROL!$C$26, $C$13, 100%, $E$13)</f>
        <v>13.344099999999999</v>
      </c>
    </row>
    <row r="725" spans="1:11" ht="15">
      <c r="A725" s="13">
        <v>63190</v>
      </c>
      <c r="B725" s="66">
        <f>11.723 * CHOOSE(CONTROL!$C$26, $C$13, 100%, $E$13)</f>
        <v>11.723000000000001</v>
      </c>
      <c r="C725" s="66">
        <f>11.723 * CHOOSE(CONTROL!$C$26, $C$13, 100%, $E$13)</f>
        <v>11.723000000000001</v>
      </c>
      <c r="D725" s="66">
        <f>11.7269 * CHOOSE(CONTROL!$C$26, $C$13, 100%, $E$13)</f>
        <v>11.726900000000001</v>
      </c>
      <c r="E725" s="67">
        <f>13.4657 * CHOOSE(CONTROL!$C$26, $C$13, 100%, $E$13)</f>
        <v>13.4657</v>
      </c>
      <c r="F725" s="67">
        <f>13.4657 * CHOOSE(CONTROL!$C$26, $C$13, 100%, $E$13)</f>
        <v>13.4657</v>
      </c>
      <c r="G725" s="67">
        <f>13.4705 * CHOOSE(CONTROL!$C$26, $C$13, 100%, $E$13)</f>
        <v>13.470499999999999</v>
      </c>
      <c r="H725" s="67">
        <f>24.8723* CHOOSE(CONTROL!$C$26, $C$13, 100%, $E$13)</f>
        <v>24.872299999999999</v>
      </c>
      <c r="I725" s="67">
        <f>24.877 * CHOOSE(CONTROL!$C$26, $C$13, 100%, $E$13)</f>
        <v>24.876999999999999</v>
      </c>
      <c r="J725" s="67">
        <f>13.4657 * CHOOSE(CONTROL!$C$26, $C$13, 100%, $E$13)</f>
        <v>13.4657</v>
      </c>
      <c r="K725" s="67">
        <f>13.4705 * CHOOSE(CONTROL!$C$26, $C$13, 100%, $E$13)</f>
        <v>13.470499999999999</v>
      </c>
    </row>
    <row r="726" spans="1:11" ht="15">
      <c r="A726" s="13">
        <v>63221</v>
      </c>
      <c r="B726" s="66">
        <f>11.72 * CHOOSE(CONTROL!$C$26, $C$13, 100%, $E$13)</f>
        <v>11.72</v>
      </c>
      <c r="C726" s="66">
        <f>11.72 * CHOOSE(CONTROL!$C$26, $C$13, 100%, $E$13)</f>
        <v>11.72</v>
      </c>
      <c r="D726" s="66">
        <f>11.7239 * CHOOSE(CONTROL!$C$26, $C$13, 100%, $E$13)</f>
        <v>11.7239</v>
      </c>
      <c r="E726" s="67">
        <f>13.2284 * CHOOSE(CONTROL!$C$26, $C$13, 100%, $E$13)</f>
        <v>13.228400000000001</v>
      </c>
      <c r="F726" s="67">
        <f>13.2284 * CHOOSE(CONTROL!$C$26, $C$13, 100%, $E$13)</f>
        <v>13.228400000000001</v>
      </c>
      <c r="G726" s="67">
        <f>13.2331 * CHOOSE(CONTROL!$C$26, $C$13, 100%, $E$13)</f>
        <v>13.2331</v>
      </c>
      <c r="H726" s="67">
        <f>24.9241* CHOOSE(CONTROL!$C$26, $C$13, 100%, $E$13)</f>
        <v>24.924099999999999</v>
      </c>
      <c r="I726" s="67">
        <f>24.9289 * CHOOSE(CONTROL!$C$26, $C$13, 100%, $E$13)</f>
        <v>24.928899999999999</v>
      </c>
      <c r="J726" s="67">
        <f>13.2284 * CHOOSE(CONTROL!$C$26, $C$13, 100%, $E$13)</f>
        <v>13.228400000000001</v>
      </c>
      <c r="K726" s="67">
        <f>13.2331 * CHOOSE(CONTROL!$C$26, $C$13, 100%, $E$13)</f>
        <v>13.2331</v>
      </c>
    </row>
    <row r="727" spans="1:11" ht="15">
      <c r="A727" s="13">
        <v>63249</v>
      </c>
      <c r="B727" s="66">
        <f>11.717 * CHOOSE(CONTROL!$C$26, $C$13, 100%, $E$13)</f>
        <v>11.717000000000001</v>
      </c>
      <c r="C727" s="66">
        <f>11.717 * CHOOSE(CONTROL!$C$26, $C$13, 100%, $E$13)</f>
        <v>11.717000000000001</v>
      </c>
      <c r="D727" s="66">
        <f>11.7208 * CHOOSE(CONTROL!$C$26, $C$13, 100%, $E$13)</f>
        <v>11.720800000000001</v>
      </c>
      <c r="E727" s="67">
        <f>13.4117 * CHOOSE(CONTROL!$C$26, $C$13, 100%, $E$13)</f>
        <v>13.4117</v>
      </c>
      <c r="F727" s="67">
        <f>13.4117 * CHOOSE(CONTROL!$C$26, $C$13, 100%, $E$13)</f>
        <v>13.4117</v>
      </c>
      <c r="G727" s="67">
        <f>13.4165 * CHOOSE(CONTROL!$C$26, $C$13, 100%, $E$13)</f>
        <v>13.416499999999999</v>
      </c>
      <c r="H727" s="67">
        <f>24.976* CHOOSE(CONTROL!$C$26, $C$13, 100%, $E$13)</f>
        <v>24.975999999999999</v>
      </c>
      <c r="I727" s="67">
        <f>24.9808 * CHOOSE(CONTROL!$C$26, $C$13, 100%, $E$13)</f>
        <v>24.980799999999999</v>
      </c>
      <c r="J727" s="67">
        <f>13.4117 * CHOOSE(CONTROL!$C$26, $C$13, 100%, $E$13)</f>
        <v>13.4117</v>
      </c>
      <c r="K727" s="67">
        <f>13.4165 * CHOOSE(CONTROL!$C$26, $C$13, 100%, $E$13)</f>
        <v>13.416499999999999</v>
      </c>
    </row>
    <row r="728" spans="1:11" ht="15">
      <c r="A728" s="13">
        <v>63280</v>
      </c>
      <c r="B728" s="66">
        <f>11.7211 * CHOOSE(CONTROL!$C$26, $C$13, 100%, $E$13)</f>
        <v>11.7211</v>
      </c>
      <c r="C728" s="66">
        <f>11.7211 * CHOOSE(CONTROL!$C$26, $C$13, 100%, $E$13)</f>
        <v>11.7211</v>
      </c>
      <c r="D728" s="66">
        <f>11.725 * CHOOSE(CONTROL!$C$26, $C$13, 100%, $E$13)</f>
        <v>11.725</v>
      </c>
      <c r="E728" s="67">
        <f>13.6066 * CHOOSE(CONTROL!$C$26, $C$13, 100%, $E$13)</f>
        <v>13.6066</v>
      </c>
      <c r="F728" s="67">
        <f>13.6066 * CHOOSE(CONTROL!$C$26, $C$13, 100%, $E$13)</f>
        <v>13.6066</v>
      </c>
      <c r="G728" s="67">
        <f>13.6114 * CHOOSE(CONTROL!$C$26, $C$13, 100%, $E$13)</f>
        <v>13.6114</v>
      </c>
      <c r="H728" s="67">
        <f>25.028* CHOOSE(CONTROL!$C$26, $C$13, 100%, $E$13)</f>
        <v>25.027999999999999</v>
      </c>
      <c r="I728" s="67">
        <f>25.0328 * CHOOSE(CONTROL!$C$26, $C$13, 100%, $E$13)</f>
        <v>25.032800000000002</v>
      </c>
      <c r="J728" s="67">
        <f>13.6066 * CHOOSE(CONTROL!$C$26, $C$13, 100%, $E$13)</f>
        <v>13.6066</v>
      </c>
      <c r="K728" s="67">
        <f>13.6114 * CHOOSE(CONTROL!$C$26, $C$13, 100%, $E$13)</f>
        <v>13.6114</v>
      </c>
    </row>
    <row r="729" spans="1:11" ht="15">
      <c r="A729" s="13">
        <v>63310</v>
      </c>
      <c r="B729" s="66">
        <f>11.7211 * CHOOSE(CONTROL!$C$26, $C$13, 100%, $E$13)</f>
        <v>11.7211</v>
      </c>
      <c r="C729" s="66">
        <f>11.7211 * CHOOSE(CONTROL!$C$26, $C$13, 100%, $E$13)</f>
        <v>11.7211</v>
      </c>
      <c r="D729" s="66">
        <f>11.7266 * CHOOSE(CONTROL!$C$26, $C$13, 100%, $E$13)</f>
        <v>11.726599999999999</v>
      </c>
      <c r="E729" s="67">
        <f>13.6813 * CHOOSE(CONTROL!$C$26, $C$13, 100%, $E$13)</f>
        <v>13.6813</v>
      </c>
      <c r="F729" s="67">
        <f>13.6813 * CHOOSE(CONTROL!$C$26, $C$13, 100%, $E$13)</f>
        <v>13.6813</v>
      </c>
      <c r="G729" s="67">
        <f>13.688 * CHOOSE(CONTROL!$C$26, $C$13, 100%, $E$13)</f>
        <v>13.688000000000001</v>
      </c>
      <c r="H729" s="67">
        <f>25.0802* CHOOSE(CONTROL!$C$26, $C$13, 100%, $E$13)</f>
        <v>25.080200000000001</v>
      </c>
      <c r="I729" s="67">
        <f>25.0869 * CHOOSE(CONTROL!$C$26, $C$13, 100%, $E$13)</f>
        <v>25.0869</v>
      </c>
      <c r="J729" s="67">
        <f>13.6813 * CHOOSE(CONTROL!$C$26, $C$13, 100%, $E$13)</f>
        <v>13.6813</v>
      </c>
      <c r="K729" s="67">
        <f>13.688 * CHOOSE(CONTROL!$C$26, $C$13, 100%, $E$13)</f>
        <v>13.688000000000001</v>
      </c>
    </row>
    <row r="730" spans="1:11" ht="15">
      <c r="A730" s="13">
        <v>63341</v>
      </c>
      <c r="B730" s="66">
        <f>11.7272 * CHOOSE(CONTROL!$C$26, $C$13, 100%, $E$13)</f>
        <v>11.7272</v>
      </c>
      <c r="C730" s="66">
        <f>11.7272 * CHOOSE(CONTROL!$C$26, $C$13, 100%, $E$13)</f>
        <v>11.7272</v>
      </c>
      <c r="D730" s="66">
        <f>11.7327 * CHOOSE(CONTROL!$C$26, $C$13, 100%, $E$13)</f>
        <v>11.732699999999999</v>
      </c>
      <c r="E730" s="67">
        <f>13.6108 * CHOOSE(CONTROL!$C$26, $C$13, 100%, $E$13)</f>
        <v>13.610799999999999</v>
      </c>
      <c r="F730" s="67">
        <f>13.6108 * CHOOSE(CONTROL!$C$26, $C$13, 100%, $E$13)</f>
        <v>13.610799999999999</v>
      </c>
      <c r="G730" s="67">
        <f>13.6176 * CHOOSE(CONTROL!$C$26, $C$13, 100%, $E$13)</f>
        <v>13.617599999999999</v>
      </c>
      <c r="H730" s="67">
        <f>25.1324* CHOOSE(CONTROL!$C$26, $C$13, 100%, $E$13)</f>
        <v>25.132400000000001</v>
      </c>
      <c r="I730" s="67">
        <f>25.1392 * CHOOSE(CONTROL!$C$26, $C$13, 100%, $E$13)</f>
        <v>25.139199999999999</v>
      </c>
      <c r="J730" s="67">
        <f>13.6108 * CHOOSE(CONTROL!$C$26, $C$13, 100%, $E$13)</f>
        <v>13.610799999999999</v>
      </c>
      <c r="K730" s="67">
        <f>13.6176 * CHOOSE(CONTROL!$C$26, $C$13, 100%, $E$13)</f>
        <v>13.617599999999999</v>
      </c>
    </row>
    <row r="731" spans="1:11" ht="15">
      <c r="A731" s="13">
        <v>63371</v>
      </c>
      <c r="B731" s="66">
        <f>11.9066 * CHOOSE(CONTROL!$C$26, $C$13, 100%, $E$13)</f>
        <v>11.906599999999999</v>
      </c>
      <c r="C731" s="66">
        <f>11.9066 * CHOOSE(CONTROL!$C$26, $C$13, 100%, $E$13)</f>
        <v>11.906599999999999</v>
      </c>
      <c r="D731" s="66">
        <f>11.9121 * CHOOSE(CONTROL!$C$26, $C$13, 100%, $E$13)</f>
        <v>11.912100000000001</v>
      </c>
      <c r="E731" s="67">
        <f>13.8292 * CHOOSE(CONTROL!$C$26, $C$13, 100%, $E$13)</f>
        <v>13.8292</v>
      </c>
      <c r="F731" s="67">
        <f>13.8292 * CHOOSE(CONTROL!$C$26, $C$13, 100%, $E$13)</f>
        <v>13.8292</v>
      </c>
      <c r="G731" s="67">
        <f>13.8359 * CHOOSE(CONTROL!$C$26, $C$13, 100%, $E$13)</f>
        <v>13.835900000000001</v>
      </c>
      <c r="H731" s="67">
        <f>25.1848* CHOOSE(CONTROL!$C$26, $C$13, 100%, $E$13)</f>
        <v>25.184799999999999</v>
      </c>
      <c r="I731" s="67">
        <f>25.1915 * CHOOSE(CONTROL!$C$26, $C$13, 100%, $E$13)</f>
        <v>25.191500000000001</v>
      </c>
      <c r="J731" s="67">
        <f>13.8292 * CHOOSE(CONTROL!$C$26, $C$13, 100%, $E$13)</f>
        <v>13.8292</v>
      </c>
      <c r="K731" s="67">
        <f>13.8359 * CHOOSE(CONTROL!$C$26, $C$13, 100%, $E$13)</f>
        <v>13.835900000000001</v>
      </c>
    </row>
    <row r="732" spans="1:11" ht="15">
      <c r="A732" s="13">
        <v>63402</v>
      </c>
      <c r="B732" s="66">
        <f>11.9133 * CHOOSE(CONTROL!$C$26, $C$13, 100%, $E$13)</f>
        <v>11.9133</v>
      </c>
      <c r="C732" s="66">
        <f>11.9133 * CHOOSE(CONTROL!$C$26, $C$13, 100%, $E$13)</f>
        <v>11.9133</v>
      </c>
      <c r="D732" s="66">
        <f>11.9188 * CHOOSE(CONTROL!$C$26, $C$13, 100%, $E$13)</f>
        <v>11.918799999999999</v>
      </c>
      <c r="E732" s="67">
        <f>13.6098 * CHOOSE(CONTROL!$C$26, $C$13, 100%, $E$13)</f>
        <v>13.6098</v>
      </c>
      <c r="F732" s="67">
        <f>13.6098 * CHOOSE(CONTROL!$C$26, $C$13, 100%, $E$13)</f>
        <v>13.6098</v>
      </c>
      <c r="G732" s="67">
        <f>13.6165 * CHOOSE(CONTROL!$C$26, $C$13, 100%, $E$13)</f>
        <v>13.6165</v>
      </c>
      <c r="H732" s="67">
        <f>25.2373* CHOOSE(CONTROL!$C$26, $C$13, 100%, $E$13)</f>
        <v>25.237300000000001</v>
      </c>
      <c r="I732" s="67">
        <f>25.244 * CHOOSE(CONTROL!$C$26, $C$13, 100%, $E$13)</f>
        <v>25.244</v>
      </c>
      <c r="J732" s="67">
        <f>13.6098 * CHOOSE(CONTROL!$C$26, $C$13, 100%, $E$13)</f>
        <v>13.6098</v>
      </c>
      <c r="K732" s="67">
        <f>13.6165 * CHOOSE(CONTROL!$C$26, $C$13, 100%, $E$13)</f>
        <v>13.6165</v>
      </c>
    </row>
    <row r="733" spans="1:11" ht="15">
      <c r="A733" s="13">
        <v>63433</v>
      </c>
      <c r="B733" s="66">
        <f>11.9103 * CHOOSE(CONTROL!$C$26, $C$13, 100%, $E$13)</f>
        <v>11.910299999999999</v>
      </c>
      <c r="C733" s="66">
        <f>11.9103 * CHOOSE(CONTROL!$C$26, $C$13, 100%, $E$13)</f>
        <v>11.910299999999999</v>
      </c>
      <c r="D733" s="66">
        <f>11.9158 * CHOOSE(CONTROL!$C$26, $C$13, 100%, $E$13)</f>
        <v>11.915800000000001</v>
      </c>
      <c r="E733" s="67">
        <f>13.5828 * CHOOSE(CONTROL!$C$26, $C$13, 100%, $E$13)</f>
        <v>13.582800000000001</v>
      </c>
      <c r="F733" s="67">
        <f>13.5828 * CHOOSE(CONTROL!$C$26, $C$13, 100%, $E$13)</f>
        <v>13.582800000000001</v>
      </c>
      <c r="G733" s="67">
        <f>13.5895 * CHOOSE(CONTROL!$C$26, $C$13, 100%, $E$13)</f>
        <v>13.589499999999999</v>
      </c>
      <c r="H733" s="67">
        <f>25.2898* CHOOSE(CONTROL!$C$26, $C$13, 100%, $E$13)</f>
        <v>25.2898</v>
      </c>
      <c r="I733" s="67">
        <f>25.2966 * CHOOSE(CONTROL!$C$26, $C$13, 100%, $E$13)</f>
        <v>25.296600000000002</v>
      </c>
      <c r="J733" s="67">
        <f>13.5828 * CHOOSE(CONTROL!$C$26, $C$13, 100%, $E$13)</f>
        <v>13.582800000000001</v>
      </c>
      <c r="K733" s="67">
        <f>13.5895 * CHOOSE(CONTROL!$C$26, $C$13, 100%, $E$13)</f>
        <v>13.589499999999999</v>
      </c>
    </row>
    <row r="734" spans="1:11" ht="15">
      <c r="A734" s="13">
        <v>63463</v>
      </c>
      <c r="B734" s="66">
        <f>11.9309 * CHOOSE(CONTROL!$C$26, $C$13, 100%, $E$13)</f>
        <v>11.930899999999999</v>
      </c>
      <c r="C734" s="66">
        <f>11.9309 * CHOOSE(CONTROL!$C$26, $C$13, 100%, $E$13)</f>
        <v>11.930899999999999</v>
      </c>
      <c r="D734" s="66">
        <f>11.9348 * CHOOSE(CONTROL!$C$26, $C$13, 100%, $E$13)</f>
        <v>11.934799999999999</v>
      </c>
      <c r="E734" s="67">
        <f>13.6689 * CHOOSE(CONTROL!$C$26, $C$13, 100%, $E$13)</f>
        <v>13.668900000000001</v>
      </c>
      <c r="F734" s="67">
        <f>13.6689 * CHOOSE(CONTROL!$C$26, $C$13, 100%, $E$13)</f>
        <v>13.668900000000001</v>
      </c>
      <c r="G734" s="67">
        <f>13.6737 * CHOOSE(CONTROL!$C$26, $C$13, 100%, $E$13)</f>
        <v>13.6737</v>
      </c>
      <c r="H734" s="67">
        <f>25.3425* CHOOSE(CONTROL!$C$26, $C$13, 100%, $E$13)</f>
        <v>25.342500000000001</v>
      </c>
      <c r="I734" s="67">
        <f>25.3473 * CHOOSE(CONTROL!$C$26, $C$13, 100%, $E$13)</f>
        <v>25.347300000000001</v>
      </c>
      <c r="J734" s="67">
        <f>13.6689 * CHOOSE(CONTROL!$C$26, $C$13, 100%, $E$13)</f>
        <v>13.668900000000001</v>
      </c>
      <c r="K734" s="67">
        <f>13.6737 * CHOOSE(CONTROL!$C$26, $C$13, 100%, $E$13)</f>
        <v>13.6737</v>
      </c>
    </row>
    <row r="735" spans="1:11" ht="15">
      <c r="A735" s="13">
        <v>63494</v>
      </c>
      <c r="B735" s="66">
        <f>11.9339 * CHOOSE(CONTROL!$C$26, $C$13, 100%, $E$13)</f>
        <v>11.9339</v>
      </c>
      <c r="C735" s="66">
        <f>11.9339 * CHOOSE(CONTROL!$C$26, $C$13, 100%, $E$13)</f>
        <v>11.9339</v>
      </c>
      <c r="D735" s="66">
        <f>11.9378 * CHOOSE(CONTROL!$C$26, $C$13, 100%, $E$13)</f>
        <v>11.937799999999999</v>
      </c>
      <c r="E735" s="67">
        <f>13.7208 * CHOOSE(CONTROL!$C$26, $C$13, 100%, $E$13)</f>
        <v>13.720800000000001</v>
      </c>
      <c r="F735" s="67">
        <f>13.7208 * CHOOSE(CONTROL!$C$26, $C$13, 100%, $E$13)</f>
        <v>13.720800000000001</v>
      </c>
      <c r="G735" s="67">
        <f>13.7256 * CHOOSE(CONTROL!$C$26, $C$13, 100%, $E$13)</f>
        <v>13.7256</v>
      </c>
      <c r="H735" s="67">
        <f>25.3953* CHOOSE(CONTROL!$C$26, $C$13, 100%, $E$13)</f>
        <v>25.395299999999999</v>
      </c>
      <c r="I735" s="67">
        <f>25.4001 * CHOOSE(CONTROL!$C$26, $C$13, 100%, $E$13)</f>
        <v>25.400099999999998</v>
      </c>
      <c r="J735" s="67">
        <f>13.7208 * CHOOSE(CONTROL!$C$26, $C$13, 100%, $E$13)</f>
        <v>13.720800000000001</v>
      </c>
      <c r="K735" s="67">
        <f>13.7256 * CHOOSE(CONTROL!$C$26, $C$13, 100%, $E$13)</f>
        <v>13.7256</v>
      </c>
    </row>
    <row r="736" spans="1:11" ht="15">
      <c r="A736" s="13">
        <v>63524</v>
      </c>
      <c r="B736" s="66">
        <f>11.9339 * CHOOSE(CONTROL!$C$26, $C$13, 100%, $E$13)</f>
        <v>11.9339</v>
      </c>
      <c r="C736" s="66">
        <f>11.9339 * CHOOSE(CONTROL!$C$26, $C$13, 100%, $E$13)</f>
        <v>11.9339</v>
      </c>
      <c r="D736" s="66">
        <f>11.9378 * CHOOSE(CONTROL!$C$26, $C$13, 100%, $E$13)</f>
        <v>11.937799999999999</v>
      </c>
      <c r="E736" s="67">
        <f>13.5964 * CHOOSE(CONTROL!$C$26, $C$13, 100%, $E$13)</f>
        <v>13.596399999999999</v>
      </c>
      <c r="F736" s="67">
        <f>13.5964 * CHOOSE(CONTROL!$C$26, $C$13, 100%, $E$13)</f>
        <v>13.596399999999999</v>
      </c>
      <c r="G736" s="67">
        <f>13.6011 * CHOOSE(CONTROL!$C$26, $C$13, 100%, $E$13)</f>
        <v>13.601100000000001</v>
      </c>
      <c r="H736" s="67">
        <f>25.4482* CHOOSE(CONTROL!$C$26, $C$13, 100%, $E$13)</f>
        <v>25.4482</v>
      </c>
      <c r="I736" s="67">
        <f>25.453 * CHOOSE(CONTROL!$C$26, $C$13, 100%, $E$13)</f>
        <v>25.452999999999999</v>
      </c>
      <c r="J736" s="67">
        <f>13.5964 * CHOOSE(CONTROL!$C$26, $C$13, 100%, $E$13)</f>
        <v>13.596399999999999</v>
      </c>
      <c r="K736" s="67">
        <f>13.6011 * CHOOSE(CONTROL!$C$26, $C$13, 100%, $E$13)</f>
        <v>13.601100000000001</v>
      </c>
    </row>
    <row r="737" spans="1:11" ht="15">
      <c r="A737" s="13">
        <v>63555</v>
      </c>
      <c r="B737" s="66">
        <f>11.9586 * CHOOSE(CONTROL!$C$26, $C$13, 100%, $E$13)</f>
        <v>11.958600000000001</v>
      </c>
      <c r="C737" s="66">
        <f>11.9586 * CHOOSE(CONTROL!$C$26, $C$13, 100%, $E$13)</f>
        <v>11.958600000000001</v>
      </c>
      <c r="D737" s="66">
        <f>11.9625 * CHOOSE(CONTROL!$C$26, $C$13, 100%, $E$13)</f>
        <v>11.9625</v>
      </c>
      <c r="E737" s="67">
        <f>13.7204 * CHOOSE(CONTROL!$C$26, $C$13, 100%, $E$13)</f>
        <v>13.7204</v>
      </c>
      <c r="F737" s="67">
        <f>13.7204 * CHOOSE(CONTROL!$C$26, $C$13, 100%, $E$13)</f>
        <v>13.7204</v>
      </c>
      <c r="G737" s="67">
        <f>13.7252 * CHOOSE(CONTROL!$C$26, $C$13, 100%, $E$13)</f>
        <v>13.725199999999999</v>
      </c>
      <c r="H737" s="67">
        <f>25.3548* CHOOSE(CONTROL!$C$26, $C$13, 100%, $E$13)</f>
        <v>25.354800000000001</v>
      </c>
      <c r="I737" s="67">
        <f>25.3596 * CHOOSE(CONTROL!$C$26, $C$13, 100%, $E$13)</f>
        <v>25.3596</v>
      </c>
      <c r="J737" s="67">
        <f>13.7204 * CHOOSE(CONTROL!$C$26, $C$13, 100%, $E$13)</f>
        <v>13.7204</v>
      </c>
      <c r="K737" s="67">
        <f>13.7252 * CHOOSE(CONTROL!$C$26, $C$13, 100%, $E$13)</f>
        <v>13.725199999999999</v>
      </c>
    </row>
    <row r="738" spans="1:11" ht="15">
      <c r="A738" s="13">
        <v>63586</v>
      </c>
      <c r="B738" s="66">
        <f>11.9556 * CHOOSE(CONTROL!$C$26, $C$13, 100%, $E$13)</f>
        <v>11.9556</v>
      </c>
      <c r="C738" s="66">
        <f>11.9556 * CHOOSE(CONTROL!$C$26, $C$13, 100%, $E$13)</f>
        <v>11.9556</v>
      </c>
      <c r="D738" s="66">
        <f>11.9594 * CHOOSE(CONTROL!$C$26, $C$13, 100%, $E$13)</f>
        <v>11.9594</v>
      </c>
      <c r="E738" s="67">
        <f>13.4782 * CHOOSE(CONTROL!$C$26, $C$13, 100%, $E$13)</f>
        <v>13.478199999999999</v>
      </c>
      <c r="F738" s="67">
        <f>13.4782 * CHOOSE(CONTROL!$C$26, $C$13, 100%, $E$13)</f>
        <v>13.478199999999999</v>
      </c>
      <c r="G738" s="67">
        <f>13.4829 * CHOOSE(CONTROL!$C$26, $C$13, 100%, $E$13)</f>
        <v>13.482900000000001</v>
      </c>
      <c r="H738" s="67">
        <f>25.4076* CHOOSE(CONTROL!$C$26, $C$13, 100%, $E$13)</f>
        <v>25.407599999999999</v>
      </c>
      <c r="I738" s="67">
        <f>25.4124 * CHOOSE(CONTROL!$C$26, $C$13, 100%, $E$13)</f>
        <v>25.412400000000002</v>
      </c>
      <c r="J738" s="67">
        <f>13.4782 * CHOOSE(CONTROL!$C$26, $C$13, 100%, $E$13)</f>
        <v>13.478199999999999</v>
      </c>
      <c r="K738" s="67">
        <f>13.4829 * CHOOSE(CONTROL!$C$26, $C$13, 100%, $E$13)</f>
        <v>13.482900000000001</v>
      </c>
    </row>
    <row r="739" spans="1:11" ht="15">
      <c r="A739" s="13">
        <v>63614</v>
      </c>
      <c r="B739" s="66">
        <f>11.9525 * CHOOSE(CONTROL!$C$26, $C$13, 100%, $E$13)</f>
        <v>11.952500000000001</v>
      </c>
      <c r="C739" s="66">
        <f>11.9525 * CHOOSE(CONTROL!$C$26, $C$13, 100%, $E$13)</f>
        <v>11.952500000000001</v>
      </c>
      <c r="D739" s="66">
        <f>11.9564 * CHOOSE(CONTROL!$C$26, $C$13, 100%, $E$13)</f>
        <v>11.9564</v>
      </c>
      <c r="E739" s="67">
        <f>13.6654 * CHOOSE(CONTROL!$C$26, $C$13, 100%, $E$13)</f>
        <v>13.6654</v>
      </c>
      <c r="F739" s="67">
        <f>13.6654 * CHOOSE(CONTROL!$C$26, $C$13, 100%, $E$13)</f>
        <v>13.6654</v>
      </c>
      <c r="G739" s="67">
        <f>13.6701 * CHOOSE(CONTROL!$C$26, $C$13, 100%, $E$13)</f>
        <v>13.6701</v>
      </c>
      <c r="H739" s="67">
        <f>25.4606* CHOOSE(CONTROL!$C$26, $C$13, 100%, $E$13)</f>
        <v>25.460599999999999</v>
      </c>
      <c r="I739" s="67">
        <f>25.4653 * CHOOSE(CONTROL!$C$26, $C$13, 100%, $E$13)</f>
        <v>25.465299999999999</v>
      </c>
      <c r="J739" s="67">
        <f>13.6654 * CHOOSE(CONTROL!$C$26, $C$13, 100%, $E$13)</f>
        <v>13.6654</v>
      </c>
      <c r="K739" s="67">
        <f>13.6701 * CHOOSE(CONTROL!$C$26, $C$13, 100%, $E$13)</f>
        <v>13.6701</v>
      </c>
    </row>
    <row r="740" spans="1:11" ht="15">
      <c r="A740" s="13">
        <v>63645</v>
      </c>
      <c r="B740" s="66">
        <f>11.9569 * CHOOSE(CONTROL!$C$26, $C$13, 100%, $E$13)</f>
        <v>11.956899999999999</v>
      </c>
      <c r="C740" s="66">
        <f>11.9569 * CHOOSE(CONTROL!$C$26, $C$13, 100%, $E$13)</f>
        <v>11.956899999999999</v>
      </c>
      <c r="D740" s="66">
        <f>11.9607 * CHOOSE(CONTROL!$C$26, $C$13, 100%, $E$13)</f>
        <v>11.960699999999999</v>
      </c>
      <c r="E740" s="67">
        <f>13.8645 * CHOOSE(CONTROL!$C$26, $C$13, 100%, $E$13)</f>
        <v>13.8645</v>
      </c>
      <c r="F740" s="67">
        <f>13.8645 * CHOOSE(CONTROL!$C$26, $C$13, 100%, $E$13)</f>
        <v>13.8645</v>
      </c>
      <c r="G740" s="67">
        <f>13.8692 * CHOOSE(CONTROL!$C$26, $C$13, 100%, $E$13)</f>
        <v>13.869199999999999</v>
      </c>
      <c r="H740" s="67">
        <f>25.5136* CHOOSE(CONTROL!$C$26, $C$13, 100%, $E$13)</f>
        <v>25.5136</v>
      </c>
      <c r="I740" s="67">
        <f>25.5184 * CHOOSE(CONTROL!$C$26, $C$13, 100%, $E$13)</f>
        <v>25.5184</v>
      </c>
      <c r="J740" s="67">
        <f>13.8645 * CHOOSE(CONTROL!$C$26, $C$13, 100%, $E$13)</f>
        <v>13.8645</v>
      </c>
      <c r="K740" s="67">
        <f>13.8692 * CHOOSE(CONTROL!$C$26, $C$13, 100%, $E$13)</f>
        <v>13.869199999999999</v>
      </c>
    </row>
    <row r="741" spans="1:11" ht="15">
      <c r="A741" s="13">
        <v>63675</v>
      </c>
      <c r="B741" s="66">
        <f>11.9569 * CHOOSE(CONTROL!$C$26, $C$13, 100%, $E$13)</f>
        <v>11.956899999999999</v>
      </c>
      <c r="C741" s="66">
        <f>11.9569 * CHOOSE(CONTROL!$C$26, $C$13, 100%, $E$13)</f>
        <v>11.956899999999999</v>
      </c>
      <c r="D741" s="66">
        <f>11.9624 * CHOOSE(CONTROL!$C$26, $C$13, 100%, $E$13)</f>
        <v>11.962400000000001</v>
      </c>
      <c r="E741" s="67">
        <f>13.9407 * CHOOSE(CONTROL!$C$26, $C$13, 100%, $E$13)</f>
        <v>13.9407</v>
      </c>
      <c r="F741" s="67">
        <f>13.9407 * CHOOSE(CONTROL!$C$26, $C$13, 100%, $E$13)</f>
        <v>13.9407</v>
      </c>
      <c r="G741" s="67">
        <f>13.9474 * CHOOSE(CONTROL!$C$26, $C$13, 100%, $E$13)</f>
        <v>13.9474</v>
      </c>
      <c r="H741" s="67">
        <f>25.5668* CHOOSE(CONTROL!$C$26, $C$13, 100%, $E$13)</f>
        <v>25.566800000000001</v>
      </c>
      <c r="I741" s="67">
        <f>25.5735 * CHOOSE(CONTROL!$C$26, $C$13, 100%, $E$13)</f>
        <v>25.573499999999999</v>
      </c>
      <c r="J741" s="67">
        <f>13.9407 * CHOOSE(CONTROL!$C$26, $C$13, 100%, $E$13)</f>
        <v>13.9407</v>
      </c>
      <c r="K741" s="67">
        <f>13.9474 * CHOOSE(CONTROL!$C$26, $C$13, 100%, $E$13)</f>
        <v>13.9474</v>
      </c>
    </row>
    <row r="742" spans="1:11" ht="15">
      <c r="A742" s="13">
        <v>63706</v>
      </c>
      <c r="B742" s="66">
        <f>11.9629 * CHOOSE(CONTROL!$C$26, $C$13, 100%, $E$13)</f>
        <v>11.962899999999999</v>
      </c>
      <c r="C742" s="66">
        <f>11.9629 * CHOOSE(CONTROL!$C$26, $C$13, 100%, $E$13)</f>
        <v>11.962899999999999</v>
      </c>
      <c r="D742" s="66">
        <f>11.9684 * CHOOSE(CONTROL!$C$26, $C$13, 100%, $E$13)</f>
        <v>11.968400000000001</v>
      </c>
      <c r="E742" s="67">
        <f>13.8687 * CHOOSE(CONTROL!$C$26, $C$13, 100%, $E$13)</f>
        <v>13.8687</v>
      </c>
      <c r="F742" s="67">
        <f>13.8687 * CHOOSE(CONTROL!$C$26, $C$13, 100%, $E$13)</f>
        <v>13.8687</v>
      </c>
      <c r="G742" s="67">
        <f>13.8754 * CHOOSE(CONTROL!$C$26, $C$13, 100%, $E$13)</f>
        <v>13.875400000000001</v>
      </c>
      <c r="H742" s="67">
        <f>25.62* CHOOSE(CONTROL!$C$26, $C$13, 100%, $E$13)</f>
        <v>25.62</v>
      </c>
      <c r="I742" s="67">
        <f>25.6268 * CHOOSE(CONTROL!$C$26, $C$13, 100%, $E$13)</f>
        <v>25.626799999999999</v>
      </c>
      <c r="J742" s="67">
        <f>13.8687 * CHOOSE(CONTROL!$C$26, $C$13, 100%, $E$13)</f>
        <v>13.8687</v>
      </c>
      <c r="K742" s="67">
        <f>13.8754 * CHOOSE(CONTROL!$C$26, $C$13, 100%, $E$13)</f>
        <v>13.875400000000001</v>
      </c>
    </row>
    <row r="743" spans="1:11" ht="15">
      <c r="A743" s="13">
        <v>63736</v>
      </c>
      <c r="B743" s="66">
        <f>12.1458 * CHOOSE(CONTROL!$C$26, $C$13, 100%, $E$13)</f>
        <v>12.145799999999999</v>
      </c>
      <c r="C743" s="66">
        <f>12.1458 * CHOOSE(CONTROL!$C$26, $C$13, 100%, $E$13)</f>
        <v>12.145799999999999</v>
      </c>
      <c r="D743" s="66">
        <f>12.1513 * CHOOSE(CONTROL!$C$26, $C$13, 100%, $E$13)</f>
        <v>12.151300000000001</v>
      </c>
      <c r="E743" s="67">
        <f>14.0909 * CHOOSE(CONTROL!$C$26, $C$13, 100%, $E$13)</f>
        <v>14.0909</v>
      </c>
      <c r="F743" s="67">
        <f>14.0909 * CHOOSE(CONTROL!$C$26, $C$13, 100%, $E$13)</f>
        <v>14.0909</v>
      </c>
      <c r="G743" s="67">
        <f>14.0977 * CHOOSE(CONTROL!$C$26, $C$13, 100%, $E$13)</f>
        <v>14.0977</v>
      </c>
      <c r="H743" s="67">
        <f>25.6734* CHOOSE(CONTROL!$C$26, $C$13, 100%, $E$13)</f>
        <v>25.673400000000001</v>
      </c>
      <c r="I743" s="67">
        <f>25.6801 * CHOOSE(CONTROL!$C$26, $C$13, 100%, $E$13)</f>
        <v>25.680099999999999</v>
      </c>
      <c r="J743" s="67">
        <f>14.0909 * CHOOSE(CONTROL!$C$26, $C$13, 100%, $E$13)</f>
        <v>14.0909</v>
      </c>
      <c r="K743" s="67">
        <f>14.0977 * CHOOSE(CONTROL!$C$26, $C$13, 100%, $E$13)</f>
        <v>14.0977</v>
      </c>
    </row>
    <row r="744" spans="1:11" ht="15">
      <c r="A744" s="13">
        <v>63767</v>
      </c>
      <c r="B744" s="66">
        <f>12.1525 * CHOOSE(CONTROL!$C$26, $C$13, 100%, $E$13)</f>
        <v>12.1525</v>
      </c>
      <c r="C744" s="66">
        <f>12.1525 * CHOOSE(CONTROL!$C$26, $C$13, 100%, $E$13)</f>
        <v>12.1525</v>
      </c>
      <c r="D744" s="66">
        <f>12.158 * CHOOSE(CONTROL!$C$26, $C$13, 100%, $E$13)</f>
        <v>12.157999999999999</v>
      </c>
      <c r="E744" s="67">
        <f>13.8668 * CHOOSE(CONTROL!$C$26, $C$13, 100%, $E$13)</f>
        <v>13.8668</v>
      </c>
      <c r="F744" s="67">
        <f>13.8668 * CHOOSE(CONTROL!$C$26, $C$13, 100%, $E$13)</f>
        <v>13.8668</v>
      </c>
      <c r="G744" s="67">
        <f>13.8736 * CHOOSE(CONTROL!$C$26, $C$13, 100%, $E$13)</f>
        <v>13.8736</v>
      </c>
      <c r="H744" s="67">
        <f>25.7269* CHOOSE(CONTROL!$C$26, $C$13, 100%, $E$13)</f>
        <v>25.726900000000001</v>
      </c>
      <c r="I744" s="67">
        <f>25.7336 * CHOOSE(CONTROL!$C$26, $C$13, 100%, $E$13)</f>
        <v>25.733599999999999</v>
      </c>
      <c r="J744" s="67">
        <f>13.8668 * CHOOSE(CONTROL!$C$26, $C$13, 100%, $E$13)</f>
        <v>13.8668</v>
      </c>
      <c r="K744" s="67">
        <f>13.8736 * CHOOSE(CONTROL!$C$26, $C$13, 100%, $E$13)</f>
        <v>13.8736</v>
      </c>
    </row>
    <row r="745" spans="1:11" ht="15">
      <c r="A745" s="13">
        <v>63798</v>
      </c>
      <c r="B745" s="66">
        <f>12.1495 * CHOOSE(CONTROL!$C$26, $C$13, 100%, $E$13)</f>
        <v>12.1495</v>
      </c>
      <c r="C745" s="66">
        <f>12.1495 * CHOOSE(CONTROL!$C$26, $C$13, 100%, $E$13)</f>
        <v>12.1495</v>
      </c>
      <c r="D745" s="66">
        <f>12.155 * CHOOSE(CONTROL!$C$26, $C$13, 100%, $E$13)</f>
        <v>12.154999999999999</v>
      </c>
      <c r="E745" s="67">
        <f>13.8393 * CHOOSE(CONTROL!$C$26, $C$13, 100%, $E$13)</f>
        <v>13.8393</v>
      </c>
      <c r="F745" s="67">
        <f>13.8393 * CHOOSE(CONTROL!$C$26, $C$13, 100%, $E$13)</f>
        <v>13.8393</v>
      </c>
      <c r="G745" s="67">
        <f>13.8461 * CHOOSE(CONTROL!$C$26, $C$13, 100%, $E$13)</f>
        <v>13.8461</v>
      </c>
      <c r="H745" s="67">
        <f>25.7805* CHOOSE(CONTROL!$C$26, $C$13, 100%, $E$13)</f>
        <v>25.7805</v>
      </c>
      <c r="I745" s="67">
        <f>25.7872 * CHOOSE(CONTROL!$C$26, $C$13, 100%, $E$13)</f>
        <v>25.787199999999999</v>
      </c>
      <c r="J745" s="67">
        <f>13.8393 * CHOOSE(CONTROL!$C$26, $C$13, 100%, $E$13)</f>
        <v>13.8393</v>
      </c>
      <c r="K745" s="67">
        <f>13.8461 * CHOOSE(CONTROL!$C$26, $C$13, 100%, $E$13)</f>
        <v>13.8461</v>
      </c>
    </row>
    <row r="746" spans="1:11" ht="15">
      <c r="A746" s="13">
        <v>63828</v>
      </c>
      <c r="B746" s="66">
        <f>12.1708 * CHOOSE(CONTROL!$C$26, $C$13, 100%, $E$13)</f>
        <v>12.1708</v>
      </c>
      <c r="C746" s="66">
        <f>12.1708 * CHOOSE(CONTROL!$C$26, $C$13, 100%, $E$13)</f>
        <v>12.1708</v>
      </c>
      <c r="D746" s="66">
        <f>12.1747 * CHOOSE(CONTROL!$C$26, $C$13, 100%, $E$13)</f>
        <v>12.1747</v>
      </c>
      <c r="E746" s="67">
        <f>13.9276 * CHOOSE(CONTROL!$C$26, $C$13, 100%, $E$13)</f>
        <v>13.9276</v>
      </c>
      <c r="F746" s="67">
        <f>13.9276 * CHOOSE(CONTROL!$C$26, $C$13, 100%, $E$13)</f>
        <v>13.9276</v>
      </c>
      <c r="G746" s="67">
        <f>13.9323 * CHOOSE(CONTROL!$C$26, $C$13, 100%, $E$13)</f>
        <v>13.9323</v>
      </c>
      <c r="H746" s="67">
        <f>25.8342* CHOOSE(CONTROL!$C$26, $C$13, 100%, $E$13)</f>
        <v>25.834199999999999</v>
      </c>
      <c r="I746" s="67">
        <f>25.839 * CHOOSE(CONTROL!$C$26, $C$13, 100%, $E$13)</f>
        <v>25.838999999999999</v>
      </c>
      <c r="J746" s="67">
        <f>13.9276 * CHOOSE(CONTROL!$C$26, $C$13, 100%, $E$13)</f>
        <v>13.9276</v>
      </c>
      <c r="K746" s="67">
        <f>13.9323 * CHOOSE(CONTROL!$C$26, $C$13, 100%, $E$13)</f>
        <v>13.9323</v>
      </c>
    </row>
    <row r="747" spans="1:11" ht="15">
      <c r="A747" s="13">
        <v>63859</v>
      </c>
      <c r="B747" s="66">
        <f>12.1739 * CHOOSE(CONTROL!$C$26, $C$13, 100%, $E$13)</f>
        <v>12.1739</v>
      </c>
      <c r="C747" s="66">
        <f>12.1739 * CHOOSE(CONTROL!$C$26, $C$13, 100%, $E$13)</f>
        <v>12.1739</v>
      </c>
      <c r="D747" s="66">
        <f>12.1777 * CHOOSE(CONTROL!$C$26, $C$13, 100%, $E$13)</f>
        <v>12.1777</v>
      </c>
      <c r="E747" s="67">
        <f>13.9805 * CHOOSE(CONTROL!$C$26, $C$13, 100%, $E$13)</f>
        <v>13.980499999999999</v>
      </c>
      <c r="F747" s="67">
        <f>13.9805 * CHOOSE(CONTROL!$C$26, $C$13, 100%, $E$13)</f>
        <v>13.980499999999999</v>
      </c>
      <c r="G747" s="67">
        <f>13.9853 * CHOOSE(CONTROL!$C$26, $C$13, 100%, $E$13)</f>
        <v>13.985300000000001</v>
      </c>
      <c r="H747" s="67">
        <f>25.888* CHOOSE(CONTROL!$C$26, $C$13, 100%, $E$13)</f>
        <v>25.888000000000002</v>
      </c>
      <c r="I747" s="67">
        <f>25.8928 * CHOOSE(CONTROL!$C$26, $C$13, 100%, $E$13)</f>
        <v>25.892800000000001</v>
      </c>
      <c r="J747" s="67">
        <f>13.9805 * CHOOSE(CONTROL!$C$26, $C$13, 100%, $E$13)</f>
        <v>13.980499999999999</v>
      </c>
      <c r="K747" s="67">
        <f>13.9853 * CHOOSE(CONTROL!$C$26, $C$13, 100%, $E$13)</f>
        <v>13.985300000000001</v>
      </c>
    </row>
    <row r="748" spans="1:11" ht="15">
      <c r="A748" s="13">
        <v>63889</v>
      </c>
      <c r="B748" s="66">
        <f>12.1739 * CHOOSE(CONTROL!$C$26, $C$13, 100%, $E$13)</f>
        <v>12.1739</v>
      </c>
      <c r="C748" s="66">
        <f>12.1739 * CHOOSE(CONTROL!$C$26, $C$13, 100%, $E$13)</f>
        <v>12.1739</v>
      </c>
      <c r="D748" s="66">
        <f>12.1777 * CHOOSE(CONTROL!$C$26, $C$13, 100%, $E$13)</f>
        <v>12.1777</v>
      </c>
      <c r="E748" s="67">
        <f>13.8534 * CHOOSE(CONTROL!$C$26, $C$13, 100%, $E$13)</f>
        <v>13.853400000000001</v>
      </c>
      <c r="F748" s="67">
        <f>13.8534 * CHOOSE(CONTROL!$C$26, $C$13, 100%, $E$13)</f>
        <v>13.853400000000001</v>
      </c>
      <c r="G748" s="67">
        <f>13.8582 * CHOOSE(CONTROL!$C$26, $C$13, 100%, $E$13)</f>
        <v>13.8582</v>
      </c>
      <c r="H748" s="67">
        <f>25.942* CHOOSE(CONTROL!$C$26, $C$13, 100%, $E$13)</f>
        <v>25.942</v>
      </c>
      <c r="I748" s="67">
        <f>25.9467 * CHOOSE(CONTROL!$C$26, $C$13, 100%, $E$13)</f>
        <v>25.9467</v>
      </c>
      <c r="J748" s="67">
        <f>13.8534 * CHOOSE(CONTROL!$C$26, $C$13, 100%, $E$13)</f>
        <v>13.853400000000001</v>
      </c>
      <c r="K748" s="67">
        <f>13.8582 * CHOOSE(CONTROL!$C$26, $C$13, 100%, $E$13)</f>
        <v>13.8582</v>
      </c>
    </row>
    <row r="749" spans="1:11" ht="15">
      <c r="A749" s="13">
        <v>63920</v>
      </c>
      <c r="B749" s="66">
        <f>12.1942 * CHOOSE(CONTROL!$C$26, $C$13, 100%, $E$13)</f>
        <v>12.1942</v>
      </c>
      <c r="C749" s="66">
        <f>12.1942 * CHOOSE(CONTROL!$C$26, $C$13, 100%, $E$13)</f>
        <v>12.1942</v>
      </c>
      <c r="D749" s="66">
        <f>12.198 * CHOOSE(CONTROL!$C$26, $C$13, 100%, $E$13)</f>
        <v>12.198</v>
      </c>
      <c r="E749" s="67">
        <f>13.9752 * CHOOSE(CONTROL!$C$26, $C$13, 100%, $E$13)</f>
        <v>13.975199999999999</v>
      </c>
      <c r="F749" s="67">
        <f>13.9752 * CHOOSE(CONTROL!$C$26, $C$13, 100%, $E$13)</f>
        <v>13.975199999999999</v>
      </c>
      <c r="G749" s="67">
        <f>13.9799 * CHOOSE(CONTROL!$C$26, $C$13, 100%, $E$13)</f>
        <v>13.979900000000001</v>
      </c>
      <c r="H749" s="67">
        <f>25.8374* CHOOSE(CONTROL!$C$26, $C$13, 100%, $E$13)</f>
        <v>25.837399999999999</v>
      </c>
      <c r="I749" s="67">
        <f>25.8421 * CHOOSE(CONTROL!$C$26, $C$13, 100%, $E$13)</f>
        <v>25.842099999999999</v>
      </c>
      <c r="J749" s="67">
        <f>13.9752 * CHOOSE(CONTROL!$C$26, $C$13, 100%, $E$13)</f>
        <v>13.975199999999999</v>
      </c>
      <c r="K749" s="67">
        <f>13.9799 * CHOOSE(CONTROL!$C$26, $C$13, 100%, $E$13)</f>
        <v>13.979900000000001</v>
      </c>
    </row>
    <row r="750" spans="1:11" ht="15">
      <c r="A750" s="13">
        <v>63951</v>
      </c>
      <c r="B750" s="66">
        <f>12.1911 * CHOOSE(CONTROL!$C$26, $C$13, 100%, $E$13)</f>
        <v>12.1911</v>
      </c>
      <c r="C750" s="66">
        <f>12.1911 * CHOOSE(CONTROL!$C$26, $C$13, 100%, $E$13)</f>
        <v>12.1911</v>
      </c>
      <c r="D750" s="66">
        <f>12.195 * CHOOSE(CONTROL!$C$26, $C$13, 100%, $E$13)</f>
        <v>12.195</v>
      </c>
      <c r="E750" s="67">
        <f>13.728 * CHOOSE(CONTROL!$C$26, $C$13, 100%, $E$13)</f>
        <v>13.728</v>
      </c>
      <c r="F750" s="67">
        <f>13.728 * CHOOSE(CONTROL!$C$26, $C$13, 100%, $E$13)</f>
        <v>13.728</v>
      </c>
      <c r="G750" s="67">
        <f>13.7327 * CHOOSE(CONTROL!$C$26, $C$13, 100%, $E$13)</f>
        <v>13.732699999999999</v>
      </c>
      <c r="H750" s="67">
        <f>25.8912* CHOOSE(CONTROL!$C$26, $C$13, 100%, $E$13)</f>
        <v>25.891200000000001</v>
      </c>
      <c r="I750" s="67">
        <f>25.896 * CHOOSE(CONTROL!$C$26, $C$13, 100%, $E$13)</f>
        <v>25.896000000000001</v>
      </c>
      <c r="J750" s="67">
        <f>13.728 * CHOOSE(CONTROL!$C$26, $C$13, 100%, $E$13)</f>
        <v>13.728</v>
      </c>
      <c r="K750" s="67">
        <f>13.7327 * CHOOSE(CONTROL!$C$26, $C$13, 100%, $E$13)</f>
        <v>13.732699999999999</v>
      </c>
    </row>
    <row r="751" spans="1:11" ht="15">
      <c r="A751" s="13">
        <v>63979</v>
      </c>
      <c r="B751" s="66">
        <f>12.1881 * CHOOSE(CONTROL!$C$26, $C$13, 100%, $E$13)</f>
        <v>12.1881</v>
      </c>
      <c r="C751" s="66">
        <f>12.1881 * CHOOSE(CONTROL!$C$26, $C$13, 100%, $E$13)</f>
        <v>12.1881</v>
      </c>
      <c r="D751" s="66">
        <f>12.192 * CHOOSE(CONTROL!$C$26, $C$13, 100%, $E$13)</f>
        <v>12.192</v>
      </c>
      <c r="E751" s="67">
        <f>13.9191 * CHOOSE(CONTROL!$C$26, $C$13, 100%, $E$13)</f>
        <v>13.9191</v>
      </c>
      <c r="F751" s="67">
        <f>13.9191 * CHOOSE(CONTROL!$C$26, $C$13, 100%, $E$13)</f>
        <v>13.9191</v>
      </c>
      <c r="G751" s="67">
        <f>13.9238 * CHOOSE(CONTROL!$C$26, $C$13, 100%, $E$13)</f>
        <v>13.9238</v>
      </c>
      <c r="H751" s="67">
        <f>25.9451* CHOOSE(CONTROL!$C$26, $C$13, 100%, $E$13)</f>
        <v>25.9451</v>
      </c>
      <c r="I751" s="67">
        <f>25.9499 * CHOOSE(CONTROL!$C$26, $C$13, 100%, $E$13)</f>
        <v>25.9499</v>
      </c>
      <c r="J751" s="67">
        <f>13.9191 * CHOOSE(CONTROL!$C$26, $C$13, 100%, $E$13)</f>
        <v>13.9191</v>
      </c>
      <c r="K751" s="67">
        <f>13.9238 * CHOOSE(CONTROL!$C$26, $C$13, 100%, $E$13)</f>
        <v>13.9238</v>
      </c>
    </row>
    <row r="752" spans="1:11" ht="15">
      <c r="A752" s="13">
        <v>64010</v>
      </c>
      <c r="B752" s="66">
        <f>12.1926 * CHOOSE(CONTROL!$C$26, $C$13, 100%, $E$13)</f>
        <v>12.192600000000001</v>
      </c>
      <c r="C752" s="66">
        <f>12.1926 * CHOOSE(CONTROL!$C$26, $C$13, 100%, $E$13)</f>
        <v>12.192600000000001</v>
      </c>
      <c r="D752" s="66">
        <f>12.1965 * CHOOSE(CONTROL!$C$26, $C$13, 100%, $E$13)</f>
        <v>12.1965</v>
      </c>
      <c r="E752" s="67">
        <f>14.1223 * CHOOSE(CONTROL!$C$26, $C$13, 100%, $E$13)</f>
        <v>14.122299999999999</v>
      </c>
      <c r="F752" s="67">
        <f>14.1223 * CHOOSE(CONTROL!$C$26, $C$13, 100%, $E$13)</f>
        <v>14.122299999999999</v>
      </c>
      <c r="G752" s="67">
        <f>14.1271 * CHOOSE(CONTROL!$C$26, $C$13, 100%, $E$13)</f>
        <v>14.1271</v>
      </c>
      <c r="H752" s="67">
        <f>25.9992* CHOOSE(CONTROL!$C$26, $C$13, 100%, $E$13)</f>
        <v>25.999199999999998</v>
      </c>
      <c r="I752" s="67">
        <f>26.004 * CHOOSE(CONTROL!$C$26, $C$13, 100%, $E$13)</f>
        <v>26.004000000000001</v>
      </c>
      <c r="J752" s="67">
        <f>14.1223 * CHOOSE(CONTROL!$C$26, $C$13, 100%, $E$13)</f>
        <v>14.122299999999999</v>
      </c>
      <c r="K752" s="67">
        <f>14.1271 * CHOOSE(CONTROL!$C$26, $C$13, 100%, $E$13)</f>
        <v>14.1271</v>
      </c>
    </row>
    <row r="753" spans="1:11" ht="15">
      <c r="A753" s="13">
        <v>64040</v>
      </c>
      <c r="B753" s="66">
        <f>12.1926 * CHOOSE(CONTROL!$C$26, $C$13, 100%, $E$13)</f>
        <v>12.192600000000001</v>
      </c>
      <c r="C753" s="66">
        <f>12.1926 * CHOOSE(CONTROL!$C$26, $C$13, 100%, $E$13)</f>
        <v>12.192600000000001</v>
      </c>
      <c r="D753" s="66">
        <f>12.1981 * CHOOSE(CONTROL!$C$26, $C$13, 100%, $E$13)</f>
        <v>12.1981</v>
      </c>
      <c r="E753" s="67">
        <f>14.2001 * CHOOSE(CONTROL!$C$26, $C$13, 100%, $E$13)</f>
        <v>14.200100000000001</v>
      </c>
      <c r="F753" s="67">
        <f>14.2001 * CHOOSE(CONTROL!$C$26, $C$13, 100%, $E$13)</f>
        <v>14.200100000000001</v>
      </c>
      <c r="G753" s="67">
        <f>14.2069 * CHOOSE(CONTROL!$C$26, $C$13, 100%, $E$13)</f>
        <v>14.206899999999999</v>
      </c>
      <c r="H753" s="67">
        <f>26.0533* CHOOSE(CONTROL!$C$26, $C$13, 100%, $E$13)</f>
        <v>26.0533</v>
      </c>
      <c r="I753" s="67">
        <f>26.0601 * CHOOSE(CONTROL!$C$26, $C$13, 100%, $E$13)</f>
        <v>26.060099999999998</v>
      </c>
      <c r="J753" s="67">
        <f>14.2001 * CHOOSE(CONTROL!$C$26, $C$13, 100%, $E$13)</f>
        <v>14.200100000000001</v>
      </c>
      <c r="K753" s="67">
        <f>14.2069 * CHOOSE(CONTROL!$C$26, $C$13, 100%, $E$13)</f>
        <v>14.206899999999999</v>
      </c>
    </row>
    <row r="754" spans="1:11" ht="15">
      <c r="A754" s="13">
        <v>64071</v>
      </c>
      <c r="B754" s="66">
        <f>12.1987 * CHOOSE(CONTROL!$C$26, $C$13, 100%, $E$13)</f>
        <v>12.198700000000001</v>
      </c>
      <c r="C754" s="66">
        <f>12.1987 * CHOOSE(CONTROL!$C$26, $C$13, 100%, $E$13)</f>
        <v>12.198700000000001</v>
      </c>
      <c r="D754" s="66">
        <f>12.2042 * CHOOSE(CONTROL!$C$26, $C$13, 100%, $E$13)</f>
        <v>12.2042</v>
      </c>
      <c r="E754" s="67">
        <f>14.1266 * CHOOSE(CONTROL!$C$26, $C$13, 100%, $E$13)</f>
        <v>14.1266</v>
      </c>
      <c r="F754" s="67">
        <f>14.1266 * CHOOSE(CONTROL!$C$26, $C$13, 100%, $E$13)</f>
        <v>14.1266</v>
      </c>
      <c r="G754" s="67">
        <f>14.1333 * CHOOSE(CONTROL!$C$26, $C$13, 100%, $E$13)</f>
        <v>14.1333</v>
      </c>
      <c r="H754" s="67">
        <f>26.1076* CHOOSE(CONTROL!$C$26, $C$13, 100%, $E$13)</f>
        <v>26.107600000000001</v>
      </c>
      <c r="I754" s="67">
        <f>26.1144 * CHOOSE(CONTROL!$C$26, $C$13, 100%, $E$13)</f>
        <v>26.1144</v>
      </c>
      <c r="J754" s="67">
        <f>14.1266 * CHOOSE(CONTROL!$C$26, $C$13, 100%, $E$13)</f>
        <v>14.1266</v>
      </c>
      <c r="K754" s="67">
        <f>14.1333 * CHOOSE(CONTROL!$C$26, $C$13, 100%, $E$13)</f>
        <v>14.1333</v>
      </c>
    </row>
    <row r="755" spans="1:11" ht="15">
      <c r="A755" s="13">
        <v>64101</v>
      </c>
      <c r="B755" s="66">
        <f>12.385 * CHOOSE(CONTROL!$C$26, $C$13, 100%, $E$13)</f>
        <v>12.385</v>
      </c>
      <c r="C755" s="66">
        <f>12.385 * CHOOSE(CONTROL!$C$26, $C$13, 100%, $E$13)</f>
        <v>12.385</v>
      </c>
      <c r="D755" s="66">
        <f>12.3905 * CHOOSE(CONTROL!$C$26, $C$13, 100%, $E$13)</f>
        <v>12.390499999999999</v>
      </c>
      <c r="E755" s="67">
        <f>14.3527 * CHOOSE(CONTROL!$C$26, $C$13, 100%, $E$13)</f>
        <v>14.3527</v>
      </c>
      <c r="F755" s="67">
        <f>14.3527 * CHOOSE(CONTROL!$C$26, $C$13, 100%, $E$13)</f>
        <v>14.3527</v>
      </c>
      <c r="G755" s="67">
        <f>14.3594 * CHOOSE(CONTROL!$C$26, $C$13, 100%, $E$13)</f>
        <v>14.359400000000001</v>
      </c>
      <c r="H755" s="67">
        <f>26.162* CHOOSE(CONTROL!$C$26, $C$13, 100%, $E$13)</f>
        <v>26.161999999999999</v>
      </c>
      <c r="I755" s="67">
        <f>26.1688 * CHOOSE(CONTROL!$C$26, $C$13, 100%, $E$13)</f>
        <v>26.168800000000001</v>
      </c>
      <c r="J755" s="67">
        <f>14.3527 * CHOOSE(CONTROL!$C$26, $C$13, 100%, $E$13)</f>
        <v>14.3527</v>
      </c>
      <c r="K755" s="67">
        <f>14.3594 * CHOOSE(CONTROL!$C$26, $C$13, 100%, $E$13)</f>
        <v>14.359400000000001</v>
      </c>
    </row>
    <row r="756" spans="1:11" ht="15">
      <c r="A756" s="13">
        <v>64132</v>
      </c>
      <c r="B756" s="66">
        <f>12.3917 * CHOOSE(CONTROL!$C$26, $C$13, 100%, $E$13)</f>
        <v>12.3917</v>
      </c>
      <c r="C756" s="66">
        <f>12.3917 * CHOOSE(CONTROL!$C$26, $C$13, 100%, $E$13)</f>
        <v>12.3917</v>
      </c>
      <c r="D756" s="66">
        <f>12.3972 * CHOOSE(CONTROL!$C$26, $C$13, 100%, $E$13)</f>
        <v>12.3972</v>
      </c>
      <c r="E756" s="67">
        <f>14.1239 * CHOOSE(CONTROL!$C$26, $C$13, 100%, $E$13)</f>
        <v>14.123900000000001</v>
      </c>
      <c r="F756" s="67">
        <f>14.1239 * CHOOSE(CONTROL!$C$26, $C$13, 100%, $E$13)</f>
        <v>14.123900000000001</v>
      </c>
      <c r="G756" s="67">
        <f>14.1307 * CHOOSE(CONTROL!$C$26, $C$13, 100%, $E$13)</f>
        <v>14.130699999999999</v>
      </c>
      <c r="H756" s="67">
        <f>26.2165* CHOOSE(CONTROL!$C$26, $C$13, 100%, $E$13)</f>
        <v>26.2165</v>
      </c>
      <c r="I756" s="67">
        <f>26.2233 * CHOOSE(CONTROL!$C$26, $C$13, 100%, $E$13)</f>
        <v>26.223299999999998</v>
      </c>
      <c r="J756" s="67">
        <f>14.1239 * CHOOSE(CONTROL!$C$26, $C$13, 100%, $E$13)</f>
        <v>14.123900000000001</v>
      </c>
      <c r="K756" s="67">
        <f>14.1307 * CHOOSE(CONTROL!$C$26, $C$13, 100%, $E$13)</f>
        <v>14.130699999999999</v>
      </c>
    </row>
    <row r="757" spans="1:11" ht="15">
      <c r="A757" s="13">
        <v>64163</v>
      </c>
      <c r="B757" s="66">
        <f>12.3886 * CHOOSE(CONTROL!$C$26, $C$13, 100%, $E$13)</f>
        <v>12.3886</v>
      </c>
      <c r="C757" s="66">
        <f>12.3886 * CHOOSE(CONTROL!$C$26, $C$13, 100%, $E$13)</f>
        <v>12.3886</v>
      </c>
      <c r="D757" s="66">
        <f>12.3941 * CHOOSE(CONTROL!$C$26, $C$13, 100%, $E$13)</f>
        <v>12.3941</v>
      </c>
      <c r="E757" s="67">
        <f>14.0959 * CHOOSE(CONTROL!$C$26, $C$13, 100%, $E$13)</f>
        <v>14.0959</v>
      </c>
      <c r="F757" s="67">
        <f>14.0959 * CHOOSE(CONTROL!$C$26, $C$13, 100%, $E$13)</f>
        <v>14.0959</v>
      </c>
      <c r="G757" s="67">
        <f>14.1026 * CHOOSE(CONTROL!$C$26, $C$13, 100%, $E$13)</f>
        <v>14.102600000000001</v>
      </c>
      <c r="H757" s="67">
        <f>26.2711* CHOOSE(CONTROL!$C$26, $C$13, 100%, $E$13)</f>
        <v>26.271100000000001</v>
      </c>
      <c r="I757" s="67">
        <f>26.2779 * CHOOSE(CONTROL!$C$26, $C$13, 100%, $E$13)</f>
        <v>26.277899999999999</v>
      </c>
      <c r="J757" s="67">
        <f>14.0959 * CHOOSE(CONTROL!$C$26, $C$13, 100%, $E$13)</f>
        <v>14.0959</v>
      </c>
      <c r="K757" s="67">
        <f>14.1026 * CHOOSE(CONTROL!$C$26, $C$13, 100%, $E$13)</f>
        <v>14.102600000000001</v>
      </c>
    </row>
    <row r="758" spans="1:11" ht="15">
      <c r="A758" s="13">
        <v>64193</v>
      </c>
      <c r="B758" s="66">
        <f>12.4108 * CHOOSE(CONTROL!$C$26, $C$13, 100%, $E$13)</f>
        <v>12.4108</v>
      </c>
      <c r="C758" s="66">
        <f>12.4108 * CHOOSE(CONTROL!$C$26, $C$13, 100%, $E$13)</f>
        <v>12.4108</v>
      </c>
      <c r="D758" s="66">
        <f>12.4146 * CHOOSE(CONTROL!$C$26, $C$13, 100%, $E$13)</f>
        <v>12.4146</v>
      </c>
      <c r="E758" s="67">
        <f>14.1862 * CHOOSE(CONTROL!$C$26, $C$13, 100%, $E$13)</f>
        <v>14.186199999999999</v>
      </c>
      <c r="F758" s="67">
        <f>14.1862 * CHOOSE(CONTROL!$C$26, $C$13, 100%, $E$13)</f>
        <v>14.186199999999999</v>
      </c>
      <c r="G758" s="67">
        <f>14.191 * CHOOSE(CONTROL!$C$26, $C$13, 100%, $E$13)</f>
        <v>14.191000000000001</v>
      </c>
      <c r="H758" s="67">
        <f>26.3259* CHOOSE(CONTROL!$C$26, $C$13, 100%, $E$13)</f>
        <v>26.325900000000001</v>
      </c>
      <c r="I758" s="67">
        <f>26.3306 * CHOOSE(CONTROL!$C$26, $C$13, 100%, $E$13)</f>
        <v>26.3306</v>
      </c>
      <c r="J758" s="67">
        <f>14.1862 * CHOOSE(CONTROL!$C$26, $C$13, 100%, $E$13)</f>
        <v>14.186199999999999</v>
      </c>
      <c r="K758" s="67">
        <f>14.191 * CHOOSE(CONTROL!$C$26, $C$13, 100%, $E$13)</f>
        <v>14.191000000000001</v>
      </c>
    </row>
    <row r="759" spans="1:11" ht="15">
      <c r="A759" s="13">
        <v>64224</v>
      </c>
      <c r="B759" s="66">
        <f>12.4138 * CHOOSE(CONTROL!$C$26, $C$13, 100%, $E$13)</f>
        <v>12.4138</v>
      </c>
      <c r="C759" s="66">
        <f>12.4138 * CHOOSE(CONTROL!$C$26, $C$13, 100%, $E$13)</f>
        <v>12.4138</v>
      </c>
      <c r="D759" s="66">
        <f>12.4177 * CHOOSE(CONTROL!$C$26, $C$13, 100%, $E$13)</f>
        <v>12.4177</v>
      </c>
      <c r="E759" s="67">
        <f>14.2402 * CHOOSE(CONTROL!$C$26, $C$13, 100%, $E$13)</f>
        <v>14.2402</v>
      </c>
      <c r="F759" s="67">
        <f>14.2402 * CHOOSE(CONTROL!$C$26, $C$13, 100%, $E$13)</f>
        <v>14.2402</v>
      </c>
      <c r="G759" s="67">
        <f>14.245 * CHOOSE(CONTROL!$C$26, $C$13, 100%, $E$13)</f>
        <v>14.244999999999999</v>
      </c>
      <c r="H759" s="67">
        <f>26.3807* CHOOSE(CONTROL!$C$26, $C$13, 100%, $E$13)</f>
        <v>26.380700000000001</v>
      </c>
      <c r="I759" s="67">
        <f>26.3855 * CHOOSE(CONTROL!$C$26, $C$13, 100%, $E$13)</f>
        <v>26.3855</v>
      </c>
      <c r="J759" s="67">
        <f>14.2402 * CHOOSE(CONTROL!$C$26, $C$13, 100%, $E$13)</f>
        <v>14.2402</v>
      </c>
      <c r="K759" s="67">
        <f>14.245 * CHOOSE(CONTROL!$C$26, $C$13, 100%, $E$13)</f>
        <v>14.244999999999999</v>
      </c>
    </row>
    <row r="760" spans="1:11" ht="15">
      <c r="A760" s="13">
        <v>64254</v>
      </c>
      <c r="B760" s="66">
        <f>12.4138 * CHOOSE(CONTROL!$C$26, $C$13, 100%, $E$13)</f>
        <v>12.4138</v>
      </c>
      <c r="C760" s="66">
        <f>12.4138 * CHOOSE(CONTROL!$C$26, $C$13, 100%, $E$13)</f>
        <v>12.4138</v>
      </c>
      <c r="D760" s="66">
        <f>12.4177 * CHOOSE(CONTROL!$C$26, $C$13, 100%, $E$13)</f>
        <v>12.4177</v>
      </c>
      <c r="E760" s="67">
        <f>14.1105 * CHOOSE(CONTROL!$C$26, $C$13, 100%, $E$13)</f>
        <v>14.1105</v>
      </c>
      <c r="F760" s="67">
        <f>14.1105 * CHOOSE(CONTROL!$C$26, $C$13, 100%, $E$13)</f>
        <v>14.1105</v>
      </c>
      <c r="G760" s="67">
        <f>14.1153 * CHOOSE(CONTROL!$C$26, $C$13, 100%, $E$13)</f>
        <v>14.1153</v>
      </c>
      <c r="H760" s="67">
        <f>26.4357* CHOOSE(CONTROL!$C$26, $C$13, 100%, $E$13)</f>
        <v>26.435700000000001</v>
      </c>
      <c r="I760" s="67">
        <f>26.4404 * CHOOSE(CONTROL!$C$26, $C$13, 100%, $E$13)</f>
        <v>26.4404</v>
      </c>
      <c r="J760" s="67">
        <f>14.1105 * CHOOSE(CONTROL!$C$26, $C$13, 100%, $E$13)</f>
        <v>14.1105</v>
      </c>
      <c r="K760" s="67">
        <f>14.1153 * CHOOSE(CONTROL!$C$26, $C$13, 100%, $E$13)</f>
        <v>14.1153</v>
      </c>
    </row>
    <row r="761" spans="1:11" ht="15">
      <c r="A761" s="13">
        <v>64285</v>
      </c>
      <c r="B761" s="66">
        <f>12.4297 * CHOOSE(CONTROL!$C$26, $C$13, 100%, $E$13)</f>
        <v>12.4297</v>
      </c>
      <c r="C761" s="66">
        <f>12.4297 * CHOOSE(CONTROL!$C$26, $C$13, 100%, $E$13)</f>
        <v>12.4297</v>
      </c>
      <c r="D761" s="66">
        <f>12.4336 * CHOOSE(CONTROL!$C$26, $C$13, 100%, $E$13)</f>
        <v>12.4336</v>
      </c>
      <c r="E761" s="67">
        <f>14.2299 * CHOOSE(CONTROL!$C$26, $C$13, 100%, $E$13)</f>
        <v>14.229900000000001</v>
      </c>
      <c r="F761" s="67">
        <f>14.2299 * CHOOSE(CONTROL!$C$26, $C$13, 100%, $E$13)</f>
        <v>14.229900000000001</v>
      </c>
      <c r="G761" s="67">
        <f>14.2347 * CHOOSE(CONTROL!$C$26, $C$13, 100%, $E$13)</f>
        <v>14.2347</v>
      </c>
      <c r="H761" s="67">
        <f>26.3199* CHOOSE(CONTROL!$C$26, $C$13, 100%, $E$13)</f>
        <v>26.319900000000001</v>
      </c>
      <c r="I761" s="67">
        <f>26.3247 * CHOOSE(CONTROL!$C$26, $C$13, 100%, $E$13)</f>
        <v>26.3247</v>
      </c>
      <c r="J761" s="67">
        <f>14.2299 * CHOOSE(CONTROL!$C$26, $C$13, 100%, $E$13)</f>
        <v>14.229900000000001</v>
      </c>
      <c r="K761" s="67">
        <f>14.2347 * CHOOSE(CONTROL!$C$26, $C$13, 100%, $E$13)</f>
        <v>14.2347</v>
      </c>
    </row>
    <row r="762" spans="1:11" ht="15">
      <c r="A762" s="13">
        <v>64316</v>
      </c>
      <c r="B762" s="66">
        <f>12.4267 * CHOOSE(CONTROL!$C$26, $C$13, 100%, $E$13)</f>
        <v>12.4267</v>
      </c>
      <c r="C762" s="66">
        <f>12.4267 * CHOOSE(CONTROL!$C$26, $C$13, 100%, $E$13)</f>
        <v>12.4267</v>
      </c>
      <c r="D762" s="66">
        <f>12.4306 * CHOOSE(CONTROL!$C$26, $C$13, 100%, $E$13)</f>
        <v>12.4306</v>
      </c>
      <c r="E762" s="67">
        <f>13.9777 * CHOOSE(CONTROL!$C$26, $C$13, 100%, $E$13)</f>
        <v>13.9777</v>
      </c>
      <c r="F762" s="67">
        <f>13.9777 * CHOOSE(CONTROL!$C$26, $C$13, 100%, $E$13)</f>
        <v>13.9777</v>
      </c>
      <c r="G762" s="67">
        <f>13.9825 * CHOOSE(CONTROL!$C$26, $C$13, 100%, $E$13)</f>
        <v>13.9825</v>
      </c>
      <c r="H762" s="67">
        <f>26.3747* CHOOSE(CONTROL!$C$26, $C$13, 100%, $E$13)</f>
        <v>26.374700000000001</v>
      </c>
      <c r="I762" s="67">
        <f>26.3795 * CHOOSE(CONTROL!$C$26, $C$13, 100%, $E$13)</f>
        <v>26.3795</v>
      </c>
      <c r="J762" s="67">
        <f>13.9777 * CHOOSE(CONTROL!$C$26, $C$13, 100%, $E$13)</f>
        <v>13.9777</v>
      </c>
      <c r="K762" s="67">
        <f>13.9825 * CHOOSE(CONTROL!$C$26, $C$13, 100%, $E$13)</f>
        <v>13.9825</v>
      </c>
    </row>
    <row r="763" spans="1:11" ht="15">
      <c r="A763" s="13">
        <v>64345</v>
      </c>
      <c r="B763" s="66">
        <f>12.4237 * CHOOSE(CONTROL!$C$26, $C$13, 100%, $E$13)</f>
        <v>12.4237</v>
      </c>
      <c r="C763" s="66">
        <f>12.4237 * CHOOSE(CONTROL!$C$26, $C$13, 100%, $E$13)</f>
        <v>12.4237</v>
      </c>
      <c r="D763" s="66">
        <f>12.4275 * CHOOSE(CONTROL!$C$26, $C$13, 100%, $E$13)</f>
        <v>12.4275</v>
      </c>
      <c r="E763" s="67">
        <f>14.1727 * CHOOSE(CONTROL!$C$26, $C$13, 100%, $E$13)</f>
        <v>14.172700000000001</v>
      </c>
      <c r="F763" s="67">
        <f>14.1727 * CHOOSE(CONTROL!$C$26, $C$13, 100%, $E$13)</f>
        <v>14.172700000000001</v>
      </c>
      <c r="G763" s="67">
        <f>14.1775 * CHOOSE(CONTROL!$C$26, $C$13, 100%, $E$13)</f>
        <v>14.1775</v>
      </c>
      <c r="H763" s="67">
        <f>26.4297* CHOOSE(CONTROL!$C$26, $C$13, 100%, $E$13)</f>
        <v>26.4297</v>
      </c>
      <c r="I763" s="67">
        <f>26.4345 * CHOOSE(CONTROL!$C$26, $C$13, 100%, $E$13)</f>
        <v>26.4345</v>
      </c>
      <c r="J763" s="67">
        <f>14.1727 * CHOOSE(CONTROL!$C$26, $C$13, 100%, $E$13)</f>
        <v>14.172700000000001</v>
      </c>
      <c r="K763" s="67">
        <f>14.1775 * CHOOSE(CONTROL!$C$26, $C$13, 100%, $E$13)</f>
        <v>14.1775</v>
      </c>
    </row>
    <row r="764" spans="1:11" ht="15">
      <c r="A764" s="13">
        <v>64376</v>
      </c>
      <c r="B764" s="66">
        <f>12.4284 * CHOOSE(CONTROL!$C$26, $C$13, 100%, $E$13)</f>
        <v>12.4284</v>
      </c>
      <c r="C764" s="66">
        <f>12.4284 * CHOOSE(CONTROL!$C$26, $C$13, 100%, $E$13)</f>
        <v>12.4284</v>
      </c>
      <c r="D764" s="66">
        <f>12.4323 * CHOOSE(CONTROL!$C$26, $C$13, 100%, $E$13)</f>
        <v>12.4323</v>
      </c>
      <c r="E764" s="67">
        <f>14.3802 * CHOOSE(CONTROL!$C$26, $C$13, 100%, $E$13)</f>
        <v>14.3802</v>
      </c>
      <c r="F764" s="67">
        <f>14.3802 * CHOOSE(CONTROL!$C$26, $C$13, 100%, $E$13)</f>
        <v>14.3802</v>
      </c>
      <c r="G764" s="67">
        <f>14.3849 * CHOOSE(CONTROL!$C$26, $C$13, 100%, $E$13)</f>
        <v>14.3849</v>
      </c>
      <c r="H764" s="67">
        <f>26.4848* CHOOSE(CONTROL!$C$26, $C$13, 100%, $E$13)</f>
        <v>26.4848</v>
      </c>
      <c r="I764" s="67">
        <f>26.4895 * CHOOSE(CONTROL!$C$26, $C$13, 100%, $E$13)</f>
        <v>26.4895</v>
      </c>
      <c r="J764" s="67">
        <f>14.3802 * CHOOSE(CONTROL!$C$26, $C$13, 100%, $E$13)</f>
        <v>14.3802</v>
      </c>
      <c r="K764" s="67">
        <f>14.3849 * CHOOSE(CONTROL!$C$26, $C$13, 100%, $E$13)</f>
        <v>14.3849</v>
      </c>
    </row>
    <row r="765" spans="1:11" ht="15">
      <c r="A765" s="13">
        <v>64406</v>
      </c>
      <c r="B765" s="66">
        <f>12.4284 * CHOOSE(CONTROL!$C$26, $C$13, 100%, $E$13)</f>
        <v>12.4284</v>
      </c>
      <c r="C765" s="66">
        <f>12.4284 * CHOOSE(CONTROL!$C$26, $C$13, 100%, $E$13)</f>
        <v>12.4284</v>
      </c>
      <c r="D765" s="66">
        <f>12.4339 * CHOOSE(CONTROL!$C$26, $C$13, 100%, $E$13)</f>
        <v>12.4339</v>
      </c>
      <c r="E765" s="67">
        <f>14.4596 * CHOOSE(CONTROL!$C$26, $C$13, 100%, $E$13)</f>
        <v>14.4596</v>
      </c>
      <c r="F765" s="67">
        <f>14.4596 * CHOOSE(CONTROL!$C$26, $C$13, 100%, $E$13)</f>
        <v>14.4596</v>
      </c>
      <c r="G765" s="67">
        <f>14.4663 * CHOOSE(CONTROL!$C$26, $C$13, 100%, $E$13)</f>
        <v>14.4663</v>
      </c>
      <c r="H765" s="67">
        <f>26.5399* CHOOSE(CONTROL!$C$26, $C$13, 100%, $E$13)</f>
        <v>26.539899999999999</v>
      </c>
      <c r="I765" s="67">
        <f>26.5467 * CHOOSE(CONTROL!$C$26, $C$13, 100%, $E$13)</f>
        <v>26.546700000000001</v>
      </c>
      <c r="J765" s="67">
        <f>14.4596 * CHOOSE(CONTROL!$C$26, $C$13, 100%, $E$13)</f>
        <v>14.4596</v>
      </c>
      <c r="K765" s="67">
        <f>14.4663 * CHOOSE(CONTROL!$C$26, $C$13, 100%, $E$13)</f>
        <v>14.4663</v>
      </c>
    </row>
    <row r="766" spans="1:11" ht="15">
      <c r="A766" s="13">
        <v>64437</v>
      </c>
      <c r="B766" s="66">
        <f>12.4345 * CHOOSE(CONTROL!$C$26, $C$13, 100%, $E$13)</f>
        <v>12.4345</v>
      </c>
      <c r="C766" s="66">
        <f>12.4345 * CHOOSE(CONTROL!$C$26, $C$13, 100%, $E$13)</f>
        <v>12.4345</v>
      </c>
      <c r="D766" s="66">
        <f>12.44 * CHOOSE(CONTROL!$C$26, $C$13, 100%, $E$13)</f>
        <v>12.44</v>
      </c>
      <c r="E766" s="67">
        <f>14.3844 * CHOOSE(CONTROL!$C$26, $C$13, 100%, $E$13)</f>
        <v>14.384399999999999</v>
      </c>
      <c r="F766" s="67">
        <f>14.3844 * CHOOSE(CONTROL!$C$26, $C$13, 100%, $E$13)</f>
        <v>14.384399999999999</v>
      </c>
      <c r="G766" s="67">
        <f>14.3912 * CHOOSE(CONTROL!$C$26, $C$13, 100%, $E$13)</f>
        <v>14.3912</v>
      </c>
      <c r="H766" s="67">
        <f>26.5952* CHOOSE(CONTROL!$C$26, $C$13, 100%, $E$13)</f>
        <v>26.595199999999998</v>
      </c>
      <c r="I766" s="67">
        <f>26.602 * CHOOSE(CONTROL!$C$26, $C$13, 100%, $E$13)</f>
        <v>26.602</v>
      </c>
      <c r="J766" s="67">
        <f>14.3844 * CHOOSE(CONTROL!$C$26, $C$13, 100%, $E$13)</f>
        <v>14.384399999999999</v>
      </c>
      <c r="K766" s="67">
        <f>14.3912 * CHOOSE(CONTROL!$C$26, $C$13, 100%, $E$13)</f>
        <v>14.3912</v>
      </c>
    </row>
    <row r="767" spans="1:11" ht="15">
      <c r="A767" s="13">
        <v>64467</v>
      </c>
      <c r="B767" s="66">
        <f>12.6242 * CHOOSE(CONTROL!$C$26, $C$13, 100%, $E$13)</f>
        <v>12.6242</v>
      </c>
      <c r="C767" s="66">
        <f>12.6242 * CHOOSE(CONTROL!$C$26, $C$13, 100%, $E$13)</f>
        <v>12.6242</v>
      </c>
      <c r="D767" s="66">
        <f>12.6297 * CHOOSE(CONTROL!$C$26, $C$13, 100%, $E$13)</f>
        <v>12.6297</v>
      </c>
      <c r="E767" s="67">
        <f>14.6145 * CHOOSE(CONTROL!$C$26, $C$13, 100%, $E$13)</f>
        <v>14.6145</v>
      </c>
      <c r="F767" s="67">
        <f>14.6145 * CHOOSE(CONTROL!$C$26, $C$13, 100%, $E$13)</f>
        <v>14.6145</v>
      </c>
      <c r="G767" s="67">
        <f>14.6212 * CHOOSE(CONTROL!$C$26, $C$13, 100%, $E$13)</f>
        <v>14.6212</v>
      </c>
      <c r="H767" s="67">
        <f>26.6506* CHOOSE(CONTROL!$C$26, $C$13, 100%, $E$13)</f>
        <v>26.650600000000001</v>
      </c>
      <c r="I767" s="67">
        <f>26.6574 * CHOOSE(CONTROL!$C$26, $C$13, 100%, $E$13)</f>
        <v>26.657399999999999</v>
      </c>
      <c r="J767" s="67">
        <f>14.6145 * CHOOSE(CONTROL!$C$26, $C$13, 100%, $E$13)</f>
        <v>14.6145</v>
      </c>
      <c r="K767" s="67">
        <f>14.6212 * CHOOSE(CONTROL!$C$26, $C$13, 100%, $E$13)</f>
        <v>14.6212</v>
      </c>
    </row>
    <row r="768" spans="1:11" ht="15">
      <c r="A768" s="13">
        <v>64498</v>
      </c>
      <c r="B768" s="66">
        <f>12.6309 * CHOOSE(CONTROL!$C$26, $C$13, 100%, $E$13)</f>
        <v>12.6309</v>
      </c>
      <c r="C768" s="66">
        <f>12.6309 * CHOOSE(CONTROL!$C$26, $C$13, 100%, $E$13)</f>
        <v>12.6309</v>
      </c>
      <c r="D768" s="66">
        <f>12.6364 * CHOOSE(CONTROL!$C$26, $C$13, 100%, $E$13)</f>
        <v>12.6364</v>
      </c>
      <c r="E768" s="67">
        <f>14.381 * CHOOSE(CONTROL!$C$26, $C$13, 100%, $E$13)</f>
        <v>14.381</v>
      </c>
      <c r="F768" s="67">
        <f>14.381 * CHOOSE(CONTROL!$C$26, $C$13, 100%, $E$13)</f>
        <v>14.381</v>
      </c>
      <c r="G768" s="67">
        <f>14.3877 * CHOOSE(CONTROL!$C$26, $C$13, 100%, $E$13)</f>
        <v>14.387700000000001</v>
      </c>
      <c r="H768" s="67">
        <f>26.7061* CHOOSE(CONTROL!$C$26, $C$13, 100%, $E$13)</f>
        <v>26.706099999999999</v>
      </c>
      <c r="I768" s="67">
        <f>26.7129 * CHOOSE(CONTROL!$C$26, $C$13, 100%, $E$13)</f>
        <v>26.712900000000001</v>
      </c>
      <c r="J768" s="67">
        <f>14.381 * CHOOSE(CONTROL!$C$26, $C$13, 100%, $E$13)</f>
        <v>14.381</v>
      </c>
      <c r="K768" s="67">
        <f>14.3877 * CHOOSE(CONTROL!$C$26, $C$13, 100%, $E$13)</f>
        <v>14.387700000000001</v>
      </c>
    </row>
    <row r="769" spans="1:11" ht="15">
      <c r="A769" s="13">
        <v>64529</v>
      </c>
      <c r="B769" s="66">
        <f>12.6278 * CHOOSE(CONTROL!$C$26, $C$13, 100%, $E$13)</f>
        <v>12.627800000000001</v>
      </c>
      <c r="C769" s="66">
        <f>12.6278 * CHOOSE(CONTROL!$C$26, $C$13, 100%, $E$13)</f>
        <v>12.627800000000001</v>
      </c>
      <c r="D769" s="66">
        <f>12.6333 * CHOOSE(CONTROL!$C$26, $C$13, 100%, $E$13)</f>
        <v>12.6333</v>
      </c>
      <c r="E769" s="67">
        <f>14.3524 * CHOOSE(CONTROL!$C$26, $C$13, 100%, $E$13)</f>
        <v>14.352399999999999</v>
      </c>
      <c r="F769" s="67">
        <f>14.3524 * CHOOSE(CONTROL!$C$26, $C$13, 100%, $E$13)</f>
        <v>14.352399999999999</v>
      </c>
      <c r="G769" s="67">
        <f>14.3591 * CHOOSE(CONTROL!$C$26, $C$13, 100%, $E$13)</f>
        <v>14.3591</v>
      </c>
      <c r="H769" s="67">
        <f>26.7618* CHOOSE(CONTROL!$C$26, $C$13, 100%, $E$13)</f>
        <v>26.761800000000001</v>
      </c>
      <c r="I769" s="67">
        <f>26.7685 * CHOOSE(CONTROL!$C$26, $C$13, 100%, $E$13)</f>
        <v>26.7685</v>
      </c>
      <c r="J769" s="67">
        <f>14.3524 * CHOOSE(CONTROL!$C$26, $C$13, 100%, $E$13)</f>
        <v>14.352399999999999</v>
      </c>
      <c r="K769" s="67">
        <f>14.3591 * CHOOSE(CONTROL!$C$26, $C$13, 100%, $E$13)</f>
        <v>14.3591</v>
      </c>
    </row>
    <row r="770" spans="1:11" ht="15">
      <c r="A770" s="13">
        <v>64559</v>
      </c>
      <c r="B770" s="66">
        <f>12.6507 * CHOOSE(CONTROL!$C$26, $C$13, 100%, $E$13)</f>
        <v>12.650700000000001</v>
      </c>
      <c r="C770" s="66">
        <f>12.6507 * CHOOSE(CONTROL!$C$26, $C$13, 100%, $E$13)</f>
        <v>12.650700000000001</v>
      </c>
      <c r="D770" s="66">
        <f>12.6546 * CHOOSE(CONTROL!$C$26, $C$13, 100%, $E$13)</f>
        <v>12.6546</v>
      </c>
      <c r="E770" s="67">
        <f>14.4448 * CHOOSE(CONTROL!$C$26, $C$13, 100%, $E$13)</f>
        <v>14.444800000000001</v>
      </c>
      <c r="F770" s="67">
        <f>14.4448 * CHOOSE(CONTROL!$C$26, $C$13, 100%, $E$13)</f>
        <v>14.444800000000001</v>
      </c>
      <c r="G770" s="67">
        <f>14.4496 * CHOOSE(CONTROL!$C$26, $C$13, 100%, $E$13)</f>
        <v>14.4496</v>
      </c>
      <c r="H770" s="67">
        <f>26.8175* CHOOSE(CONTROL!$C$26, $C$13, 100%, $E$13)</f>
        <v>26.817499999999999</v>
      </c>
      <c r="I770" s="67">
        <f>26.8223 * CHOOSE(CONTROL!$C$26, $C$13, 100%, $E$13)</f>
        <v>26.822299999999998</v>
      </c>
      <c r="J770" s="67">
        <f>14.4448 * CHOOSE(CONTROL!$C$26, $C$13, 100%, $E$13)</f>
        <v>14.444800000000001</v>
      </c>
      <c r="K770" s="67">
        <f>14.4496 * CHOOSE(CONTROL!$C$26, $C$13, 100%, $E$13)</f>
        <v>14.4496</v>
      </c>
    </row>
    <row r="771" spans="1:11" ht="15">
      <c r="A771" s="13">
        <v>64590</v>
      </c>
      <c r="B771" s="66">
        <f>12.6538 * CHOOSE(CONTROL!$C$26, $C$13, 100%, $E$13)</f>
        <v>12.6538</v>
      </c>
      <c r="C771" s="66">
        <f>12.6538 * CHOOSE(CONTROL!$C$26, $C$13, 100%, $E$13)</f>
        <v>12.6538</v>
      </c>
      <c r="D771" s="66">
        <f>12.6576 * CHOOSE(CONTROL!$C$26, $C$13, 100%, $E$13)</f>
        <v>12.6576</v>
      </c>
      <c r="E771" s="67">
        <f>14.4999 * CHOOSE(CONTROL!$C$26, $C$13, 100%, $E$13)</f>
        <v>14.4999</v>
      </c>
      <c r="F771" s="67">
        <f>14.4999 * CHOOSE(CONTROL!$C$26, $C$13, 100%, $E$13)</f>
        <v>14.4999</v>
      </c>
      <c r="G771" s="67">
        <f>14.5046 * CHOOSE(CONTROL!$C$26, $C$13, 100%, $E$13)</f>
        <v>14.5046</v>
      </c>
      <c r="H771" s="67">
        <f>26.8734* CHOOSE(CONTROL!$C$26, $C$13, 100%, $E$13)</f>
        <v>26.8734</v>
      </c>
      <c r="I771" s="67">
        <f>26.8782 * CHOOSE(CONTROL!$C$26, $C$13, 100%, $E$13)</f>
        <v>26.8782</v>
      </c>
      <c r="J771" s="67">
        <f>14.4999 * CHOOSE(CONTROL!$C$26, $C$13, 100%, $E$13)</f>
        <v>14.4999</v>
      </c>
      <c r="K771" s="67">
        <f>14.5046 * CHOOSE(CONTROL!$C$26, $C$13, 100%, $E$13)</f>
        <v>14.5046</v>
      </c>
    </row>
    <row r="772" spans="1:11" ht="15">
      <c r="A772" s="13">
        <v>64620</v>
      </c>
      <c r="B772" s="66">
        <f>12.6538 * CHOOSE(CONTROL!$C$26, $C$13, 100%, $E$13)</f>
        <v>12.6538</v>
      </c>
      <c r="C772" s="66">
        <f>12.6538 * CHOOSE(CONTROL!$C$26, $C$13, 100%, $E$13)</f>
        <v>12.6538</v>
      </c>
      <c r="D772" s="66">
        <f>12.6576 * CHOOSE(CONTROL!$C$26, $C$13, 100%, $E$13)</f>
        <v>12.6576</v>
      </c>
      <c r="E772" s="67">
        <f>14.3676 * CHOOSE(CONTROL!$C$26, $C$13, 100%, $E$13)</f>
        <v>14.367599999999999</v>
      </c>
      <c r="F772" s="67">
        <f>14.3676 * CHOOSE(CONTROL!$C$26, $C$13, 100%, $E$13)</f>
        <v>14.367599999999999</v>
      </c>
      <c r="G772" s="67">
        <f>14.3723 * CHOOSE(CONTROL!$C$26, $C$13, 100%, $E$13)</f>
        <v>14.372299999999999</v>
      </c>
      <c r="H772" s="67">
        <f>26.9294* CHOOSE(CONTROL!$C$26, $C$13, 100%, $E$13)</f>
        <v>26.929400000000001</v>
      </c>
      <c r="I772" s="67">
        <f>26.9342 * CHOOSE(CONTROL!$C$26, $C$13, 100%, $E$13)</f>
        <v>26.934200000000001</v>
      </c>
      <c r="J772" s="67">
        <f>14.3676 * CHOOSE(CONTROL!$C$26, $C$13, 100%, $E$13)</f>
        <v>14.367599999999999</v>
      </c>
      <c r="K772" s="67">
        <f>14.3723 * CHOOSE(CONTROL!$C$26, $C$13, 100%, $E$13)</f>
        <v>14.372299999999999</v>
      </c>
    </row>
    <row r="773" spans="1:11" ht="15">
      <c r="A773" s="13">
        <v>64651</v>
      </c>
      <c r="B773" s="66">
        <f>12.6653 * CHOOSE(CONTROL!$C$26, $C$13, 100%, $E$13)</f>
        <v>12.6653</v>
      </c>
      <c r="C773" s="66">
        <f>12.6653 * CHOOSE(CONTROL!$C$26, $C$13, 100%, $E$13)</f>
        <v>12.6653</v>
      </c>
      <c r="D773" s="66">
        <f>12.6692 * CHOOSE(CONTROL!$C$26, $C$13, 100%, $E$13)</f>
        <v>12.6692</v>
      </c>
      <c r="E773" s="67">
        <f>14.4846 * CHOOSE(CONTROL!$C$26, $C$13, 100%, $E$13)</f>
        <v>14.4846</v>
      </c>
      <c r="F773" s="67">
        <f>14.4846 * CHOOSE(CONTROL!$C$26, $C$13, 100%, $E$13)</f>
        <v>14.4846</v>
      </c>
      <c r="G773" s="67">
        <f>14.4894 * CHOOSE(CONTROL!$C$26, $C$13, 100%, $E$13)</f>
        <v>14.4894</v>
      </c>
      <c r="H773" s="67">
        <f>26.8025* CHOOSE(CONTROL!$C$26, $C$13, 100%, $E$13)</f>
        <v>26.802499999999998</v>
      </c>
      <c r="I773" s="67">
        <f>26.8072 * CHOOSE(CONTROL!$C$26, $C$13, 100%, $E$13)</f>
        <v>26.807200000000002</v>
      </c>
      <c r="J773" s="67">
        <f>14.4846 * CHOOSE(CONTROL!$C$26, $C$13, 100%, $E$13)</f>
        <v>14.4846</v>
      </c>
      <c r="K773" s="67">
        <f>14.4894 * CHOOSE(CONTROL!$C$26, $C$13, 100%, $E$13)</f>
        <v>14.4894</v>
      </c>
    </row>
    <row r="774" spans="1:11" ht="15">
      <c r="A774" s="13">
        <v>64682</v>
      </c>
      <c r="B774" s="66">
        <f>12.6623 * CHOOSE(CONTROL!$C$26, $C$13, 100%, $E$13)</f>
        <v>12.6623</v>
      </c>
      <c r="C774" s="66">
        <f>12.6623 * CHOOSE(CONTROL!$C$26, $C$13, 100%, $E$13)</f>
        <v>12.6623</v>
      </c>
      <c r="D774" s="66">
        <f>12.6661 * CHOOSE(CONTROL!$C$26, $C$13, 100%, $E$13)</f>
        <v>12.6661</v>
      </c>
      <c r="E774" s="67">
        <f>14.2275 * CHOOSE(CONTROL!$C$26, $C$13, 100%, $E$13)</f>
        <v>14.227499999999999</v>
      </c>
      <c r="F774" s="67">
        <f>14.2275 * CHOOSE(CONTROL!$C$26, $C$13, 100%, $E$13)</f>
        <v>14.227499999999999</v>
      </c>
      <c r="G774" s="67">
        <f>14.2323 * CHOOSE(CONTROL!$C$26, $C$13, 100%, $E$13)</f>
        <v>14.2323</v>
      </c>
      <c r="H774" s="67">
        <f>26.8583* CHOOSE(CONTROL!$C$26, $C$13, 100%, $E$13)</f>
        <v>26.8583</v>
      </c>
      <c r="I774" s="67">
        <f>26.8631 * CHOOSE(CONTROL!$C$26, $C$13, 100%, $E$13)</f>
        <v>26.863099999999999</v>
      </c>
      <c r="J774" s="67">
        <f>14.2275 * CHOOSE(CONTROL!$C$26, $C$13, 100%, $E$13)</f>
        <v>14.227499999999999</v>
      </c>
      <c r="K774" s="67">
        <f>14.2323 * CHOOSE(CONTROL!$C$26, $C$13, 100%, $E$13)</f>
        <v>14.2323</v>
      </c>
    </row>
    <row r="775" spans="1:11" ht="15">
      <c r="A775" s="13">
        <v>64710</v>
      </c>
      <c r="B775" s="66">
        <f>12.6592 * CHOOSE(CONTROL!$C$26, $C$13, 100%, $E$13)</f>
        <v>12.6592</v>
      </c>
      <c r="C775" s="66">
        <f>12.6592 * CHOOSE(CONTROL!$C$26, $C$13, 100%, $E$13)</f>
        <v>12.6592</v>
      </c>
      <c r="D775" s="66">
        <f>12.6631 * CHOOSE(CONTROL!$C$26, $C$13, 100%, $E$13)</f>
        <v>12.6631</v>
      </c>
      <c r="E775" s="67">
        <f>14.4264 * CHOOSE(CONTROL!$C$26, $C$13, 100%, $E$13)</f>
        <v>14.426399999999999</v>
      </c>
      <c r="F775" s="67">
        <f>14.4264 * CHOOSE(CONTROL!$C$26, $C$13, 100%, $E$13)</f>
        <v>14.426399999999999</v>
      </c>
      <c r="G775" s="67">
        <f>14.4312 * CHOOSE(CONTROL!$C$26, $C$13, 100%, $E$13)</f>
        <v>14.4312</v>
      </c>
      <c r="H775" s="67">
        <f>26.9143* CHOOSE(CONTROL!$C$26, $C$13, 100%, $E$13)</f>
        <v>26.914300000000001</v>
      </c>
      <c r="I775" s="67">
        <f>26.919 * CHOOSE(CONTROL!$C$26, $C$13, 100%, $E$13)</f>
        <v>26.919</v>
      </c>
      <c r="J775" s="67">
        <f>14.4264 * CHOOSE(CONTROL!$C$26, $C$13, 100%, $E$13)</f>
        <v>14.426399999999999</v>
      </c>
      <c r="K775" s="67">
        <f>14.4312 * CHOOSE(CONTROL!$C$26, $C$13, 100%, $E$13)</f>
        <v>14.4312</v>
      </c>
    </row>
    <row r="776" spans="1:11" ht="15">
      <c r="A776" s="13">
        <v>64741</v>
      </c>
      <c r="B776" s="66">
        <f>12.6642 * CHOOSE(CONTROL!$C$26, $C$13, 100%, $E$13)</f>
        <v>12.664199999999999</v>
      </c>
      <c r="C776" s="66">
        <f>12.6642 * CHOOSE(CONTROL!$C$26, $C$13, 100%, $E$13)</f>
        <v>12.664199999999999</v>
      </c>
      <c r="D776" s="66">
        <f>12.668 * CHOOSE(CONTROL!$C$26, $C$13, 100%, $E$13)</f>
        <v>12.667999999999999</v>
      </c>
      <c r="E776" s="67">
        <f>14.638 * CHOOSE(CONTROL!$C$26, $C$13, 100%, $E$13)</f>
        <v>14.638</v>
      </c>
      <c r="F776" s="67">
        <f>14.638 * CHOOSE(CONTROL!$C$26, $C$13, 100%, $E$13)</f>
        <v>14.638</v>
      </c>
      <c r="G776" s="67">
        <f>14.6428 * CHOOSE(CONTROL!$C$26, $C$13, 100%, $E$13)</f>
        <v>14.642799999999999</v>
      </c>
      <c r="H776" s="67">
        <f>26.9703* CHOOSE(CONTROL!$C$26, $C$13, 100%, $E$13)</f>
        <v>26.970300000000002</v>
      </c>
      <c r="I776" s="67">
        <f>26.9751 * CHOOSE(CONTROL!$C$26, $C$13, 100%, $E$13)</f>
        <v>26.975100000000001</v>
      </c>
      <c r="J776" s="67">
        <f>14.638 * CHOOSE(CONTROL!$C$26, $C$13, 100%, $E$13)</f>
        <v>14.638</v>
      </c>
      <c r="K776" s="67">
        <f>14.6428 * CHOOSE(CONTROL!$C$26, $C$13, 100%, $E$13)</f>
        <v>14.642799999999999</v>
      </c>
    </row>
    <row r="777" spans="1:11" ht="15">
      <c r="A777" s="13">
        <v>64771</v>
      </c>
      <c r="B777" s="66">
        <f>12.6642 * CHOOSE(CONTROL!$C$26, $C$13, 100%, $E$13)</f>
        <v>12.664199999999999</v>
      </c>
      <c r="C777" s="66">
        <f>12.6642 * CHOOSE(CONTROL!$C$26, $C$13, 100%, $E$13)</f>
        <v>12.664199999999999</v>
      </c>
      <c r="D777" s="66">
        <f>12.6697 * CHOOSE(CONTROL!$C$26, $C$13, 100%, $E$13)</f>
        <v>12.669700000000001</v>
      </c>
      <c r="E777" s="67">
        <f>14.719 * CHOOSE(CONTROL!$C$26, $C$13, 100%, $E$13)</f>
        <v>14.718999999999999</v>
      </c>
      <c r="F777" s="67">
        <f>14.719 * CHOOSE(CONTROL!$C$26, $C$13, 100%, $E$13)</f>
        <v>14.718999999999999</v>
      </c>
      <c r="G777" s="67">
        <f>14.7257 * CHOOSE(CONTROL!$C$26, $C$13, 100%, $E$13)</f>
        <v>14.7257</v>
      </c>
      <c r="H777" s="67">
        <f>27.0265* CHOOSE(CONTROL!$C$26, $C$13, 100%, $E$13)</f>
        <v>27.026499999999999</v>
      </c>
      <c r="I777" s="67">
        <f>27.0332 * CHOOSE(CONTROL!$C$26, $C$13, 100%, $E$13)</f>
        <v>27.033200000000001</v>
      </c>
      <c r="J777" s="67">
        <f>14.719 * CHOOSE(CONTROL!$C$26, $C$13, 100%, $E$13)</f>
        <v>14.718999999999999</v>
      </c>
      <c r="K777" s="67">
        <f>14.7257 * CHOOSE(CONTROL!$C$26, $C$13, 100%, $E$13)</f>
        <v>14.7257</v>
      </c>
    </row>
    <row r="778" spans="1:11" ht="15">
      <c r="A778" s="13">
        <v>64802</v>
      </c>
      <c r="B778" s="66">
        <f>12.6702 * CHOOSE(CONTROL!$C$26, $C$13, 100%, $E$13)</f>
        <v>12.670199999999999</v>
      </c>
      <c r="C778" s="66">
        <f>12.6702 * CHOOSE(CONTROL!$C$26, $C$13, 100%, $E$13)</f>
        <v>12.670199999999999</v>
      </c>
      <c r="D778" s="66">
        <f>12.6757 * CHOOSE(CONTROL!$C$26, $C$13, 100%, $E$13)</f>
        <v>12.675700000000001</v>
      </c>
      <c r="E778" s="67">
        <f>14.6423 * CHOOSE(CONTROL!$C$26, $C$13, 100%, $E$13)</f>
        <v>14.642300000000001</v>
      </c>
      <c r="F778" s="67">
        <f>14.6423 * CHOOSE(CONTROL!$C$26, $C$13, 100%, $E$13)</f>
        <v>14.642300000000001</v>
      </c>
      <c r="G778" s="67">
        <f>14.649 * CHOOSE(CONTROL!$C$26, $C$13, 100%, $E$13)</f>
        <v>14.648999999999999</v>
      </c>
      <c r="H778" s="67">
        <f>27.0828* CHOOSE(CONTROL!$C$26, $C$13, 100%, $E$13)</f>
        <v>27.082799999999999</v>
      </c>
      <c r="I778" s="67">
        <f>27.0896 * CHOOSE(CONTROL!$C$26, $C$13, 100%, $E$13)</f>
        <v>27.089600000000001</v>
      </c>
      <c r="J778" s="67">
        <f>14.6423 * CHOOSE(CONTROL!$C$26, $C$13, 100%, $E$13)</f>
        <v>14.642300000000001</v>
      </c>
      <c r="K778" s="67">
        <f>14.649 * CHOOSE(CONTROL!$C$26, $C$13, 100%, $E$13)</f>
        <v>14.648999999999999</v>
      </c>
    </row>
    <row r="779" spans="1:11" ht="15">
      <c r="A779" s="13">
        <v>64832</v>
      </c>
      <c r="B779" s="66">
        <f>12.8633 * CHOOSE(CONTROL!$C$26, $C$13, 100%, $E$13)</f>
        <v>12.863300000000001</v>
      </c>
      <c r="C779" s="66">
        <f>12.8633 * CHOOSE(CONTROL!$C$26, $C$13, 100%, $E$13)</f>
        <v>12.863300000000001</v>
      </c>
      <c r="D779" s="66">
        <f>12.8689 * CHOOSE(CONTROL!$C$26, $C$13, 100%, $E$13)</f>
        <v>12.8689</v>
      </c>
      <c r="E779" s="67">
        <f>14.8762 * CHOOSE(CONTROL!$C$26, $C$13, 100%, $E$13)</f>
        <v>14.876200000000001</v>
      </c>
      <c r="F779" s="67">
        <f>14.8762 * CHOOSE(CONTROL!$C$26, $C$13, 100%, $E$13)</f>
        <v>14.876200000000001</v>
      </c>
      <c r="G779" s="67">
        <f>14.883 * CHOOSE(CONTROL!$C$26, $C$13, 100%, $E$13)</f>
        <v>14.882999999999999</v>
      </c>
      <c r="H779" s="67">
        <f>27.1392* CHOOSE(CONTROL!$C$26, $C$13, 100%, $E$13)</f>
        <v>27.139199999999999</v>
      </c>
      <c r="I779" s="67">
        <f>27.146 * CHOOSE(CONTROL!$C$26, $C$13, 100%, $E$13)</f>
        <v>27.146000000000001</v>
      </c>
      <c r="J779" s="67">
        <f>14.8762 * CHOOSE(CONTROL!$C$26, $C$13, 100%, $E$13)</f>
        <v>14.876200000000001</v>
      </c>
      <c r="K779" s="67">
        <f>14.883 * CHOOSE(CONTROL!$C$26, $C$13, 100%, $E$13)</f>
        <v>14.882999999999999</v>
      </c>
    </row>
    <row r="780" spans="1:11" ht="15">
      <c r="A780" s="13">
        <v>64863</v>
      </c>
      <c r="B780" s="66">
        <f>12.87 * CHOOSE(CONTROL!$C$26, $C$13, 100%, $E$13)</f>
        <v>12.87</v>
      </c>
      <c r="C780" s="66">
        <f>12.87 * CHOOSE(CONTROL!$C$26, $C$13, 100%, $E$13)</f>
        <v>12.87</v>
      </c>
      <c r="D780" s="66">
        <f>12.8755 * CHOOSE(CONTROL!$C$26, $C$13, 100%, $E$13)</f>
        <v>12.875500000000001</v>
      </c>
      <c r="E780" s="67">
        <f>14.6381 * CHOOSE(CONTROL!$C$26, $C$13, 100%, $E$13)</f>
        <v>14.6381</v>
      </c>
      <c r="F780" s="67">
        <f>14.6381 * CHOOSE(CONTROL!$C$26, $C$13, 100%, $E$13)</f>
        <v>14.6381</v>
      </c>
      <c r="G780" s="67">
        <f>14.6448 * CHOOSE(CONTROL!$C$26, $C$13, 100%, $E$13)</f>
        <v>14.6448</v>
      </c>
      <c r="H780" s="67">
        <f>27.1958* CHOOSE(CONTROL!$C$26, $C$13, 100%, $E$13)</f>
        <v>27.195799999999998</v>
      </c>
      <c r="I780" s="67">
        <f>27.2025 * CHOOSE(CONTROL!$C$26, $C$13, 100%, $E$13)</f>
        <v>27.202500000000001</v>
      </c>
      <c r="J780" s="67">
        <f>14.6381 * CHOOSE(CONTROL!$C$26, $C$13, 100%, $E$13)</f>
        <v>14.6381</v>
      </c>
      <c r="K780" s="67">
        <f>14.6448 * CHOOSE(CONTROL!$C$26, $C$13, 100%, $E$13)</f>
        <v>14.6448</v>
      </c>
    </row>
    <row r="781" spans="1:11" ht="15">
      <c r="A781" s="13">
        <v>64894</v>
      </c>
      <c r="B781" s="66">
        <f>12.867 * CHOOSE(CONTROL!$C$26, $C$13, 100%, $E$13)</f>
        <v>12.867000000000001</v>
      </c>
      <c r="C781" s="66">
        <f>12.867 * CHOOSE(CONTROL!$C$26, $C$13, 100%, $E$13)</f>
        <v>12.867000000000001</v>
      </c>
      <c r="D781" s="66">
        <f>12.8725 * CHOOSE(CONTROL!$C$26, $C$13, 100%, $E$13)</f>
        <v>12.8725</v>
      </c>
      <c r="E781" s="67">
        <f>14.609 * CHOOSE(CONTROL!$C$26, $C$13, 100%, $E$13)</f>
        <v>14.609</v>
      </c>
      <c r="F781" s="67">
        <f>14.609 * CHOOSE(CONTROL!$C$26, $C$13, 100%, $E$13)</f>
        <v>14.609</v>
      </c>
      <c r="G781" s="67">
        <f>14.6157 * CHOOSE(CONTROL!$C$26, $C$13, 100%, $E$13)</f>
        <v>14.6157</v>
      </c>
      <c r="H781" s="67">
        <f>27.2524* CHOOSE(CONTROL!$C$26, $C$13, 100%, $E$13)</f>
        <v>27.252400000000002</v>
      </c>
      <c r="I781" s="67">
        <f>27.2592 * CHOOSE(CONTROL!$C$26, $C$13, 100%, $E$13)</f>
        <v>27.2592</v>
      </c>
      <c r="J781" s="67">
        <f>14.609 * CHOOSE(CONTROL!$C$26, $C$13, 100%, $E$13)</f>
        <v>14.609</v>
      </c>
      <c r="K781" s="67">
        <f>14.6157 * CHOOSE(CONTROL!$C$26, $C$13, 100%, $E$13)</f>
        <v>14.6157</v>
      </c>
    </row>
    <row r="782" spans="1:11" ht="15">
      <c r="A782" s="13">
        <v>64924</v>
      </c>
      <c r="B782" s="66">
        <f>12.8907 * CHOOSE(CONTROL!$C$26, $C$13, 100%, $E$13)</f>
        <v>12.890700000000001</v>
      </c>
      <c r="C782" s="66">
        <f>12.8907 * CHOOSE(CONTROL!$C$26, $C$13, 100%, $E$13)</f>
        <v>12.890700000000001</v>
      </c>
      <c r="D782" s="66">
        <f>12.8945 * CHOOSE(CONTROL!$C$26, $C$13, 100%, $E$13)</f>
        <v>12.894500000000001</v>
      </c>
      <c r="E782" s="67">
        <f>14.7035 * CHOOSE(CONTROL!$C$26, $C$13, 100%, $E$13)</f>
        <v>14.7035</v>
      </c>
      <c r="F782" s="67">
        <f>14.7035 * CHOOSE(CONTROL!$C$26, $C$13, 100%, $E$13)</f>
        <v>14.7035</v>
      </c>
      <c r="G782" s="67">
        <f>14.7082 * CHOOSE(CONTROL!$C$26, $C$13, 100%, $E$13)</f>
        <v>14.7082</v>
      </c>
      <c r="H782" s="67">
        <f>27.3092* CHOOSE(CONTROL!$C$26, $C$13, 100%, $E$13)</f>
        <v>27.309200000000001</v>
      </c>
      <c r="I782" s="67">
        <f>27.314 * CHOOSE(CONTROL!$C$26, $C$13, 100%, $E$13)</f>
        <v>27.314</v>
      </c>
      <c r="J782" s="67">
        <f>14.7035 * CHOOSE(CONTROL!$C$26, $C$13, 100%, $E$13)</f>
        <v>14.7035</v>
      </c>
      <c r="K782" s="67">
        <f>14.7082 * CHOOSE(CONTROL!$C$26, $C$13, 100%, $E$13)</f>
        <v>14.7082</v>
      </c>
    </row>
    <row r="783" spans="1:11" ht="15">
      <c r="A783" s="13">
        <v>64955</v>
      </c>
      <c r="B783" s="66">
        <f>12.8937 * CHOOSE(CONTROL!$C$26, $C$13, 100%, $E$13)</f>
        <v>12.893700000000001</v>
      </c>
      <c r="C783" s="66">
        <f>12.8937 * CHOOSE(CONTROL!$C$26, $C$13, 100%, $E$13)</f>
        <v>12.893700000000001</v>
      </c>
      <c r="D783" s="66">
        <f>12.8976 * CHOOSE(CONTROL!$C$26, $C$13, 100%, $E$13)</f>
        <v>12.897600000000001</v>
      </c>
      <c r="E783" s="67">
        <f>14.7596 * CHOOSE(CONTROL!$C$26, $C$13, 100%, $E$13)</f>
        <v>14.759600000000001</v>
      </c>
      <c r="F783" s="67">
        <f>14.7596 * CHOOSE(CONTROL!$C$26, $C$13, 100%, $E$13)</f>
        <v>14.759600000000001</v>
      </c>
      <c r="G783" s="67">
        <f>14.7643 * CHOOSE(CONTROL!$C$26, $C$13, 100%, $E$13)</f>
        <v>14.7643</v>
      </c>
      <c r="H783" s="67">
        <f>27.3661* CHOOSE(CONTROL!$C$26, $C$13, 100%, $E$13)</f>
        <v>27.366099999999999</v>
      </c>
      <c r="I783" s="67">
        <f>27.3709 * CHOOSE(CONTROL!$C$26, $C$13, 100%, $E$13)</f>
        <v>27.370899999999999</v>
      </c>
      <c r="J783" s="67">
        <f>14.7596 * CHOOSE(CONTROL!$C$26, $C$13, 100%, $E$13)</f>
        <v>14.759600000000001</v>
      </c>
      <c r="K783" s="67">
        <f>14.7643 * CHOOSE(CONTROL!$C$26, $C$13, 100%, $E$13)</f>
        <v>14.7643</v>
      </c>
    </row>
    <row r="784" spans="1:11" ht="15">
      <c r="A784" s="13">
        <v>64985</v>
      </c>
      <c r="B784" s="66">
        <f>12.8937 * CHOOSE(CONTROL!$C$26, $C$13, 100%, $E$13)</f>
        <v>12.893700000000001</v>
      </c>
      <c r="C784" s="66">
        <f>12.8937 * CHOOSE(CONTROL!$C$26, $C$13, 100%, $E$13)</f>
        <v>12.893700000000001</v>
      </c>
      <c r="D784" s="66">
        <f>12.8976 * CHOOSE(CONTROL!$C$26, $C$13, 100%, $E$13)</f>
        <v>12.897600000000001</v>
      </c>
      <c r="E784" s="67">
        <f>14.6246 * CHOOSE(CONTROL!$C$26, $C$13, 100%, $E$13)</f>
        <v>14.624599999999999</v>
      </c>
      <c r="F784" s="67">
        <f>14.6246 * CHOOSE(CONTROL!$C$26, $C$13, 100%, $E$13)</f>
        <v>14.624599999999999</v>
      </c>
      <c r="G784" s="67">
        <f>14.6294 * CHOOSE(CONTROL!$C$26, $C$13, 100%, $E$13)</f>
        <v>14.6294</v>
      </c>
      <c r="H784" s="67">
        <f>27.4231* CHOOSE(CONTROL!$C$26, $C$13, 100%, $E$13)</f>
        <v>27.423100000000002</v>
      </c>
      <c r="I784" s="67">
        <f>27.4279 * CHOOSE(CONTROL!$C$26, $C$13, 100%, $E$13)</f>
        <v>27.427900000000001</v>
      </c>
      <c r="J784" s="67">
        <f>14.6246 * CHOOSE(CONTROL!$C$26, $C$13, 100%, $E$13)</f>
        <v>14.624599999999999</v>
      </c>
      <c r="K784" s="67">
        <f>14.6294 * CHOOSE(CONTROL!$C$26, $C$13, 100%, $E$13)</f>
        <v>14.6294</v>
      </c>
    </row>
    <row r="785" spans="1:11" ht="15">
      <c r="A785" s="13">
        <v>65016</v>
      </c>
      <c r="B785" s="66">
        <f>12.9009 * CHOOSE(CONTROL!$C$26, $C$13, 100%, $E$13)</f>
        <v>12.9009</v>
      </c>
      <c r="C785" s="66">
        <f>12.9009 * CHOOSE(CONTROL!$C$26, $C$13, 100%, $E$13)</f>
        <v>12.9009</v>
      </c>
      <c r="D785" s="66">
        <f>12.9048 * CHOOSE(CONTROL!$C$26, $C$13, 100%, $E$13)</f>
        <v>12.9048</v>
      </c>
      <c r="E785" s="67">
        <f>14.7393 * CHOOSE(CONTROL!$C$26, $C$13, 100%, $E$13)</f>
        <v>14.7393</v>
      </c>
      <c r="F785" s="67">
        <f>14.7393 * CHOOSE(CONTROL!$C$26, $C$13, 100%, $E$13)</f>
        <v>14.7393</v>
      </c>
      <c r="G785" s="67">
        <f>14.7441 * CHOOSE(CONTROL!$C$26, $C$13, 100%, $E$13)</f>
        <v>14.7441</v>
      </c>
      <c r="H785" s="67">
        <f>27.285* CHOOSE(CONTROL!$C$26, $C$13, 100%, $E$13)</f>
        <v>27.285</v>
      </c>
      <c r="I785" s="67">
        <f>27.2898 * CHOOSE(CONTROL!$C$26, $C$13, 100%, $E$13)</f>
        <v>27.2898</v>
      </c>
      <c r="J785" s="67">
        <f>14.7393 * CHOOSE(CONTROL!$C$26, $C$13, 100%, $E$13)</f>
        <v>14.7393</v>
      </c>
      <c r="K785" s="67">
        <f>14.7441 * CHOOSE(CONTROL!$C$26, $C$13, 100%, $E$13)</f>
        <v>14.7441</v>
      </c>
    </row>
    <row r="786" spans="1:11" ht="15">
      <c r="A786" s="13">
        <v>65047</v>
      </c>
      <c r="B786" s="66">
        <f>12.8978 * CHOOSE(CONTROL!$C$26, $C$13, 100%, $E$13)</f>
        <v>12.8978</v>
      </c>
      <c r="C786" s="66">
        <f>12.8978 * CHOOSE(CONTROL!$C$26, $C$13, 100%, $E$13)</f>
        <v>12.8978</v>
      </c>
      <c r="D786" s="66">
        <f>12.9017 * CHOOSE(CONTROL!$C$26, $C$13, 100%, $E$13)</f>
        <v>12.9017</v>
      </c>
      <c r="E786" s="67">
        <f>14.4773 * CHOOSE(CONTROL!$C$26, $C$13, 100%, $E$13)</f>
        <v>14.4773</v>
      </c>
      <c r="F786" s="67">
        <f>14.4773 * CHOOSE(CONTROL!$C$26, $C$13, 100%, $E$13)</f>
        <v>14.4773</v>
      </c>
      <c r="G786" s="67">
        <f>14.4821 * CHOOSE(CONTROL!$C$26, $C$13, 100%, $E$13)</f>
        <v>14.482100000000001</v>
      </c>
      <c r="H786" s="67">
        <f>27.3418* CHOOSE(CONTROL!$C$26, $C$13, 100%, $E$13)</f>
        <v>27.341799999999999</v>
      </c>
      <c r="I786" s="67">
        <f>27.3466 * CHOOSE(CONTROL!$C$26, $C$13, 100%, $E$13)</f>
        <v>27.346599999999999</v>
      </c>
      <c r="J786" s="67">
        <f>14.4773 * CHOOSE(CONTROL!$C$26, $C$13, 100%, $E$13)</f>
        <v>14.4773</v>
      </c>
      <c r="K786" s="67">
        <f>14.4821 * CHOOSE(CONTROL!$C$26, $C$13, 100%, $E$13)</f>
        <v>14.482100000000001</v>
      </c>
    </row>
    <row r="787" spans="1:11" ht="15">
      <c r="A787" s="13">
        <v>65075</v>
      </c>
      <c r="B787" s="66">
        <f>12.8948 * CHOOSE(CONTROL!$C$26, $C$13, 100%, $E$13)</f>
        <v>12.8948</v>
      </c>
      <c r="C787" s="66">
        <f>12.8948 * CHOOSE(CONTROL!$C$26, $C$13, 100%, $E$13)</f>
        <v>12.8948</v>
      </c>
      <c r="D787" s="66">
        <f>12.8987 * CHOOSE(CONTROL!$C$26, $C$13, 100%, $E$13)</f>
        <v>12.8987</v>
      </c>
      <c r="E787" s="67">
        <f>14.6801 * CHOOSE(CONTROL!$C$26, $C$13, 100%, $E$13)</f>
        <v>14.680099999999999</v>
      </c>
      <c r="F787" s="67">
        <f>14.6801 * CHOOSE(CONTROL!$C$26, $C$13, 100%, $E$13)</f>
        <v>14.680099999999999</v>
      </c>
      <c r="G787" s="67">
        <f>14.6849 * CHOOSE(CONTROL!$C$26, $C$13, 100%, $E$13)</f>
        <v>14.684900000000001</v>
      </c>
      <c r="H787" s="67">
        <f>27.3988* CHOOSE(CONTROL!$C$26, $C$13, 100%, $E$13)</f>
        <v>27.398800000000001</v>
      </c>
      <c r="I787" s="67">
        <f>27.4036 * CHOOSE(CONTROL!$C$26, $C$13, 100%, $E$13)</f>
        <v>27.403600000000001</v>
      </c>
      <c r="J787" s="67">
        <f>14.6801 * CHOOSE(CONTROL!$C$26, $C$13, 100%, $E$13)</f>
        <v>14.680099999999999</v>
      </c>
      <c r="K787" s="67">
        <f>14.6849 * CHOOSE(CONTROL!$C$26, $C$13, 100%, $E$13)</f>
        <v>14.684900000000001</v>
      </c>
    </row>
    <row r="788" spans="1:11" ht="15">
      <c r="A788" s="13">
        <v>65106</v>
      </c>
      <c r="B788" s="66">
        <f>12.8999 * CHOOSE(CONTROL!$C$26, $C$13, 100%, $E$13)</f>
        <v>12.899900000000001</v>
      </c>
      <c r="C788" s="66">
        <f>12.8999 * CHOOSE(CONTROL!$C$26, $C$13, 100%, $E$13)</f>
        <v>12.899900000000001</v>
      </c>
      <c r="D788" s="66">
        <f>12.9038 * CHOOSE(CONTROL!$C$26, $C$13, 100%, $E$13)</f>
        <v>12.9038</v>
      </c>
      <c r="E788" s="67">
        <f>14.8959 * CHOOSE(CONTROL!$C$26, $C$13, 100%, $E$13)</f>
        <v>14.895899999999999</v>
      </c>
      <c r="F788" s="67">
        <f>14.8959 * CHOOSE(CONTROL!$C$26, $C$13, 100%, $E$13)</f>
        <v>14.895899999999999</v>
      </c>
      <c r="G788" s="67">
        <f>14.9007 * CHOOSE(CONTROL!$C$26, $C$13, 100%, $E$13)</f>
        <v>14.900700000000001</v>
      </c>
      <c r="H788" s="67">
        <f>27.4559* CHOOSE(CONTROL!$C$26, $C$13, 100%, $E$13)</f>
        <v>27.4559</v>
      </c>
      <c r="I788" s="67">
        <f>27.4607 * CHOOSE(CONTROL!$C$26, $C$13, 100%, $E$13)</f>
        <v>27.460699999999999</v>
      </c>
      <c r="J788" s="67">
        <f>14.8959 * CHOOSE(CONTROL!$C$26, $C$13, 100%, $E$13)</f>
        <v>14.895899999999999</v>
      </c>
      <c r="K788" s="67">
        <f>14.9007 * CHOOSE(CONTROL!$C$26, $C$13, 100%, $E$13)</f>
        <v>14.900700000000001</v>
      </c>
    </row>
    <row r="789" spans="1:11" ht="15">
      <c r="A789" s="13">
        <v>65136</v>
      </c>
      <c r="B789" s="66">
        <f>12.8999 * CHOOSE(CONTROL!$C$26, $C$13, 100%, $E$13)</f>
        <v>12.899900000000001</v>
      </c>
      <c r="C789" s="66">
        <f>12.8999 * CHOOSE(CONTROL!$C$26, $C$13, 100%, $E$13)</f>
        <v>12.899900000000001</v>
      </c>
      <c r="D789" s="66">
        <f>12.9054 * CHOOSE(CONTROL!$C$26, $C$13, 100%, $E$13)</f>
        <v>12.9054</v>
      </c>
      <c r="E789" s="67">
        <f>14.9784 * CHOOSE(CONTROL!$C$26, $C$13, 100%, $E$13)</f>
        <v>14.978400000000001</v>
      </c>
      <c r="F789" s="67">
        <f>14.9784 * CHOOSE(CONTROL!$C$26, $C$13, 100%, $E$13)</f>
        <v>14.978400000000001</v>
      </c>
      <c r="G789" s="67">
        <f>14.9852 * CHOOSE(CONTROL!$C$26, $C$13, 100%, $E$13)</f>
        <v>14.985200000000001</v>
      </c>
      <c r="H789" s="67">
        <f>27.5131* CHOOSE(CONTROL!$C$26, $C$13, 100%, $E$13)</f>
        <v>27.513100000000001</v>
      </c>
      <c r="I789" s="67">
        <f>27.5198 * CHOOSE(CONTROL!$C$26, $C$13, 100%, $E$13)</f>
        <v>27.5198</v>
      </c>
      <c r="J789" s="67">
        <f>14.9784 * CHOOSE(CONTROL!$C$26, $C$13, 100%, $E$13)</f>
        <v>14.978400000000001</v>
      </c>
      <c r="K789" s="67">
        <f>14.9852 * CHOOSE(CONTROL!$C$26, $C$13, 100%, $E$13)</f>
        <v>14.985200000000001</v>
      </c>
    </row>
    <row r="790" spans="1:11" ht="15">
      <c r="A790" s="13">
        <v>65167</v>
      </c>
      <c r="B790" s="66">
        <f>12.906 * CHOOSE(CONTROL!$C$26, $C$13, 100%, $E$13)</f>
        <v>12.906000000000001</v>
      </c>
      <c r="C790" s="66">
        <f>12.906 * CHOOSE(CONTROL!$C$26, $C$13, 100%, $E$13)</f>
        <v>12.906000000000001</v>
      </c>
      <c r="D790" s="66">
        <f>12.9115 * CHOOSE(CONTROL!$C$26, $C$13, 100%, $E$13)</f>
        <v>12.9115</v>
      </c>
      <c r="E790" s="67">
        <f>14.9001 * CHOOSE(CONTROL!$C$26, $C$13, 100%, $E$13)</f>
        <v>14.9001</v>
      </c>
      <c r="F790" s="67">
        <f>14.9001 * CHOOSE(CONTROL!$C$26, $C$13, 100%, $E$13)</f>
        <v>14.9001</v>
      </c>
      <c r="G790" s="67">
        <f>14.9069 * CHOOSE(CONTROL!$C$26, $C$13, 100%, $E$13)</f>
        <v>14.9069</v>
      </c>
      <c r="H790" s="67">
        <f>27.5704* CHOOSE(CONTROL!$C$26, $C$13, 100%, $E$13)</f>
        <v>27.570399999999999</v>
      </c>
      <c r="I790" s="67">
        <f>27.5771 * CHOOSE(CONTROL!$C$26, $C$13, 100%, $E$13)</f>
        <v>27.577100000000002</v>
      </c>
      <c r="J790" s="67">
        <f>14.9001 * CHOOSE(CONTROL!$C$26, $C$13, 100%, $E$13)</f>
        <v>14.9001</v>
      </c>
      <c r="K790" s="67">
        <f>14.9069 * CHOOSE(CONTROL!$C$26, $C$13, 100%, $E$13)</f>
        <v>14.9069</v>
      </c>
    </row>
    <row r="791" spans="1:11" ht="15">
      <c r="A791" s="13">
        <v>65197</v>
      </c>
      <c r="B791" s="66">
        <f>13.1025 * CHOOSE(CONTROL!$C$26, $C$13, 100%, $E$13)</f>
        <v>13.102499999999999</v>
      </c>
      <c r="C791" s="66">
        <f>13.1025 * CHOOSE(CONTROL!$C$26, $C$13, 100%, $E$13)</f>
        <v>13.102499999999999</v>
      </c>
      <c r="D791" s="66">
        <f>13.108 * CHOOSE(CONTROL!$C$26, $C$13, 100%, $E$13)</f>
        <v>13.108000000000001</v>
      </c>
      <c r="E791" s="67">
        <f>15.138 * CHOOSE(CONTROL!$C$26, $C$13, 100%, $E$13)</f>
        <v>15.138</v>
      </c>
      <c r="F791" s="67">
        <f>15.138 * CHOOSE(CONTROL!$C$26, $C$13, 100%, $E$13)</f>
        <v>15.138</v>
      </c>
      <c r="G791" s="67">
        <f>15.1448 * CHOOSE(CONTROL!$C$26, $C$13, 100%, $E$13)</f>
        <v>15.1448</v>
      </c>
      <c r="H791" s="67">
        <f>27.6278* CHOOSE(CONTROL!$C$26, $C$13, 100%, $E$13)</f>
        <v>27.627800000000001</v>
      </c>
      <c r="I791" s="67">
        <f>27.6346 * CHOOSE(CONTROL!$C$26, $C$13, 100%, $E$13)</f>
        <v>27.634599999999999</v>
      </c>
      <c r="J791" s="67">
        <f>15.138 * CHOOSE(CONTROL!$C$26, $C$13, 100%, $E$13)</f>
        <v>15.138</v>
      </c>
      <c r="K791" s="67">
        <f>15.1448 * CHOOSE(CONTROL!$C$26, $C$13, 100%, $E$13)</f>
        <v>15.1448</v>
      </c>
    </row>
    <row r="792" spans="1:11" ht="15">
      <c r="A792" s="13">
        <v>65228</v>
      </c>
      <c r="B792" s="66">
        <f>13.1092 * CHOOSE(CONTROL!$C$26, $C$13, 100%, $E$13)</f>
        <v>13.1092</v>
      </c>
      <c r="C792" s="66">
        <f>13.1092 * CHOOSE(CONTROL!$C$26, $C$13, 100%, $E$13)</f>
        <v>13.1092</v>
      </c>
      <c r="D792" s="66">
        <f>13.1147 * CHOOSE(CONTROL!$C$26, $C$13, 100%, $E$13)</f>
        <v>13.114699999999999</v>
      </c>
      <c r="E792" s="67">
        <f>14.8951 * CHOOSE(CONTROL!$C$26, $C$13, 100%, $E$13)</f>
        <v>14.895099999999999</v>
      </c>
      <c r="F792" s="67">
        <f>14.8951 * CHOOSE(CONTROL!$C$26, $C$13, 100%, $E$13)</f>
        <v>14.895099999999999</v>
      </c>
      <c r="G792" s="67">
        <f>14.9019 * CHOOSE(CONTROL!$C$26, $C$13, 100%, $E$13)</f>
        <v>14.901899999999999</v>
      </c>
      <c r="H792" s="67">
        <f>27.6854* CHOOSE(CONTROL!$C$26, $C$13, 100%, $E$13)</f>
        <v>27.685400000000001</v>
      </c>
      <c r="I792" s="67">
        <f>27.6921 * CHOOSE(CONTROL!$C$26, $C$13, 100%, $E$13)</f>
        <v>27.6921</v>
      </c>
      <c r="J792" s="67">
        <f>14.8951 * CHOOSE(CONTROL!$C$26, $C$13, 100%, $E$13)</f>
        <v>14.895099999999999</v>
      </c>
      <c r="K792" s="67">
        <f>14.9019 * CHOOSE(CONTROL!$C$26, $C$13, 100%, $E$13)</f>
        <v>14.901899999999999</v>
      </c>
    </row>
    <row r="793" spans="1:11" ht="15">
      <c r="A793" s="13">
        <v>65259</v>
      </c>
      <c r="B793" s="66">
        <f>13.1062 * CHOOSE(CONTROL!$C$26, $C$13, 100%, $E$13)</f>
        <v>13.106199999999999</v>
      </c>
      <c r="C793" s="66">
        <f>13.1062 * CHOOSE(CONTROL!$C$26, $C$13, 100%, $E$13)</f>
        <v>13.106199999999999</v>
      </c>
      <c r="D793" s="66">
        <f>13.1117 * CHOOSE(CONTROL!$C$26, $C$13, 100%, $E$13)</f>
        <v>13.111700000000001</v>
      </c>
      <c r="E793" s="67">
        <f>14.8655 * CHOOSE(CONTROL!$C$26, $C$13, 100%, $E$13)</f>
        <v>14.865500000000001</v>
      </c>
      <c r="F793" s="67">
        <f>14.8655 * CHOOSE(CONTROL!$C$26, $C$13, 100%, $E$13)</f>
        <v>14.865500000000001</v>
      </c>
      <c r="G793" s="67">
        <f>14.8722 * CHOOSE(CONTROL!$C$26, $C$13, 100%, $E$13)</f>
        <v>14.872199999999999</v>
      </c>
      <c r="H793" s="67">
        <f>27.7431* CHOOSE(CONTROL!$C$26, $C$13, 100%, $E$13)</f>
        <v>27.743099999999998</v>
      </c>
      <c r="I793" s="67">
        <f>27.7498 * CHOOSE(CONTROL!$C$26, $C$13, 100%, $E$13)</f>
        <v>27.7498</v>
      </c>
      <c r="J793" s="67">
        <f>14.8655 * CHOOSE(CONTROL!$C$26, $C$13, 100%, $E$13)</f>
        <v>14.865500000000001</v>
      </c>
      <c r="K793" s="67">
        <f>14.8722 * CHOOSE(CONTROL!$C$26, $C$13, 100%, $E$13)</f>
        <v>14.872199999999999</v>
      </c>
    </row>
    <row r="794" spans="1:11" ht="15">
      <c r="A794" s="13">
        <v>65289</v>
      </c>
      <c r="B794" s="66">
        <f>13.1306 * CHOOSE(CONTROL!$C$26, $C$13, 100%, $E$13)</f>
        <v>13.130599999999999</v>
      </c>
      <c r="C794" s="66">
        <f>13.1306 * CHOOSE(CONTROL!$C$26, $C$13, 100%, $E$13)</f>
        <v>13.130599999999999</v>
      </c>
      <c r="D794" s="66">
        <f>13.1345 * CHOOSE(CONTROL!$C$26, $C$13, 100%, $E$13)</f>
        <v>13.134499999999999</v>
      </c>
      <c r="E794" s="67">
        <f>14.9621 * CHOOSE(CONTROL!$C$26, $C$13, 100%, $E$13)</f>
        <v>14.9621</v>
      </c>
      <c r="F794" s="67">
        <f>14.9621 * CHOOSE(CONTROL!$C$26, $C$13, 100%, $E$13)</f>
        <v>14.9621</v>
      </c>
      <c r="G794" s="67">
        <f>14.9669 * CHOOSE(CONTROL!$C$26, $C$13, 100%, $E$13)</f>
        <v>14.966900000000001</v>
      </c>
      <c r="H794" s="67">
        <f>27.8009* CHOOSE(CONTROL!$C$26, $C$13, 100%, $E$13)</f>
        <v>27.800899999999999</v>
      </c>
      <c r="I794" s="67">
        <f>27.8057 * CHOOSE(CONTROL!$C$26, $C$13, 100%, $E$13)</f>
        <v>27.805700000000002</v>
      </c>
      <c r="J794" s="67">
        <f>14.9621 * CHOOSE(CONTROL!$C$26, $C$13, 100%, $E$13)</f>
        <v>14.9621</v>
      </c>
      <c r="K794" s="67">
        <f>14.9669 * CHOOSE(CONTROL!$C$26, $C$13, 100%, $E$13)</f>
        <v>14.966900000000001</v>
      </c>
    </row>
    <row r="795" spans="1:11" ht="15">
      <c r="A795" s="13">
        <v>65320</v>
      </c>
      <c r="B795" s="66">
        <f>13.1336 * CHOOSE(CONTROL!$C$26, $C$13, 100%, $E$13)</f>
        <v>13.133599999999999</v>
      </c>
      <c r="C795" s="66">
        <f>13.1336 * CHOOSE(CONTROL!$C$26, $C$13, 100%, $E$13)</f>
        <v>13.133599999999999</v>
      </c>
      <c r="D795" s="66">
        <f>13.1375 * CHOOSE(CONTROL!$C$26, $C$13, 100%, $E$13)</f>
        <v>13.137499999999999</v>
      </c>
      <c r="E795" s="67">
        <f>15.0192 * CHOOSE(CONTROL!$C$26, $C$13, 100%, $E$13)</f>
        <v>15.0192</v>
      </c>
      <c r="F795" s="67">
        <f>15.0192 * CHOOSE(CONTROL!$C$26, $C$13, 100%, $E$13)</f>
        <v>15.0192</v>
      </c>
      <c r="G795" s="67">
        <f>15.024 * CHOOSE(CONTROL!$C$26, $C$13, 100%, $E$13)</f>
        <v>15.023999999999999</v>
      </c>
      <c r="H795" s="67">
        <f>27.8588* CHOOSE(CONTROL!$C$26, $C$13, 100%, $E$13)</f>
        <v>27.858799999999999</v>
      </c>
      <c r="I795" s="67">
        <f>27.8636 * CHOOSE(CONTROL!$C$26, $C$13, 100%, $E$13)</f>
        <v>27.863600000000002</v>
      </c>
      <c r="J795" s="67">
        <f>15.0192 * CHOOSE(CONTROL!$C$26, $C$13, 100%, $E$13)</f>
        <v>15.0192</v>
      </c>
      <c r="K795" s="67">
        <f>15.024 * CHOOSE(CONTROL!$C$26, $C$13, 100%, $E$13)</f>
        <v>15.023999999999999</v>
      </c>
    </row>
    <row r="796" spans="1:11" ht="15">
      <c r="A796" s="13">
        <v>65350</v>
      </c>
      <c r="B796" s="66">
        <f>13.1336 * CHOOSE(CONTROL!$C$26, $C$13, 100%, $E$13)</f>
        <v>13.133599999999999</v>
      </c>
      <c r="C796" s="66">
        <f>13.1336 * CHOOSE(CONTROL!$C$26, $C$13, 100%, $E$13)</f>
        <v>13.133599999999999</v>
      </c>
      <c r="D796" s="66">
        <f>13.1375 * CHOOSE(CONTROL!$C$26, $C$13, 100%, $E$13)</f>
        <v>13.137499999999999</v>
      </c>
      <c r="E796" s="67">
        <f>14.8817 * CHOOSE(CONTROL!$C$26, $C$13, 100%, $E$13)</f>
        <v>14.8817</v>
      </c>
      <c r="F796" s="67">
        <f>14.8817 * CHOOSE(CONTROL!$C$26, $C$13, 100%, $E$13)</f>
        <v>14.8817</v>
      </c>
      <c r="G796" s="67">
        <f>14.8865 * CHOOSE(CONTROL!$C$26, $C$13, 100%, $E$13)</f>
        <v>14.8865</v>
      </c>
      <c r="H796" s="67">
        <f>27.9168* CHOOSE(CONTROL!$C$26, $C$13, 100%, $E$13)</f>
        <v>27.916799999999999</v>
      </c>
      <c r="I796" s="67">
        <f>27.9216 * CHOOSE(CONTROL!$C$26, $C$13, 100%, $E$13)</f>
        <v>27.921600000000002</v>
      </c>
      <c r="J796" s="67">
        <f>14.8817 * CHOOSE(CONTROL!$C$26, $C$13, 100%, $E$13)</f>
        <v>14.8817</v>
      </c>
      <c r="K796" s="67">
        <f>14.8865 * CHOOSE(CONTROL!$C$26, $C$13, 100%, $E$13)</f>
        <v>14.8865</v>
      </c>
    </row>
    <row r="797" spans="1:11" ht="15">
      <c r="A797" s="13">
        <v>65381</v>
      </c>
      <c r="B797" s="66">
        <f>13.1365 * CHOOSE(CONTROL!$C$26, $C$13, 100%, $E$13)</f>
        <v>13.1365</v>
      </c>
      <c r="C797" s="66">
        <f>13.1365 * CHOOSE(CONTROL!$C$26, $C$13, 100%, $E$13)</f>
        <v>13.1365</v>
      </c>
      <c r="D797" s="66">
        <f>13.1403 * CHOOSE(CONTROL!$C$26, $C$13, 100%, $E$13)</f>
        <v>13.1403</v>
      </c>
      <c r="E797" s="67">
        <f>14.9941 * CHOOSE(CONTROL!$C$26, $C$13, 100%, $E$13)</f>
        <v>14.9941</v>
      </c>
      <c r="F797" s="67">
        <f>14.9941 * CHOOSE(CONTROL!$C$26, $C$13, 100%, $E$13)</f>
        <v>14.9941</v>
      </c>
      <c r="G797" s="67">
        <f>14.9988 * CHOOSE(CONTROL!$C$26, $C$13, 100%, $E$13)</f>
        <v>14.998799999999999</v>
      </c>
      <c r="H797" s="67">
        <f>27.7676* CHOOSE(CONTROL!$C$26, $C$13, 100%, $E$13)</f>
        <v>27.767600000000002</v>
      </c>
      <c r="I797" s="67">
        <f>27.7723 * CHOOSE(CONTROL!$C$26, $C$13, 100%, $E$13)</f>
        <v>27.772300000000001</v>
      </c>
      <c r="J797" s="67">
        <f>14.9941 * CHOOSE(CONTROL!$C$26, $C$13, 100%, $E$13)</f>
        <v>14.9941</v>
      </c>
      <c r="K797" s="67">
        <f>14.9988 * CHOOSE(CONTROL!$C$26, $C$13, 100%, $E$13)</f>
        <v>14.998799999999999</v>
      </c>
    </row>
    <row r="798" spans="1:11" ht="15">
      <c r="A798" s="13">
        <v>65412</v>
      </c>
      <c r="B798" s="66">
        <f>13.1334 * CHOOSE(CONTROL!$C$26, $C$13, 100%, $E$13)</f>
        <v>13.1334</v>
      </c>
      <c r="C798" s="66">
        <f>13.1334 * CHOOSE(CONTROL!$C$26, $C$13, 100%, $E$13)</f>
        <v>13.1334</v>
      </c>
      <c r="D798" s="66">
        <f>13.1373 * CHOOSE(CONTROL!$C$26, $C$13, 100%, $E$13)</f>
        <v>13.1373</v>
      </c>
      <c r="E798" s="67">
        <f>14.7271 * CHOOSE(CONTROL!$C$26, $C$13, 100%, $E$13)</f>
        <v>14.7271</v>
      </c>
      <c r="F798" s="67">
        <f>14.7271 * CHOOSE(CONTROL!$C$26, $C$13, 100%, $E$13)</f>
        <v>14.7271</v>
      </c>
      <c r="G798" s="67">
        <f>14.7319 * CHOOSE(CONTROL!$C$26, $C$13, 100%, $E$13)</f>
        <v>14.7319</v>
      </c>
      <c r="H798" s="67">
        <f>27.8254* CHOOSE(CONTROL!$C$26, $C$13, 100%, $E$13)</f>
        <v>27.825399999999998</v>
      </c>
      <c r="I798" s="67">
        <f>27.8302 * CHOOSE(CONTROL!$C$26, $C$13, 100%, $E$13)</f>
        <v>27.830200000000001</v>
      </c>
      <c r="J798" s="67">
        <f>14.7271 * CHOOSE(CONTROL!$C$26, $C$13, 100%, $E$13)</f>
        <v>14.7271</v>
      </c>
      <c r="K798" s="67">
        <f>14.7319 * CHOOSE(CONTROL!$C$26, $C$13, 100%, $E$13)</f>
        <v>14.7319</v>
      </c>
    </row>
    <row r="799" spans="1:11" ht="15">
      <c r="A799" s="13">
        <v>65440</v>
      </c>
      <c r="B799" s="66">
        <f>13.1304 * CHOOSE(CONTROL!$C$26, $C$13, 100%, $E$13)</f>
        <v>13.1304</v>
      </c>
      <c r="C799" s="66">
        <f>13.1304 * CHOOSE(CONTROL!$C$26, $C$13, 100%, $E$13)</f>
        <v>13.1304</v>
      </c>
      <c r="D799" s="66">
        <f>13.1342 * CHOOSE(CONTROL!$C$26, $C$13, 100%, $E$13)</f>
        <v>13.1342</v>
      </c>
      <c r="E799" s="67">
        <f>14.9338 * CHOOSE(CONTROL!$C$26, $C$13, 100%, $E$13)</f>
        <v>14.9338</v>
      </c>
      <c r="F799" s="67">
        <f>14.9338 * CHOOSE(CONTROL!$C$26, $C$13, 100%, $E$13)</f>
        <v>14.9338</v>
      </c>
      <c r="G799" s="67">
        <f>14.9385 * CHOOSE(CONTROL!$C$26, $C$13, 100%, $E$13)</f>
        <v>14.938499999999999</v>
      </c>
      <c r="H799" s="67">
        <f>27.8834* CHOOSE(CONTROL!$C$26, $C$13, 100%, $E$13)</f>
        <v>27.883400000000002</v>
      </c>
      <c r="I799" s="67">
        <f>27.8881 * CHOOSE(CONTROL!$C$26, $C$13, 100%, $E$13)</f>
        <v>27.888100000000001</v>
      </c>
      <c r="J799" s="67">
        <f>14.9338 * CHOOSE(CONTROL!$C$26, $C$13, 100%, $E$13)</f>
        <v>14.9338</v>
      </c>
      <c r="K799" s="67">
        <f>14.9385 * CHOOSE(CONTROL!$C$26, $C$13, 100%, $E$13)</f>
        <v>14.938499999999999</v>
      </c>
    </row>
    <row r="800" spans="1:11" ht="15">
      <c r="A800" s="13">
        <v>65471</v>
      </c>
      <c r="B800" s="66">
        <f>13.1357 * CHOOSE(CONTROL!$C$26, $C$13, 100%, $E$13)</f>
        <v>13.1357</v>
      </c>
      <c r="C800" s="66">
        <f>13.1357 * CHOOSE(CONTROL!$C$26, $C$13, 100%, $E$13)</f>
        <v>13.1357</v>
      </c>
      <c r="D800" s="66">
        <f>13.1396 * CHOOSE(CONTROL!$C$26, $C$13, 100%, $E$13)</f>
        <v>13.1396</v>
      </c>
      <c r="E800" s="67">
        <f>15.1538 * CHOOSE(CONTROL!$C$26, $C$13, 100%, $E$13)</f>
        <v>15.1538</v>
      </c>
      <c r="F800" s="67">
        <f>15.1538 * CHOOSE(CONTROL!$C$26, $C$13, 100%, $E$13)</f>
        <v>15.1538</v>
      </c>
      <c r="G800" s="67">
        <f>15.1585 * CHOOSE(CONTROL!$C$26, $C$13, 100%, $E$13)</f>
        <v>15.1585</v>
      </c>
      <c r="H800" s="67">
        <f>27.9415* CHOOSE(CONTROL!$C$26, $C$13, 100%, $E$13)</f>
        <v>27.941500000000001</v>
      </c>
      <c r="I800" s="67">
        <f>27.9462 * CHOOSE(CONTROL!$C$26, $C$13, 100%, $E$13)</f>
        <v>27.946200000000001</v>
      </c>
      <c r="J800" s="67">
        <f>15.1538 * CHOOSE(CONTROL!$C$26, $C$13, 100%, $E$13)</f>
        <v>15.1538</v>
      </c>
      <c r="K800" s="67">
        <f>15.1585 * CHOOSE(CONTROL!$C$26, $C$13, 100%, $E$13)</f>
        <v>15.1585</v>
      </c>
    </row>
    <row r="801" spans="1:11" ht="15">
      <c r="A801" s="13">
        <v>65501</v>
      </c>
      <c r="B801" s="66">
        <f>13.1357 * CHOOSE(CONTROL!$C$26, $C$13, 100%, $E$13)</f>
        <v>13.1357</v>
      </c>
      <c r="C801" s="66">
        <f>13.1357 * CHOOSE(CONTROL!$C$26, $C$13, 100%, $E$13)</f>
        <v>13.1357</v>
      </c>
      <c r="D801" s="66">
        <f>13.1412 * CHOOSE(CONTROL!$C$26, $C$13, 100%, $E$13)</f>
        <v>13.1412</v>
      </c>
      <c r="E801" s="67">
        <f>15.2378 * CHOOSE(CONTROL!$C$26, $C$13, 100%, $E$13)</f>
        <v>15.2378</v>
      </c>
      <c r="F801" s="67">
        <f>15.2378 * CHOOSE(CONTROL!$C$26, $C$13, 100%, $E$13)</f>
        <v>15.2378</v>
      </c>
      <c r="G801" s="67">
        <f>15.2446 * CHOOSE(CONTROL!$C$26, $C$13, 100%, $E$13)</f>
        <v>15.2446</v>
      </c>
      <c r="H801" s="67">
        <f>27.9997* CHOOSE(CONTROL!$C$26, $C$13, 100%, $E$13)</f>
        <v>27.999700000000001</v>
      </c>
      <c r="I801" s="67">
        <f>28.0064 * CHOOSE(CONTROL!$C$26, $C$13, 100%, $E$13)</f>
        <v>28.006399999999999</v>
      </c>
      <c r="J801" s="67">
        <f>15.2378 * CHOOSE(CONTROL!$C$26, $C$13, 100%, $E$13)</f>
        <v>15.2378</v>
      </c>
      <c r="K801" s="67">
        <f>15.2446 * CHOOSE(CONTROL!$C$26, $C$13, 100%, $E$13)</f>
        <v>15.2446</v>
      </c>
    </row>
    <row r="802" spans="1:11" ht="15">
      <c r="A802" s="13">
        <v>65532</v>
      </c>
      <c r="B802" s="66">
        <f>13.1418 * CHOOSE(CONTROL!$C$26, $C$13, 100%, $E$13)</f>
        <v>13.1418</v>
      </c>
      <c r="C802" s="66">
        <f>13.1418 * CHOOSE(CONTROL!$C$26, $C$13, 100%, $E$13)</f>
        <v>13.1418</v>
      </c>
      <c r="D802" s="66">
        <f>13.1473 * CHOOSE(CONTROL!$C$26, $C$13, 100%, $E$13)</f>
        <v>13.1473</v>
      </c>
      <c r="E802" s="67">
        <f>15.158 * CHOOSE(CONTROL!$C$26, $C$13, 100%, $E$13)</f>
        <v>15.157999999999999</v>
      </c>
      <c r="F802" s="67">
        <f>15.158 * CHOOSE(CONTROL!$C$26, $C$13, 100%, $E$13)</f>
        <v>15.157999999999999</v>
      </c>
      <c r="G802" s="67">
        <f>15.1647 * CHOOSE(CONTROL!$C$26, $C$13, 100%, $E$13)</f>
        <v>15.1647</v>
      </c>
      <c r="H802" s="67">
        <f>28.058* CHOOSE(CONTROL!$C$26, $C$13, 100%, $E$13)</f>
        <v>28.058</v>
      </c>
      <c r="I802" s="67">
        <f>28.0647 * CHOOSE(CONTROL!$C$26, $C$13, 100%, $E$13)</f>
        <v>28.064699999999998</v>
      </c>
      <c r="J802" s="67">
        <f>15.158 * CHOOSE(CONTROL!$C$26, $C$13, 100%, $E$13)</f>
        <v>15.157999999999999</v>
      </c>
      <c r="K802" s="67">
        <f>15.1647 * CHOOSE(CONTROL!$C$26, $C$13, 100%, $E$13)</f>
        <v>15.1647</v>
      </c>
    </row>
    <row r="803" spans="1:11" ht="15">
      <c r="A803" s="13">
        <v>65562</v>
      </c>
      <c r="B803" s="66">
        <f>13.3417 * CHOOSE(CONTROL!$C$26, $C$13, 100%, $E$13)</f>
        <v>13.341699999999999</v>
      </c>
      <c r="C803" s="66">
        <f>13.3417 * CHOOSE(CONTROL!$C$26, $C$13, 100%, $E$13)</f>
        <v>13.341699999999999</v>
      </c>
      <c r="D803" s="66">
        <f>13.3472 * CHOOSE(CONTROL!$C$26, $C$13, 100%, $E$13)</f>
        <v>13.347200000000001</v>
      </c>
      <c r="E803" s="67">
        <f>15.3998 * CHOOSE(CONTROL!$C$26, $C$13, 100%, $E$13)</f>
        <v>15.399800000000001</v>
      </c>
      <c r="F803" s="67">
        <f>15.3998 * CHOOSE(CONTROL!$C$26, $C$13, 100%, $E$13)</f>
        <v>15.399800000000001</v>
      </c>
      <c r="G803" s="67">
        <f>15.4065 * CHOOSE(CONTROL!$C$26, $C$13, 100%, $E$13)</f>
        <v>15.406499999999999</v>
      </c>
      <c r="H803" s="67">
        <f>28.1165* CHOOSE(CONTROL!$C$26, $C$13, 100%, $E$13)</f>
        <v>28.116499999999998</v>
      </c>
      <c r="I803" s="67">
        <f>28.1232 * CHOOSE(CONTROL!$C$26, $C$13, 100%, $E$13)</f>
        <v>28.123200000000001</v>
      </c>
      <c r="J803" s="67">
        <f>15.3998 * CHOOSE(CONTROL!$C$26, $C$13, 100%, $E$13)</f>
        <v>15.399800000000001</v>
      </c>
      <c r="K803" s="67">
        <f>15.4065 * CHOOSE(CONTROL!$C$26, $C$13, 100%, $E$13)</f>
        <v>15.406499999999999</v>
      </c>
    </row>
    <row r="804" spans="1:11" ht="15">
      <c r="A804" s="13">
        <v>65593</v>
      </c>
      <c r="B804" s="66">
        <f>13.3484 * CHOOSE(CONTROL!$C$26, $C$13, 100%, $E$13)</f>
        <v>13.3484</v>
      </c>
      <c r="C804" s="66">
        <f>13.3484 * CHOOSE(CONTROL!$C$26, $C$13, 100%, $E$13)</f>
        <v>13.3484</v>
      </c>
      <c r="D804" s="66">
        <f>13.3539 * CHOOSE(CONTROL!$C$26, $C$13, 100%, $E$13)</f>
        <v>13.353899999999999</v>
      </c>
      <c r="E804" s="67">
        <f>15.1522 * CHOOSE(CONTROL!$C$26, $C$13, 100%, $E$13)</f>
        <v>15.152200000000001</v>
      </c>
      <c r="F804" s="67">
        <f>15.1522 * CHOOSE(CONTROL!$C$26, $C$13, 100%, $E$13)</f>
        <v>15.152200000000001</v>
      </c>
      <c r="G804" s="67">
        <f>15.1589 * CHOOSE(CONTROL!$C$26, $C$13, 100%, $E$13)</f>
        <v>15.158899999999999</v>
      </c>
      <c r="H804" s="67">
        <f>28.175* CHOOSE(CONTROL!$C$26, $C$13, 100%, $E$13)</f>
        <v>28.175000000000001</v>
      </c>
      <c r="I804" s="67">
        <f>28.1818 * CHOOSE(CONTROL!$C$26, $C$13, 100%, $E$13)</f>
        <v>28.181799999999999</v>
      </c>
      <c r="J804" s="67">
        <f>15.1522 * CHOOSE(CONTROL!$C$26, $C$13, 100%, $E$13)</f>
        <v>15.152200000000001</v>
      </c>
      <c r="K804" s="67">
        <f>15.1589 * CHOOSE(CONTROL!$C$26, $C$13, 100%, $E$13)</f>
        <v>15.158899999999999</v>
      </c>
    </row>
    <row r="805" spans="1:11" ht="15">
      <c r="A805" s="13">
        <v>65624</v>
      </c>
      <c r="B805" s="66">
        <f>13.3454 * CHOOSE(CONTROL!$C$26, $C$13, 100%, $E$13)</f>
        <v>13.3454</v>
      </c>
      <c r="C805" s="66">
        <f>13.3454 * CHOOSE(CONTROL!$C$26, $C$13, 100%, $E$13)</f>
        <v>13.3454</v>
      </c>
      <c r="D805" s="66">
        <f>13.3509 * CHOOSE(CONTROL!$C$26, $C$13, 100%, $E$13)</f>
        <v>13.350899999999999</v>
      </c>
      <c r="E805" s="67">
        <f>15.1221 * CHOOSE(CONTROL!$C$26, $C$13, 100%, $E$13)</f>
        <v>15.1221</v>
      </c>
      <c r="F805" s="67">
        <f>15.1221 * CHOOSE(CONTROL!$C$26, $C$13, 100%, $E$13)</f>
        <v>15.1221</v>
      </c>
      <c r="G805" s="67">
        <f>15.1288 * CHOOSE(CONTROL!$C$26, $C$13, 100%, $E$13)</f>
        <v>15.1288</v>
      </c>
      <c r="H805" s="67">
        <f>28.2337* CHOOSE(CONTROL!$C$26, $C$13, 100%, $E$13)</f>
        <v>28.233699999999999</v>
      </c>
      <c r="I805" s="67">
        <f>28.2405 * CHOOSE(CONTROL!$C$26, $C$13, 100%, $E$13)</f>
        <v>28.240500000000001</v>
      </c>
      <c r="J805" s="67">
        <f>15.1221 * CHOOSE(CONTROL!$C$26, $C$13, 100%, $E$13)</f>
        <v>15.1221</v>
      </c>
      <c r="K805" s="67">
        <f>15.1288 * CHOOSE(CONTROL!$C$26, $C$13, 100%, $E$13)</f>
        <v>15.1288</v>
      </c>
    </row>
    <row r="806" spans="1:11" ht="15">
      <c r="A806" s="13">
        <v>65654</v>
      </c>
      <c r="B806" s="66">
        <f>13.3705 * CHOOSE(CONTROL!$C$26, $C$13, 100%, $E$13)</f>
        <v>13.3705</v>
      </c>
      <c r="C806" s="66">
        <f>13.3705 * CHOOSE(CONTROL!$C$26, $C$13, 100%, $E$13)</f>
        <v>13.3705</v>
      </c>
      <c r="D806" s="66">
        <f>13.3744 * CHOOSE(CONTROL!$C$26, $C$13, 100%, $E$13)</f>
        <v>13.3744</v>
      </c>
      <c r="E806" s="67">
        <f>15.2207 * CHOOSE(CONTROL!$C$26, $C$13, 100%, $E$13)</f>
        <v>15.220700000000001</v>
      </c>
      <c r="F806" s="67">
        <f>15.2207 * CHOOSE(CONTROL!$C$26, $C$13, 100%, $E$13)</f>
        <v>15.220700000000001</v>
      </c>
      <c r="G806" s="67">
        <f>15.2255 * CHOOSE(CONTROL!$C$26, $C$13, 100%, $E$13)</f>
        <v>15.2255</v>
      </c>
      <c r="H806" s="67">
        <f>28.2926* CHOOSE(CONTROL!$C$26, $C$13, 100%, $E$13)</f>
        <v>28.2926</v>
      </c>
      <c r="I806" s="67">
        <f>28.2973 * CHOOSE(CONTROL!$C$26, $C$13, 100%, $E$13)</f>
        <v>28.2973</v>
      </c>
      <c r="J806" s="67">
        <f>15.2207 * CHOOSE(CONTROL!$C$26, $C$13, 100%, $E$13)</f>
        <v>15.220700000000001</v>
      </c>
      <c r="K806" s="67">
        <f>15.2255 * CHOOSE(CONTROL!$C$26, $C$13, 100%, $E$13)</f>
        <v>15.2255</v>
      </c>
    </row>
    <row r="807" spans="1:11" ht="15">
      <c r="A807" s="13">
        <v>65685</v>
      </c>
      <c r="B807" s="66">
        <f>13.3736 * CHOOSE(CONTROL!$C$26, $C$13, 100%, $E$13)</f>
        <v>13.3736</v>
      </c>
      <c r="C807" s="66">
        <f>13.3736 * CHOOSE(CONTROL!$C$26, $C$13, 100%, $E$13)</f>
        <v>13.3736</v>
      </c>
      <c r="D807" s="66">
        <f>13.3774 * CHOOSE(CONTROL!$C$26, $C$13, 100%, $E$13)</f>
        <v>13.3774</v>
      </c>
      <c r="E807" s="67">
        <f>15.2789 * CHOOSE(CONTROL!$C$26, $C$13, 100%, $E$13)</f>
        <v>15.2789</v>
      </c>
      <c r="F807" s="67">
        <f>15.2789 * CHOOSE(CONTROL!$C$26, $C$13, 100%, $E$13)</f>
        <v>15.2789</v>
      </c>
      <c r="G807" s="67">
        <f>15.2837 * CHOOSE(CONTROL!$C$26, $C$13, 100%, $E$13)</f>
        <v>15.2837</v>
      </c>
      <c r="H807" s="67">
        <f>28.3515* CHOOSE(CONTROL!$C$26, $C$13, 100%, $E$13)</f>
        <v>28.351500000000001</v>
      </c>
      <c r="I807" s="67">
        <f>28.3563 * CHOOSE(CONTROL!$C$26, $C$13, 100%, $E$13)</f>
        <v>28.356300000000001</v>
      </c>
      <c r="J807" s="67">
        <f>15.2789 * CHOOSE(CONTROL!$C$26, $C$13, 100%, $E$13)</f>
        <v>15.2789</v>
      </c>
      <c r="K807" s="67">
        <f>15.2837 * CHOOSE(CONTROL!$C$26, $C$13, 100%, $E$13)</f>
        <v>15.2837</v>
      </c>
    </row>
    <row r="808" spans="1:11" ht="15">
      <c r="A808" s="13">
        <v>65715</v>
      </c>
      <c r="B808" s="66">
        <f>13.3736 * CHOOSE(CONTROL!$C$26, $C$13, 100%, $E$13)</f>
        <v>13.3736</v>
      </c>
      <c r="C808" s="66">
        <f>13.3736 * CHOOSE(CONTROL!$C$26, $C$13, 100%, $E$13)</f>
        <v>13.3736</v>
      </c>
      <c r="D808" s="66">
        <f>13.3774 * CHOOSE(CONTROL!$C$26, $C$13, 100%, $E$13)</f>
        <v>13.3774</v>
      </c>
      <c r="E808" s="67">
        <f>15.1388 * CHOOSE(CONTROL!$C$26, $C$13, 100%, $E$13)</f>
        <v>15.1388</v>
      </c>
      <c r="F808" s="67">
        <f>15.1388 * CHOOSE(CONTROL!$C$26, $C$13, 100%, $E$13)</f>
        <v>15.1388</v>
      </c>
      <c r="G808" s="67">
        <f>15.1436 * CHOOSE(CONTROL!$C$26, $C$13, 100%, $E$13)</f>
        <v>15.143599999999999</v>
      </c>
      <c r="H808" s="67">
        <f>28.4106* CHOOSE(CONTROL!$C$26, $C$13, 100%, $E$13)</f>
        <v>28.410599999999999</v>
      </c>
      <c r="I808" s="67">
        <f>28.4153 * CHOOSE(CONTROL!$C$26, $C$13, 100%, $E$13)</f>
        <v>28.415299999999998</v>
      </c>
      <c r="J808" s="67">
        <f>15.1388 * CHOOSE(CONTROL!$C$26, $C$13, 100%, $E$13)</f>
        <v>15.1388</v>
      </c>
      <c r="K808" s="67">
        <f>15.1436 * CHOOSE(CONTROL!$C$26, $C$13, 100%, $E$13)</f>
        <v>15.143599999999999</v>
      </c>
    </row>
    <row r="809" spans="1:11" ht="15">
      <c r="A809" s="13">
        <v>65746</v>
      </c>
      <c r="B809" s="66">
        <f>13.372 * CHOOSE(CONTROL!$C$26, $C$13, 100%, $E$13)</f>
        <v>13.372</v>
      </c>
      <c r="C809" s="66">
        <f>13.372 * CHOOSE(CONTROL!$C$26, $C$13, 100%, $E$13)</f>
        <v>13.372</v>
      </c>
      <c r="D809" s="66">
        <f>13.3759 * CHOOSE(CONTROL!$C$26, $C$13, 100%, $E$13)</f>
        <v>13.3759</v>
      </c>
      <c r="E809" s="67">
        <f>15.2488 * CHOOSE(CONTROL!$C$26, $C$13, 100%, $E$13)</f>
        <v>15.248799999999999</v>
      </c>
      <c r="F809" s="67">
        <f>15.2488 * CHOOSE(CONTROL!$C$26, $C$13, 100%, $E$13)</f>
        <v>15.248799999999999</v>
      </c>
      <c r="G809" s="67">
        <f>15.2536 * CHOOSE(CONTROL!$C$26, $C$13, 100%, $E$13)</f>
        <v>15.2536</v>
      </c>
      <c r="H809" s="67">
        <f>28.2501* CHOOSE(CONTROL!$C$26, $C$13, 100%, $E$13)</f>
        <v>28.2501</v>
      </c>
      <c r="I809" s="67">
        <f>28.2549 * CHOOSE(CONTROL!$C$26, $C$13, 100%, $E$13)</f>
        <v>28.254899999999999</v>
      </c>
      <c r="J809" s="67">
        <f>15.2488 * CHOOSE(CONTROL!$C$26, $C$13, 100%, $E$13)</f>
        <v>15.248799999999999</v>
      </c>
      <c r="K809" s="67">
        <f>15.2536 * CHOOSE(CONTROL!$C$26, $C$13, 100%, $E$13)</f>
        <v>15.2536</v>
      </c>
    </row>
    <row r="810" spans="1:11" ht="15">
      <c r="A810" s="13">
        <v>65777</v>
      </c>
      <c r="B810" s="66">
        <f>13.369 * CHOOSE(CONTROL!$C$26, $C$13, 100%, $E$13)</f>
        <v>13.369</v>
      </c>
      <c r="C810" s="66">
        <f>13.369 * CHOOSE(CONTROL!$C$26, $C$13, 100%, $E$13)</f>
        <v>13.369</v>
      </c>
      <c r="D810" s="66">
        <f>13.3729 * CHOOSE(CONTROL!$C$26, $C$13, 100%, $E$13)</f>
        <v>13.3729</v>
      </c>
      <c r="E810" s="67">
        <f>14.9769 * CHOOSE(CONTROL!$C$26, $C$13, 100%, $E$13)</f>
        <v>14.976900000000001</v>
      </c>
      <c r="F810" s="67">
        <f>14.9769 * CHOOSE(CONTROL!$C$26, $C$13, 100%, $E$13)</f>
        <v>14.976900000000001</v>
      </c>
      <c r="G810" s="67">
        <f>14.9817 * CHOOSE(CONTROL!$C$26, $C$13, 100%, $E$13)</f>
        <v>14.9817</v>
      </c>
      <c r="H810" s="67">
        <f>28.309* CHOOSE(CONTROL!$C$26, $C$13, 100%, $E$13)</f>
        <v>28.309000000000001</v>
      </c>
      <c r="I810" s="67">
        <f>28.3137 * CHOOSE(CONTROL!$C$26, $C$13, 100%, $E$13)</f>
        <v>28.313700000000001</v>
      </c>
      <c r="J810" s="67">
        <f>14.9769 * CHOOSE(CONTROL!$C$26, $C$13, 100%, $E$13)</f>
        <v>14.976900000000001</v>
      </c>
      <c r="K810" s="67">
        <f>14.9817 * CHOOSE(CONTROL!$C$26, $C$13, 100%, $E$13)</f>
        <v>14.9817</v>
      </c>
    </row>
    <row r="811" spans="1:11" ht="15">
      <c r="A811" s="13">
        <v>65806</v>
      </c>
      <c r="B811" s="66">
        <f>13.3659 * CHOOSE(CONTROL!$C$26, $C$13, 100%, $E$13)</f>
        <v>13.3659</v>
      </c>
      <c r="C811" s="66">
        <f>13.3659 * CHOOSE(CONTROL!$C$26, $C$13, 100%, $E$13)</f>
        <v>13.3659</v>
      </c>
      <c r="D811" s="66">
        <f>13.3698 * CHOOSE(CONTROL!$C$26, $C$13, 100%, $E$13)</f>
        <v>13.3698</v>
      </c>
      <c r="E811" s="67">
        <f>15.1874 * CHOOSE(CONTROL!$C$26, $C$13, 100%, $E$13)</f>
        <v>15.1874</v>
      </c>
      <c r="F811" s="67">
        <f>15.1874 * CHOOSE(CONTROL!$C$26, $C$13, 100%, $E$13)</f>
        <v>15.1874</v>
      </c>
      <c r="G811" s="67">
        <f>15.1922 * CHOOSE(CONTROL!$C$26, $C$13, 100%, $E$13)</f>
        <v>15.1922</v>
      </c>
      <c r="H811" s="67">
        <f>28.3679* CHOOSE(CONTROL!$C$26, $C$13, 100%, $E$13)</f>
        <v>28.367899999999999</v>
      </c>
      <c r="I811" s="67">
        <f>28.3727 * CHOOSE(CONTROL!$C$26, $C$13, 100%, $E$13)</f>
        <v>28.372699999999998</v>
      </c>
      <c r="J811" s="67">
        <f>15.1874 * CHOOSE(CONTROL!$C$26, $C$13, 100%, $E$13)</f>
        <v>15.1874</v>
      </c>
      <c r="K811" s="67">
        <f>15.1922 * CHOOSE(CONTROL!$C$26, $C$13, 100%, $E$13)</f>
        <v>15.1922</v>
      </c>
    </row>
    <row r="812" spans="1:11" ht="15">
      <c r="A812" s="13">
        <v>65837</v>
      </c>
      <c r="B812" s="66">
        <f>13.3715 * CHOOSE(CONTROL!$C$26, $C$13, 100%, $E$13)</f>
        <v>13.371499999999999</v>
      </c>
      <c r="C812" s="66">
        <f>13.3715 * CHOOSE(CONTROL!$C$26, $C$13, 100%, $E$13)</f>
        <v>13.371499999999999</v>
      </c>
      <c r="D812" s="66">
        <f>13.3753 * CHOOSE(CONTROL!$C$26, $C$13, 100%, $E$13)</f>
        <v>13.375299999999999</v>
      </c>
      <c r="E812" s="67">
        <f>15.4116 * CHOOSE(CONTROL!$C$26, $C$13, 100%, $E$13)</f>
        <v>15.4116</v>
      </c>
      <c r="F812" s="67">
        <f>15.4116 * CHOOSE(CONTROL!$C$26, $C$13, 100%, $E$13)</f>
        <v>15.4116</v>
      </c>
      <c r="G812" s="67">
        <f>15.4164 * CHOOSE(CONTROL!$C$26, $C$13, 100%, $E$13)</f>
        <v>15.416399999999999</v>
      </c>
      <c r="H812" s="67">
        <f>28.427* CHOOSE(CONTROL!$C$26, $C$13, 100%, $E$13)</f>
        <v>28.427</v>
      </c>
      <c r="I812" s="67">
        <f>28.4318 * CHOOSE(CONTROL!$C$26, $C$13, 100%, $E$13)</f>
        <v>28.431799999999999</v>
      </c>
      <c r="J812" s="67">
        <f>15.4116 * CHOOSE(CONTROL!$C$26, $C$13, 100%, $E$13)</f>
        <v>15.4116</v>
      </c>
      <c r="K812" s="67">
        <f>15.4164 * CHOOSE(CONTROL!$C$26, $C$13, 100%, $E$13)</f>
        <v>15.416399999999999</v>
      </c>
    </row>
    <row r="813" spans="1:11" ht="15">
      <c r="A813" s="13">
        <v>65867</v>
      </c>
      <c r="B813" s="66">
        <f>13.3715 * CHOOSE(CONTROL!$C$26, $C$13, 100%, $E$13)</f>
        <v>13.371499999999999</v>
      </c>
      <c r="C813" s="66">
        <f>13.3715 * CHOOSE(CONTROL!$C$26, $C$13, 100%, $E$13)</f>
        <v>13.371499999999999</v>
      </c>
      <c r="D813" s="66">
        <f>13.377 * CHOOSE(CONTROL!$C$26, $C$13, 100%, $E$13)</f>
        <v>13.377000000000001</v>
      </c>
      <c r="E813" s="67">
        <f>15.4973 * CHOOSE(CONTROL!$C$26, $C$13, 100%, $E$13)</f>
        <v>15.497299999999999</v>
      </c>
      <c r="F813" s="67">
        <f>15.4973 * CHOOSE(CONTROL!$C$26, $C$13, 100%, $E$13)</f>
        <v>15.497299999999999</v>
      </c>
      <c r="G813" s="67">
        <f>15.504 * CHOOSE(CONTROL!$C$26, $C$13, 100%, $E$13)</f>
        <v>15.504</v>
      </c>
      <c r="H813" s="67">
        <f>28.4863* CHOOSE(CONTROL!$C$26, $C$13, 100%, $E$13)</f>
        <v>28.4863</v>
      </c>
      <c r="I813" s="67">
        <f>28.493 * CHOOSE(CONTROL!$C$26, $C$13, 100%, $E$13)</f>
        <v>28.492999999999999</v>
      </c>
      <c r="J813" s="67">
        <f>15.4973 * CHOOSE(CONTROL!$C$26, $C$13, 100%, $E$13)</f>
        <v>15.497299999999999</v>
      </c>
      <c r="K813" s="67">
        <f>15.504 * CHOOSE(CONTROL!$C$26, $C$13, 100%, $E$13)</f>
        <v>15.504</v>
      </c>
    </row>
    <row r="814" spans="1:11" ht="15">
      <c r="A814" s="13">
        <v>65898</v>
      </c>
      <c r="B814" s="66">
        <f>13.3775 * CHOOSE(CONTROL!$C$26, $C$13, 100%, $E$13)</f>
        <v>13.3775</v>
      </c>
      <c r="C814" s="66">
        <f>13.3775 * CHOOSE(CONTROL!$C$26, $C$13, 100%, $E$13)</f>
        <v>13.3775</v>
      </c>
      <c r="D814" s="66">
        <f>13.383 * CHOOSE(CONTROL!$C$26, $C$13, 100%, $E$13)</f>
        <v>13.382999999999999</v>
      </c>
      <c r="E814" s="67">
        <f>15.4159 * CHOOSE(CONTROL!$C$26, $C$13, 100%, $E$13)</f>
        <v>15.415900000000001</v>
      </c>
      <c r="F814" s="67">
        <f>15.4159 * CHOOSE(CONTROL!$C$26, $C$13, 100%, $E$13)</f>
        <v>15.415900000000001</v>
      </c>
      <c r="G814" s="67">
        <f>15.4226 * CHOOSE(CONTROL!$C$26, $C$13, 100%, $E$13)</f>
        <v>15.422599999999999</v>
      </c>
      <c r="H814" s="67">
        <f>28.5456* CHOOSE(CONTROL!$C$26, $C$13, 100%, $E$13)</f>
        <v>28.5456</v>
      </c>
      <c r="I814" s="67">
        <f>28.5523 * CHOOSE(CONTROL!$C$26, $C$13, 100%, $E$13)</f>
        <v>28.552299999999999</v>
      </c>
      <c r="J814" s="67">
        <f>15.4159 * CHOOSE(CONTROL!$C$26, $C$13, 100%, $E$13)</f>
        <v>15.415900000000001</v>
      </c>
      <c r="K814" s="67">
        <f>15.4226 * CHOOSE(CONTROL!$C$26, $C$13, 100%, $E$13)</f>
        <v>15.422599999999999</v>
      </c>
    </row>
    <row r="815" spans="1:11" ht="15">
      <c r="A815" s="13">
        <v>65928</v>
      </c>
      <c r="B815" s="66">
        <f>13.5809 * CHOOSE(CONTROL!$C$26, $C$13, 100%, $E$13)</f>
        <v>13.5809</v>
      </c>
      <c r="C815" s="66">
        <f>13.5809 * CHOOSE(CONTROL!$C$26, $C$13, 100%, $E$13)</f>
        <v>13.5809</v>
      </c>
      <c r="D815" s="66">
        <f>13.5864 * CHOOSE(CONTROL!$C$26, $C$13, 100%, $E$13)</f>
        <v>13.586399999999999</v>
      </c>
      <c r="E815" s="67">
        <f>15.6616 * CHOOSE(CONTROL!$C$26, $C$13, 100%, $E$13)</f>
        <v>15.6616</v>
      </c>
      <c r="F815" s="67">
        <f>15.6616 * CHOOSE(CONTROL!$C$26, $C$13, 100%, $E$13)</f>
        <v>15.6616</v>
      </c>
      <c r="G815" s="67">
        <f>15.6683 * CHOOSE(CONTROL!$C$26, $C$13, 100%, $E$13)</f>
        <v>15.6683</v>
      </c>
      <c r="H815" s="67">
        <f>28.6051* CHOOSE(CONTROL!$C$26, $C$13, 100%, $E$13)</f>
        <v>28.6051</v>
      </c>
      <c r="I815" s="67">
        <f>28.6118 * CHOOSE(CONTROL!$C$26, $C$13, 100%, $E$13)</f>
        <v>28.611799999999999</v>
      </c>
      <c r="J815" s="67">
        <f>15.6616 * CHOOSE(CONTROL!$C$26, $C$13, 100%, $E$13)</f>
        <v>15.6616</v>
      </c>
      <c r="K815" s="67">
        <f>15.6683 * CHOOSE(CONTROL!$C$26, $C$13, 100%, $E$13)</f>
        <v>15.6683</v>
      </c>
    </row>
    <row r="816" spans="1:11" ht="15">
      <c r="A816" s="13">
        <v>65959</v>
      </c>
      <c r="B816" s="66">
        <f>13.5876 * CHOOSE(CONTROL!$C$26, $C$13, 100%, $E$13)</f>
        <v>13.5876</v>
      </c>
      <c r="C816" s="66">
        <f>13.5876 * CHOOSE(CONTROL!$C$26, $C$13, 100%, $E$13)</f>
        <v>13.5876</v>
      </c>
      <c r="D816" s="66">
        <f>13.5931 * CHOOSE(CONTROL!$C$26, $C$13, 100%, $E$13)</f>
        <v>13.5931</v>
      </c>
      <c r="E816" s="67">
        <f>15.4093 * CHOOSE(CONTROL!$C$26, $C$13, 100%, $E$13)</f>
        <v>15.4093</v>
      </c>
      <c r="F816" s="67">
        <f>15.4093 * CHOOSE(CONTROL!$C$26, $C$13, 100%, $E$13)</f>
        <v>15.4093</v>
      </c>
      <c r="G816" s="67">
        <f>15.416 * CHOOSE(CONTROL!$C$26, $C$13, 100%, $E$13)</f>
        <v>15.416</v>
      </c>
      <c r="H816" s="67">
        <f>28.6647* CHOOSE(CONTROL!$C$26, $C$13, 100%, $E$13)</f>
        <v>28.6647</v>
      </c>
      <c r="I816" s="67">
        <f>28.6714 * CHOOSE(CONTROL!$C$26, $C$13, 100%, $E$13)</f>
        <v>28.671399999999998</v>
      </c>
      <c r="J816" s="67">
        <f>15.4093 * CHOOSE(CONTROL!$C$26, $C$13, 100%, $E$13)</f>
        <v>15.4093</v>
      </c>
      <c r="K816" s="67">
        <f>15.416 * CHOOSE(CONTROL!$C$26, $C$13, 100%, $E$13)</f>
        <v>15.416</v>
      </c>
    </row>
    <row r="817" spans="1:11" ht="15">
      <c r="A817" s="13">
        <v>65990</v>
      </c>
      <c r="B817" s="66">
        <f>13.5845 * CHOOSE(CONTROL!$C$26, $C$13, 100%, $E$13)</f>
        <v>13.5845</v>
      </c>
      <c r="C817" s="66">
        <f>13.5845 * CHOOSE(CONTROL!$C$26, $C$13, 100%, $E$13)</f>
        <v>13.5845</v>
      </c>
      <c r="D817" s="66">
        <f>13.59 * CHOOSE(CONTROL!$C$26, $C$13, 100%, $E$13)</f>
        <v>13.59</v>
      </c>
      <c r="E817" s="67">
        <f>15.3786 * CHOOSE(CONTROL!$C$26, $C$13, 100%, $E$13)</f>
        <v>15.3786</v>
      </c>
      <c r="F817" s="67">
        <f>15.3786 * CHOOSE(CONTROL!$C$26, $C$13, 100%, $E$13)</f>
        <v>15.3786</v>
      </c>
      <c r="G817" s="67">
        <f>15.3853 * CHOOSE(CONTROL!$C$26, $C$13, 100%, $E$13)</f>
        <v>15.385300000000001</v>
      </c>
      <c r="H817" s="67">
        <f>28.7244* CHOOSE(CONTROL!$C$26, $C$13, 100%, $E$13)</f>
        <v>28.724399999999999</v>
      </c>
      <c r="I817" s="67">
        <f>28.7311 * CHOOSE(CONTROL!$C$26, $C$13, 100%, $E$13)</f>
        <v>28.731100000000001</v>
      </c>
      <c r="J817" s="67">
        <f>15.3786 * CHOOSE(CONTROL!$C$26, $C$13, 100%, $E$13)</f>
        <v>15.3786</v>
      </c>
      <c r="K817" s="67">
        <f>15.3853 * CHOOSE(CONTROL!$C$26, $C$13, 100%, $E$13)</f>
        <v>15.385300000000001</v>
      </c>
    </row>
    <row r="818" spans="1:11" ht="15">
      <c r="A818" s="13">
        <v>66020</v>
      </c>
      <c r="B818" s="66">
        <f>13.6105 * CHOOSE(CONTROL!$C$26, $C$13, 100%, $E$13)</f>
        <v>13.6105</v>
      </c>
      <c r="C818" s="66">
        <f>13.6105 * CHOOSE(CONTROL!$C$26, $C$13, 100%, $E$13)</f>
        <v>13.6105</v>
      </c>
      <c r="D818" s="66">
        <f>13.6143 * CHOOSE(CONTROL!$C$26, $C$13, 100%, $E$13)</f>
        <v>13.6143</v>
      </c>
      <c r="E818" s="67">
        <f>15.4794 * CHOOSE(CONTROL!$C$26, $C$13, 100%, $E$13)</f>
        <v>15.4794</v>
      </c>
      <c r="F818" s="67">
        <f>15.4794 * CHOOSE(CONTROL!$C$26, $C$13, 100%, $E$13)</f>
        <v>15.4794</v>
      </c>
      <c r="G818" s="67">
        <f>15.4842 * CHOOSE(CONTROL!$C$26, $C$13, 100%, $E$13)</f>
        <v>15.4842</v>
      </c>
      <c r="H818" s="67">
        <f>28.7842* CHOOSE(CONTROL!$C$26, $C$13, 100%, $E$13)</f>
        <v>28.784199999999998</v>
      </c>
      <c r="I818" s="67">
        <f>28.789 * CHOOSE(CONTROL!$C$26, $C$13, 100%, $E$13)</f>
        <v>28.789000000000001</v>
      </c>
      <c r="J818" s="67">
        <f>15.4794 * CHOOSE(CONTROL!$C$26, $C$13, 100%, $E$13)</f>
        <v>15.4794</v>
      </c>
      <c r="K818" s="67">
        <f>15.4842 * CHOOSE(CONTROL!$C$26, $C$13, 100%, $E$13)</f>
        <v>15.4842</v>
      </c>
    </row>
    <row r="819" spans="1:11" ht="15">
      <c r="A819" s="13">
        <v>66051</v>
      </c>
      <c r="B819" s="66">
        <f>13.6135 * CHOOSE(CONTROL!$C$26, $C$13, 100%, $E$13)</f>
        <v>13.6135</v>
      </c>
      <c r="C819" s="66">
        <f>13.6135 * CHOOSE(CONTROL!$C$26, $C$13, 100%, $E$13)</f>
        <v>13.6135</v>
      </c>
      <c r="D819" s="66">
        <f>13.6174 * CHOOSE(CONTROL!$C$26, $C$13, 100%, $E$13)</f>
        <v>13.6174</v>
      </c>
      <c r="E819" s="67">
        <f>15.5386 * CHOOSE(CONTROL!$C$26, $C$13, 100%, $E$13)</f>
        <v>15.538600000000001</v>
      </c>
      <c r="F819" s="67">
        <f>15.5386 * CHOOSE(CONTROL!$C$26, $C$13, 100%, $E$13)</f>
        <v>15.538600000000001</v>
      </c>
      <c r="G819" s="67">
        <f>15.5434 * CHOOSE(CONTROL!$C$26, $C$13, 100%, $E$13)</f>
        <v>15.5434</v>
      </c>
      <c r="H819" s="67">
        <f>28.8442* CHOOSE(CONTROL!$C$26, $C$13, 100%, $E$13)</f>
        <v>28.844200000000001</v>
      </c>
      <c r="I819" s="67">
        <f>28.849 * CHOOSE(CONTROL!$C$26, $C$13, 100%, $E$13)</f>
        <v>28.849</v>
      </c>
      <c r="J819" s="67">
        <f>15.5386 * CHOOSE(CONTROL!$C$26, $C$13, 100%, $E$13)</f>
        <v>15.538600000000001</v>
      </c>
      <c r="K819" s="67">
        <f>15.5434 * CHOOSE(CONTROL!$C$26, $C$13, 100%, $E$13)</f>
        <v>15.5434</v>
      </c>
    </row>
    <row r="820" spans="1:11" ht="15">
      <c r="A820" s="13">
        <v>66081</v>
      </c>
      <c r="B820" s="66">
        <f>13.6135 * CHOOSE(CONTROL!$C$26, $C$13, 100%, $E$13)</f>
        <v>13.6135</v>
      </c>
      <c r="C820" s="66">
        <f>13.6135 * CHOOSE(CONTROL!$C$26, $C$13, 100%, $E$13)</f>
        <v>13.6135</v>
      </c>
      <c r="D820" s="66">
        <f>13.6174 * CHOOSE(CONTROL!$C$26, $C$13, 100%, $E$13)</f>
        <v>13.6174</v>
      </c>
      <c r="E820" s="67">
        <f>15.3959 * CHOOSE(CONTROL!$C$26, $C$13, 100%, $E$13)</f>
        <v>15.395899999999999</v>
      </c>
      <c r="F820" s="67">
        <f>15.3959 * CHOOSE(CONTROL!$C$26, $C$13, 100%, $E$13)</f>
        <v>15.395899999999999</v>
      </c>
      <c r="G820" s="67">
        <f>15.4006 * CHOOSE(CONTROL!$C$26, $C$13, 100%, $E$13)</f>
        <v>15.400600000000001</v>
      </c>
      <c r="H820" s="67">
        <f>28.9043* CHOOSE(CONTROL!$C$26, $C$13, 100%, $E$13)</f>
        <v>28.904299999999999</v>
      </c>
      <c r="I820" s="67">
        <f>28.9091 * CHOOSE(CONTROL!$C$26, $C$13, 100%, $E$13)</f>
        <v>28.909099999999999</v>
      </c>
      <c r="J820" s="67">
        <f>15.3959 * CHOOSE(CONTROL!$C$26, $C$13, 100%, $E$13)</f>
        <v>15.395899999999999</v>
      </c>
      <c r="K820" s="67">
        <f>15.4006 * CHOOSE(CONTROL!$C$26, $C$13, 100%, $E$13)</f>
        <v>15.400600000000001</v>
      </c>
    </row>
    <row r="821" spans="1:11" ht="15">
      <c r="A821" s="13">
        <v>66112</v>
      </c>
      <c r="B821" s="66">
        <f>13.6076 * CHOOSE(CONTROL!$C$26, $C$13, 100%, $E$13)</f>
        <v>13.6076</v>
      </c>
      <c r="C821" s="66">
        <f>13.6076 * CHOOSE(CONTROL!$C$26, $C$13, 100%, $E$13)</f>
        <v>13.6076</v>
      </c>
      <c r="D821" s="66">
        <f>13.6115 * CHOOSE(CONTROL!$C$26, $C$13, 100%, $E$13)</f>
        <v>13.611499999999999</v>
      </c>
      <c r="E821" s="67">
        <f>15.5035 * CHOOSE(CONTROL!$C$26, $C$13, 100%, $E$13)</f>
        <v>15.503500000000001</v>
      </c>
      <c r="F821" s="67">
        <f>15.5035 * CHOOSE(CONTROL!$C$26, $C$13, 100%, $E$13)</f>
        <v>15.503500000000001</v>
      </c>
      <c r="G821" s="67">
        <f>15.5083 * CHOOSE(CONTROL!$C$26, $C$13, 100%, $E$13)</f>
        <v>15.5083</v>
      </c>
      <c r="H821" s="67">
        <f>28.7326* CHOOSE(CONTROL!$C$26, $C$13, 100%, $E$13)</f>
        <v>28.732600000000001</v>
      </c>
      <c r="I821" s="67">
        <f>28.7374 * CHOOSE(CONTROL!$C$26, $C$13, 100%, $E$13)</f>
        <v>28.737400000000001</v>
      </c>
      <c r="J821" s="67">
        <f>15.5035 * CHOOSE(CONTROL!$C$26, $C$13, 100%, $E$13)</f>
        <v>15.503500000000001</v>
      </c>
      <c r="K821" s="67">
        <f>15.5083 * CHOOSE(CONTROL!$C$26, $C$13, 100%, $E$13)</f>
        <v>15.5083</v>
      </c>
    </row>
    <row r="822" spans="1:11" ht="15">
      <c r="A822" s="13">
        <v>66143</v>
      </c>
      <c r="B822" s="66">
        <f>13.6046 * CHOOSE(CONTROL!$C$26, $C$13, 100%, $E$13)</f>
        <v>13.6046</v>
      </c>
      <c r="C822" s="66">
        <f>13.6046 * CHOOSE(CONTROL!$C$26, $C$13, 100%, $E$13)</f>
        <v>13.6046</v>
      </c>
      <c r="D822" s="66">
        <f>13.6084 * CHOOSE(CONTROL!$C$26, $C$13, 100%, $E$13)</f>
        <v>13.6084</v>
      </c>
      <c r="E822" s="67">
        <f>15.2267 * CHOOSE(CONTROL!$C$26, $C$13, 100%, $E$13)</f>
        <v>15.226699999999999</v>
      </c>
      <c r="F822" s="67">
        <f>15.2267 * CHOOSE(CONTROL!$C$26, $C$13, 100%, $E$13)</f>
        <v>15.226699999999999</v>
      </c>
      <c r="G822" s="67">
        <f>15.2314 * CHOOSE(CONTROL!$C$26, $C$13, 100%, $E$13)</f>
        <v>15.231400000000001</v>
      </c>
      <c r="H822" s="67">
        <f>28.7925* CHOOSE(CONTROL!$C$26, $C$13, 100%, $E$13)</f>
        <v>28.7925</v>
      </c>
      <c r="I822" s="67">
        <f>28.7973 * CHOOSE(CONTROL!$C$26, $C$13, 100%, $E$13)</f>
        <v>28.7973</v>
      </c>
      <c r="J822" s="67">
        <f>15.2267 * CHOOSE(CONTROL!$C$26, $C$13, 100%, $E$13)</f>
        <v>15.226699999999999</v>
      </c>
      <c r="K822" s="67">
        <f>15.2314 * CHOOSE(CONTROL!$C$26, $C$13, 100%, $E$13)</f>
        <v>15.231400000000001</v>
      </c>
    </row>
    <row r="823" spans="1:11" ht="15">
      <c r="A823" s="13">
        <v>66171</v>
      </c>
      <c r="B823" s="66">
        <f>13.6015 * CHOOSE(CONTROL!$C$26, $C$13, 100%, $E$13)</f>
        <v>13.6015</v>
      </c>
      <c r="C823" s="66">
        <f>13.6015 * CHOOSE(CONTROL!$C$26, $C$13, 100%, $E$13)</f>
        <v>13.6015</v>
      </c>
      <c r="D823" s="66">
        <f>13.6054 * CHOOSE(CONTROL!$C$26, $C$13, 100%, $E$13)</f>
        <v>13.605399999999999</v>
      </c>
      <c r="E823" s="67">
        <f>15.4411 * CHOOSE(CONTROL!$C$26, $C$13, 100%, $E$13)</f>
        <v>15.4411</v>
      </c>
      <c r="F823" s="67">
        <f>15.4411 * CHOOSE(CONTROL!$C$26, $C$13, 100%, $E$13)</f>
        <v>15.4411</v>
      </c>
      <c r="G823" s="67">
        <f>15.4459 * CHOOSE(CONTROL!$C$26, $C$13, 100%, $E$13)</f>
        <v>15.4459</v>
      </c>
      <c r="H823" s="67">
        <f>28.8525* CHOOSE(CONTROL!$C$26, $C$13, 100%, $E$13)</f>
        <v>28.852499999999999</v>
      </c>
      <c r="I823" s="67">
        <f>28.8573 * CHOOSE(CONTROL!$C$26, $C$13, 100%, $E$13)</f>
        <v>28.857299999999999</v>
      </c>
      <c r="J823" s="67">
        <f>15.4411 * CHOOSE(CONTROL!$C$26, $C$13, 100%, $E$13)</f>
        <v>15.4411</v>
      </c>
      <c r="K823" s="67">
        <f>15.4459 * CHOOSE(CONTROL!$C$26, $C$13, 100%, $E$13)</f>
        <v>15.4459</v>
      </c>
    </row>
    <row r="824" spans="1:11" ht="15">
      <c r="A824" s="13">
        <v>66202</v>
      </c>
      <c r="B824" s="66">
        <f>13.6072 * CHOOSE(CONTROL!$C$26, $C$13, 100%, $E$13)</f>
        <v>13.607200000000001</v>
      </c>
      <c r="C824" s="66">
        <f>13.6072 * CHOOSE(CONTROL!$C$26, $C$13, 100%, $E$13)</f>
        <v>13.607200000000001</v>
      </c>
      <c r="D824" s="66">
        <f>13.6111 * CHOOSE(CONTROL!$C$26, $C$13, 100%, $E$13)</f>
        <v>13.6111</v>
      </c>
      <c r="E824" s="67">
        <f>15.6695 * CHOOSE(CONTROL!$C$26, $C$13, 100%, $E$13)</f>
        <v>15.669499999999999</v>
      </c>
      <c r="F824" s="67">
        <f>15.6695 * CHOOSE(CONTROL!$C$26, $C$13, 100%, $E$13)</f>
        <v>15.669499999999999</v>
      </c>
      <c r="G824" s="67">
        <f>15.6742 * CHOOSE(CONTROL!$C$26, $C$13, 100%, $E$13)</f>
        <v>15.674200000000001</v>
      </c>
      <c r="H824" s="67">
        <f>28.9126* CHOOSE(CONTROL!$C$26, $C$13, 100%, $E$13)</f>
        <v>28.912600000000001</v>
      </c>
      <c r="I824" s="67">
        <f>28.9174 * CHOOSE(CONTROL!$C$26, $C$13, 100%, $E$13)</f>
        <v>28.917400000000001</v>
      </c>
      <c r="J824" s="67">
        <f>15.6695 * CHOOSE(CONTROL!$C$26, $C$13, 100%, $E$13)</f>
        <v>15.669499999999999</v>
      </c>
      <c r="K824" s="67">
        <f>15.6742 * CHOOSE(CONTROL!$C$26, $C$13, 100%, $E$13)</f>
        <v>15.674200000000001</v>
      </c>
    </row>
    <row r="825" spans="1:11" ht="15">
      <c r="A825" s="13">
        <v>66232</v>
      </c>
      <c r="B825" s="66">
        <f>13.6072 * CHOOSE(CONTROL!$C$26, $C$13, 100%, $E$13)</f>
        <v>13.607200000000001</v>
      </c>
      <c r="C825" s="66">
        <f>13.6072 * CHOOSE(CONTROL!$C$26, $C$13, 100%, $E$13)</f>
        <v>13.607200000000001</v>
      </c>
      <c r="D825" s="66">
        <f>13.6127 * CHOOSE(CONTROL!$C$26, $C$13, 100%, $E$13)</f>
        <v>13.6127</v>
      </c>
      <c r="E825" s="67">
        <f>15.7567 * CHOOSE(CONTROL!$C$26, $C$13, 100%, $E$13)</f>
        <v>15.7567</v>
      </c>
      <c r="F825" s="67">
        <f>15.7567 * CHOOSE(CONTROL!$C$26, $C$13, 100%, $E$13)</f>
        <v>15.7567</v>
      </c>
      <c r="G825" s="67">
        <f>15.7634 * CHOOSE(CONTROL!$C$26, $C$13, 100%, $E$13)</f>
        <v>15.763400000000001</v>
      </c>
      <c r="H825" s="67">
        <f>28.9728* CHOOSE(CONTROL!$C$26, $C$13, 100%, $E$13)</f>
        <v>28.972799999999999</v>
      </c>
      <c r="I825" s="67">
        <f>28.9796 * CHOOSE(CONTROL!$C$26, $C$13, 100%, $E$13)</f>
        <v>28.979600000000001</v>
      </c>
      <c r="J825" s="67">
        <f>15.7567 * CHOOSE(CONTROL!$C$26, $C$13, 100%, $E$13)</f>
        <v>15.7567</v>
      </c>
      <c r="K825" s="67">
        <f>15.7634 * CHOOSE(CONTROL!$C$26, $C$13, 100%, $E$13)</f>
        <v>15.763400000000001</v>
      </c>
    </row>
    <row r="826" spans="1:11" ht="15">
      <c r="A826" s="13">
        <v>66263</v>
      </c>
      <c r="B826" s="66">
        <f>13.6133 * CHOOSE(CONTROL!$C$26, $C$13, 100%, $E$13)</f>
        <v>13.613300000000001</v>
      </c>
      <c r="C826" s="66">
        <f>13.6133 * CHOOSE(CONTROL!$C$26, $C$13, 100%, $E$13)</f>
        <v>13.613300000000001</v>
      </c>
      <c r="D826" s="66">
        <f>13.6188 * CHOOSE(CONTROL!$C$26, $C$13, 100%, $E$13)</f>
        <v>13.6188</v>
      </c>
      <c r="E826" s="67">
        <f>15.6737 * CHOOSE(CONTROL!$C$26, $C$13, 100%, $E$13)</f>
        <v>15.6737</v>
      </c>
      <c r="F826" s="67">
        <f>15.6737 * CHOOSE(CONTROL!$C$26, $C$13, 100%, $E$13)</f>
        <v>15.6737</v>
      </c>
      <c r="G826" s="67">
        <f>15.6805 * CHOOSE(CONTROL!$C$26, $C$13, 100%, $E$13)</f>
        <v>15.6805</v>
      </c>
      <c r="H826" s="67">
        <f>29.0332* CHOOSE(CONTROL!$C$26, $C$13, 100%, $E$13)</f>
        <v>29.033200000000001</v>
      </c>
      <c r="I826" s="67">
        <f>29.0399 * CHOOSE(CONTROL!$C$26, $C$13, 100%, $E$13)</f>
        <v>29.039899999999999</v>
      </c>
      <c r="J826" s="67">
        <f>15.6737 * CHOOSE(CONTROL!$C$26, $C$13, 100%, $E$13)</f>
        <v>15.6737</v>
      </c>
      <c r="K826" s="67">
        <f>15.6805 * CHOOSE(CONTROL!$C$26, $C$13, 100%, $E$13)</f>
        <v>15.6805</v>
      </c>
    </row>
    <row r="827" spans="1:11" ht="15">
      <c r="A827" s="13">
        <v>66293</v>
      </c>
      <c r="B827" s="66">
        <f>13.8201 * CHOOSE(CONTROL!$C$26, $C$13, 100%, $E$13)</f>
        <v>13.8201</v>
      </c>
      <c r="C827" s="66">
        <f>13.8201 * CHOOSE(CONTROL!$C$26, $C$13, 100%, $E$13)</f>
        <v>13.8201</v>
      </c>
      <c r="D827" s="66">
        <f>13.8256 * CHOOSE(CONTROL!$C$26, $C$13, 100%, $E$13)</f>
        <v>13.8256</v>
      </c>
      <c r="E827" s="67">
        <f>15.9233 * CHOOSE(CONTROL!$C$26, $C$13, 100%, $E$13)</f>
        <v>15.923299999999999</v>
      </c>
      <c r="F827" s="67">
        <f>15.9233 * CHOOSE(CONTROL!$C$26, $C$13, 100%, $E$13)</f>
        <v>15.923299999999999</v>
      </c>
      <c r="G827" s="67">
        <f>15.9301 * CHOOSE(CONTROL!$C$26, $C$13, 100%, $E$13)</f>
        <v>15.930099999999999</v>
      </c>
      <c r="H827" s="67">
        <f>29.0937* CHOOSE(CONTROL!$C$26, $C$13, 100%, $E$13)</f>
        <v>29.093699999999998</v>
      </c>
      <c r="I827" s="67">
        <f>29.1004 * CHOOSE(CONTROL!$C$26, $C$13, 100%, $E$13)</f>
        <v>29.1004</v>
      </c>
      <c r="J827" s="67">
        <f>15.9233 * CHOOSE(CONTROL!$C$26, $C$13, 100%, $E$13)</f>
        <v>15.923299999999999</v>
      </c>
      <c r="K827" s="67">
        <f>15.9301 * CHOOSE(CONTROL!$C$26, $C$13, 100%, $E$13)</f>
        <v>15.930099999999999</v>
      </c>
    </row>
    <row r="828" spans="1:11" ht="15">
      <c r="A828" s="13">
        <v>66324</v>
      </c>
      <c r="B828" s="66">
        <f>13.8268 * CHOOSE(CONTROL!$C$26, $C$13, 100%, $E$13)</f>
        <v>13.8268</v>
      </c>
      <c r="C828" s="66">
        <f>13.8268 * CHOOSE(CONTROL!$C$26, $C$13, 100%, $E$13)</f>
        <v>13.8268</v>
      </c>
      <c r="D828" s="66">
        <f>13.8323 * CHOOSE(CONTROL!$C$26, $C$13, 100%, $E$13)</f>
        <v>13.8323</v>
      </c>
      <c r="E828" s="67">
        <f>15.6663 * CHOOSE(CONTROL!$C$26, $C$13, 100%, $E$13)</f>
        <v>15.6663</v>
      </c>
      <c r="F828" s="67">
        <f>15.6663 * CHOOSE(CONTROL!$C$26, $C$13, 100%, $E$13)</f>
        <v>15.6663</v>
      </c>
      <c r="G828" s="67">
        <f>15.6731 * CHOOSE(CONTROL!$C$26, $C$13, 100%, $E$13)</f>
        <v>15.6731</v>
      </c>
      <c r="H828" s="67">
        <f>29.1543* CHOOSE(CONTROL!$C$26, $C$13, 100%, $E$13)</f>
        <v>29.154299999999999</v>
      </c>
      <c r="I828" s="67">
        <f>29.161 * CHOOSE(CONTROL!$C$26, $C$13, 100%, $E$13)</f>
        <v>29.161000000000001</v>
      </c>
      <c r="J828" s="67">
        <f>15.6663 * CHOOSE(CONTROL!$C$26, $C$13, 100%, $E$13)</f>
        <v>15.6663</v>
      </c>
      <c r="K828" s="67">
        <f>15.6731 * CHOOSE(CONTROL!$C$26, $C$13, 100%, $E$13)</f>
        <v>15.6731</v>
      </c>
    </row>
    <row r="829" spans="1:11" ht="15">
      <c r="A829" s="13">
        <v>66355</v>
      </c>
      <c r="B829" s="66">
        <f>13.8237 * CHOOSE(CONTROL!$C$26, $C$13, 100%, $E$13)</f>
        <v>13.823700000000001</v>
      </c>
      <c r="C829" s="66">
        <f>13.8237 * CHOOSE(CONTROL!$C$26, $C$13, 100%, $E$13)</f>
        <v>13.823700000000001</v>
      </c>
      <c r="D829" s="66">
        <f>13.8292 * CHOOSE(CONTROL!$C$26, $C$13, 100%, $E$13)</f>
        <v>13.8292</v>
      </c>
      <c r="E829" s="67">
        <f>15.6351 * CHOOSE(CONTROL!$C$26, $C$13, 100%, $E$13)</f>
        <v>15.6351</v>
      </c>
      <c r="F829" s="67">
        <f>15.6351 * CHOOSE(CONTROL!$C$26, $C$13, 100%, $E$13)</f>
        <v>15.6351</v>
      </c>
      <c r="G829" s="67">
        <f>15.6419 * CHOOSE(CONTROL!$C$26, $C$13, 100%, $E$13)</f>
        <v>15.6419</v>
      </c>
      <c r="H829" s="67">
        <f>29.215* CHOOSE(CONTROL!$C$26, $C$13, 100%, $E$13)</f>
        <v>29.215</v>
      </c>
      <c r="I829" s="67">
        <f>29.2218 * CHOOSE(CONTROL!$C$26, $C$13, 100%, $E$13)</f>
        <v>29.221800000000002</v>
      </c>
      <c r="J829" s="67">
        <f>15.6351 * CHOOSE(CONTROL!$C$26, $C$13, 100%, $E$13)</f>
        <v>15.6351</v>
      </c>
      <c r="K829" s="67">
        <f>15.6419 * CHOOSE(CONTROL!$C$26, $C$13, 100%, $E$13)</f>
        <v>15.6419</v>
      </c>
    </row>
    <row r="830" spans="1:11" ht="15">
      <c r="A830" s="13">
        <v>66385</v>
      </c>
      <c r="B830" s="66">
        <f>13.8504 * CHOOSE(CONTROL!$C$26, $C$13, 100%, $E$13)</f>
        <v>13.8504</v>
      </c>
      <c r="C830" s="66">
        <f>13.8504 * CHOOSE(CONTROL!$C$26, $C$13, 100%, $E$13)</f>
        <v>13.8504</v>
      </c>
      <c r="D830" s="66">
        <f>13.8543 * CHOOSE(CONTROL!$C$26, $C$13, 100%, $E$13)</f>
        <v>13.8543</v>
      </c>
      <c r="E830" s="67">
        <f>15.738 * CHOOSE(CONTROL!$C$26, $C$13, 100%, $E$13)</f>
        <v>15.738</v>
      </c>
      <c r="F830" s="67">
        <f>15.738 * CHOOSE(CONTROL!$C$26, $C$13, 100%, $E$13)</f>
        <v>15.738</v>
      </c>
      <c r="G830" s="67">
        <f>15.7428 * CHOOSE(CONTROL!$C$26, $C$13, 100%, $E$13)</f>
        <v>15.742800000000001</v>
      </c>
      <c r="H830" s="67">
        <f>29.2759* CHOOSE(CONTROL!$C$26, $C$13, 100%, $E$13)</f>
        <v>29.2759</v>
      </c>
      <c r="I830" s="67">
        <f>29.2807 * CHOOSE(CONTROL!$C$26, $C$13, 100%, $E$13)</f>
        <v>29.2807</v>
      </c>
      <c r="J830" s="67">
        <f>15.738 * CHOOSE(CONTROL!$C$26, $C$13, 100%, $E$13)</f>
        <v>15.738</v>
      </c>
      <c r="K830" s="67">
        <f>15.7428 * CHOOSE(CONTROL!$C$26, $C$13, 100%, $E$13)</f>
        <v>15.742800000000001</v>
      </c>
    </row>
    <row r="831" spans="1:11" ht="15">
      <c r="A831" s="13">
        <v>66416</v>
      </c>
      <c r="B831" s="66">
        <f>13.8535 * CHOOSE(CONTROL!$C$26, $C$13, 100%, $E$13)</f>
        <v>13.8535</v>
      </c>
      <c r="C831" s="66">
        <f>13.8535 * CHOOSE(CONTROL!$C$26, $C$13, 100%, $E$13)</f>
        <v>13.8535</v>
      </c>
      <c r="D831" s="66">
        <f>13.8573 * CHOOSE(CONTROL!$C$26, $C$13, 100%, $E$13)</f>
        <v>13.8573</v>
      </c>
      <c r="E831" s="67">
        <f>15.7983 * CHOOSE(CONTROL!$C$26, $C$13, 100%, $E$13)</f>
        <v>15.798299999999999</v>
      </c>
      <c r="F831" s="67">
        <f>15.7983 * CHOOSE(CONTROL!$C$26, $C$13, 100%, $E$13)</f>
        <v>15.798299999999999</v>
      </c>
      <c r="G831" s="67">
        <f>15.8031 * CHOOSE(CONTROL!$C$26, $C$13, 100%, $E$13)</f>
        <v>15.803100000000001</v>
      </c>
      <c r="H831" s="67">
        <f>29.3369* CHOOSE(CONTROL!$C$26, $C$13, 100%, $E$13)</f>
        <v>29.3369</v>
      </c>
      <c r="I831" s="67">
        <f>29.3417 * CHOOSE(CONTROL!$C$26, $C$13, 100%, $E$13)</f>
        <v>29.341699999999999</v>
      </c>
      <c r="J831" s="67">
        <f>15.7983 * CHOOSE(CONTROL!$C$26, $C$13, 100%, $E$13)</f>
        <v>15.798299999999999</v>
      </c>
      <c r="K831" s="67">
        <f>15.8031 * CHOOSE(CONTROL!$C$26, $C$13, 100%, $E$13)</f>
        <v>15.803100000000001</v>
      </c>
    </row>
    <row r="832" spans="1:11" ht="15">
      <c r="A832" s="13">
        <v>66446</v>
      </c>
      <c r="B832" s="66">
        <f>13.8535 * CHOOSE(CONTROL!$C$26, $C$13, 100%, $E$13)</f>
        <v>13.8535</v>
      </c>
      <c r="C832" s="66">
        <f>13.8535 * CHOOSE(CONTROL!$C$26, $C$13, 100%, $E$13)</f>
        <v>13.8535</v>
      </c>
      <c r="D832" s="66">
        <f>13.8573 * CHOOSE(CONTROL!$C$26, $C$13, 100%, $E$13)</f>
        <v>13.8573</v>
      </c>
      <c r="E832" s="67">
        <f>15.6529 * CHOOSE(CONTROL!$C$26, $C$13, 100%, $E$13)</f>
        <v>15.652900000000001</v>
      </c>
      <c r="F832" s="67">
        <f>15.6529 * CHOOSE(CONTROL!$C$26, $C$13, 100%, $E$13)</f>
        <v>15.652900000000001</v>
      </c>
      <c r="G832" s="67">
        <f>15.6577 * CHOOSE(CONTROL!$C$26, $C$13, 100%, $E$13)</f>
        <v>15.6577</v>
      </c>
      <c r="H832" s="67">
        <f>29.398* CHOOSE(CONTROL!$C$26, $C$13, 100%, $E$13)</f>
        <v>29.398</v>
      </c>
      <c r="I832" s="67">
        <f>29.4028 * CHOOSE(CONTROL!$C$26, $C$13, 100%, $E$13)</f>
        <v>29.402799999999999</v>
      </c>
      <c r="J832" s="67">
        <f>15.6529 * CHOOSE(CONTROL!$C$26, $C$13, 100%, $E$13)</f>
        <v>15.652900000000001</v>
      </c>
      <c r="K832" s="67">
        <f>15.6577 * CHOOSE(CONTROL!$C$26, $C$13, 100%, $E$13)</f>
        <v>15.6577</v>
      </c>
    </row>
    <row r="833" spans="1:11" ht="15">
      <c r="A833" s="13">
        <v>66477</v>
      </c>
      <c r="B833" s="66">
        <f>13.8432 * CHOOSE(CONTROL!$C$26, $C$13, 100%, $E$13)</f>
        <v>13.8432</v>
      </c>
      <c r="C833" s="66">
        <f>13.8432 * CHOOSE(CONTROL!$C$26, $C$13, 100%, $E$13)</f>
        <v>13.8432</v>
      </c>
      <c r="D833" s="66">
        <f>13.847 * CHOOSE(CONTROL!$C$26, $C$13, 100%, $E$13)</f>
        <v>13.847</v>
      </c>
      <c r="E833" s="67">
        <f>15.7582 * CHOOSE(CONTROL!$C$26, $C$13, 100%, $E$13)</f>
        <v>15.7582</v>
      </c>
      <c r="F833" s="67">
        <f>15.7582 * CHOOSE(CONTROL!$C$26, $C$13, 100%, $E$13)</f>
        <v>15.7582</v>
      </c>
      <c r="G833" s="67">
        <f>15.763 * CHOOSE(CONTROL!$C$26, $C$13, 100%, $E$13)</f>
        <v>15.763</v>
      </c>
      <c r="H833" s="67">
        <f>29.2152* CHOOSE(CONTROL!$C$26, $C$13, 100%, $E$13)</f>
        <v>29.215199999999999</v>
      </c>
      <c r="I833" s="67">
        <f>29.22 * CHOOSE(CONTROL!$C$26, $C$13, 100%, $E$13)</f>
        <v>29.22</v>
      </c>
      <c r="J833" s="67">
        <f>15.7582 * CHOOSE(CONTROL!$C$26, $C$13, 100%, $E$13)</f>
        <v>15.7582</v>
      </c>
      <c r="K833" s="67">
        <f>15.763 * CHOOSE(CONTROL!$C$26, $C$13, 100%, $E$13)</f>
        <v>15.763</v>
      </c>
    </row>
    <row r="834" spans="1:11" ht="15">
      <c r="A834" s="13">
        <v>66508</v>
      </c>
      <c r="B834" s="66">
        <f>13.8401 * CHOOSE(CONTROL!$C$26, $C$13, 100%, $E$13)</f>
        <v>13.8401</v>
      </c>
      <c r="C834" s="66">
        <f>13.8401 * CHOOSE(CONTROL!$C$26, $C$13, 100%, $E$13)</f>
        <v>13.8401</v>
      </c>
      <c r="D834" s="66">
        <f>13.844 * CHOOSE(CONTROL!$C$26, $C$13, 100%, $E$13)</f>
        <v>13.843999999999999</v>
      </c>
      <c r="E834" s="67">
        <f>15.4765 * CHOOSE(CONTROL!$C$26, $C$13, 100%, $E$13)</f>
        <v>15.4765</v>
      </c>
      <c r="F834" s="67">
        <f>15.4765 * CHOOSE(CONTROL!$C$26, $C$13, 100%, $E$13)</f>
        <v>15.4765</v>
      </c>
      <c r="G834" s="67">
        <f>15.4812 * CHOOSE(CONTROL!$C$26, $C$13, 100%, $E$13)</f>
        <v>15.481199999999999</v>
      </c>
      <c r="H834" s="67">
        <f>29.2761* CHOOSE(CONTROL!$C$26, $C$13, 100%, $E$13)</f>
        <v>29.2761</v>
      </c>
      <c r="I834" s="67">
        <f>29.2808 * CHOOSE(CONTROL!$C$26, $C$13, 100%, $E$13)</f>
        <v>29.280799999999999</v>
      </c>
      <c r="J834" s="67">
        <f>15.4765 * CHOOSE(CONTROL!$C$26, $C$13, 100%, $E$13)</f>
        <v>15.4765</v>
      </c>
      <c r="K834" s="67">
        <f>15.4812 * CHOOSE(CONTROL!$C$26, $C$13, 100%, $E$13)</f>
        <v>15.481199999999999</v>
      </c>
    </row>
    <row r="835" spans="1:11" ht="15">
      <c r="A835" s="13">
        <v>66536</v>
      </c>
      <c r="B835" s="66">
        <f>13.8371 * CHOOSE(CONTROL!$C$26, $C$13, 100%, $E$13)</f>
        <v>13.8371</v>
      </c>
      <c r="C835" s="66">
        <f>13.8371 * CHOOSE(CONTROL!$C$26, $C$13, 100%, $E$13)</f>
        <v>13.8371</v>
      </c>
      <c r="D835" s="66">
        <f>13.841 * CHOOSE(CONTROL!$C$26, $C$13, 100%, $E$13)</f>
        <v>13.840999999999999</v>
      </c>
      <c r="E835" s="67">
        <f>15.6948 * CHOOSE(CONTROL!$C$26, $C$13, 100%, $E$13)</f>
        <v>15.694800000000001</v>
      </c>
      <c r="F835" s="67">
        <f>15.6948 * CHOOSE(CONTROL!$C$26, $C$13, 100%, $E$13)</f>
        <v>15.694800000000001</v>
      </c>
      <c r="G835" s="67">
        <f>15.6996 * CHOOSE(CONTROL!$C$26, $C$13, 100%, $E$13)</f>
        <v>15.6996</v>
      </c>
      <c r="H835" s="67">
        <f>29.337* CHOOSE(CONTROL!$C$26, $C$13, 100%, $E$13)</f>
        <v>29.337</v>
      </c>
      <c r="I835" s="67">
        <f>29.3418 * CHOOSE(CONTROL!$C$26, $C$13, 100%, $E$13)</f>
        <v>29.341799999999999</v>
      </c>
      <c r="J835" s="67">
        <f>15.6948 * CHOOSE(CONTROL!$C$26, $C$13, 100%, $E$13)</f>
        <v>15.694800000000001</v>
      </c>
      <c r="K835" s="67">
        <f>15.6996 * CHOOSE(CONTROL!$C$26, $C$13, 100%, $E$13)</f>
        <v>15.6996</v>
      </c>
    </row>
    <row r="836" spans="1:11" ht="15">
      <c r="A836" s="13">
        <v>66567</v>
      </c>
      <c r="B836" s="66">
        <f>13.843 * CHOOSE(CONTROL!$C$26, $C$13, 100%, $E$13)</f>
        <v>13.843</v>
      </c>
      <c r="C836" s="66">
        <f>13.843 * CHOOSE(CONTROL!$C$26, $C$13, 100%, $E$13)</f>
        <v>13.843</v>
      </c>
      <c r="D836" s="66">
        <f>13.8468 * CHOOSE(CONTROL!$C$26, $C$13, 100%, $E$13)</f>
        <v>13.8468</v>
      </c>
      <c r="E836" s="67">
        <f>15.9273 * CHOOSE(CONTROL!$C$26, $C$13, 100%, $E$13)</f>
        <v>15.927300000000001</v>
      </c>
      <c r="F836" s="67">
        <f>15.9273 * CHOOSE(CONTROL!$C$26, $C$13, 100%, $E$13)</f>
        <v>15.927300000000001</v>
      </c>
      <c r="G836" s="67">
        <f>15.9321 * CHOOSE(CONTROL!$C$26, $C$13, 100%, $E$13)</f>
        <v>15.9321</v>
      </c>
      <c r="H836" s="67">
        <f>29.3982* CHOOSE(CONTROL!$C$26, $C$13, 100%, $E$13)</f>
        <v>29.398199999999999</v>
      </c>
      <c r="I836" s="67">
        <f>29.4029 * CHOOSE(CONTROL!$C$26, $C$13, 100%, $E$13)</f>
        <v>29.402899999999999</v>
      </c>
      <c r="J836" s="67">
        <f>15.9273 * CHOOSE(CONTROL!$C$26, $C$13, 100%, $E$13)</f>
        <v>15.927300000000001</v>
      </c>
      <c r="K836" s="67">
        <f>15.9321 * CHOOSE(CONTROL!$C$26, $C$13, 100%, $E$13)</f>
        <v>15.9321</v>
      </c>
    </row>
    <row r="837" spans="1:11" ht="15">
      <c r="A837" s="13">
        <v>66597</v>
      </c>
      <c r="B837" s="66">
        <f>13.843 * CHOOSE(CONTROL!$C$26, $C$13, 100%, $E$13)</f>
        <v>13.843</v>
      </c>
      <c r="C837" s="66">
        <f>13.843 * CHOOSE(CONTROL!$C$26, $C$13, 100%, $E$13)</f>
        <v>13.843</v>
      </c>
      <c r="D837" s="66">
        <f>13.8485 * CHOOSE(CONTROL!$C$26, $C$13, 100%, $E$13)</f>
        <v>13.8485</v>
      </c>
      <c r="E837" s="67">
        <f>16.0161 * CHOOSE(CONTROL!$C$26, $C$13, 100%, $E$13)</f>
        <v>16.016100000000002</v>
      </c>
      <c r="F837" s="67">
        <f>16.0161 * CHOOSE(CONTROL!$C$26, $C$13, 100%, $E$13)</f>
        <v>16.016100000000002</v>
      </c>
      <c r="G837" s="67">
        <f>16.0229 * CHOOSE(CONTROL!$C$26, $C$13, 100%, $E$13)</f>
        <v>16.0229</v>
      </c>
      <c r="H837" s="67">
        <f>29.4594* CHOOSE(CONTROL!$C$26, $C$13, 100%, $E$13)</f>
        <v>29.459399999999999</v>
      </c>
      <c r="I837" s="67">
        <f>29.4662 * CHOOSE(CONTROL!$C$26, $C$13, 100%, $E$13)</f>
        <v>29.466200000000001</v>
      </c>
      <c r="J837" s="67">
        <f>16.0161 * CHOOSE(CONTROL!$C$26, $C$13, 100%, $E$13)</f>
        <v>16.016100000000002</v>
      </c>
      <c r="K837" s="67">
        <f>16.0229 * CHOOSE(CONTROL!$C$26, $C$13, 100%, $E$13)</f>
        <v>16.0229</v>
      </c>
    </row>
    <row r="838" spans="1:11" ht="15">
      <c r="A838" s="13">
        <v>66628</v>
      </c>
      <c r="B838" s="66">
        <f>13.8491 * CHOOSE(CONTROL!$C$26, $C$13, 100%, $E$13)</f>
        <v>13.8491</v>
      </c>
      <c r="C838" s="66">
        <f>13.8491 * CHOOSE(CONTROL!$C$26, $C$13, 100%, $E$13)</f>
        <v>13.8491</v>
      </c>
      <c r="D838" s="66">
        <f>13.8546 * CHOOSE(CONTROL!$C$26, $C$13, 100%, $E$13)</f>
        <v>13.8546</v>
      </c>
      <c r="E838" s="67">
        <f>15.9316 * CHOOSE(CONTROL!$C$26, $C$13, 100%, $E$13)</f>
        <v>15.9316</v>
      </c>
      <c r="F838" s="67">
        <f>15.9316 * CHOOSE(CONTROL!$C$26, $C$13, 100%, $E$13)</f>
        <v>15.9316</v>
      </c>
      <c r="G838" s="67">
        <f>15.9383 * CHOOSE(CONTROL!$C$26, $C$13, 100%, $E$13)</f>
        <v>15.9383</v>
      </c>
      <c r="H838" s="67">
        <f>29.5208* CHOOSE(CONTROL!$C$26, $C$13, 100%, $E$13)</f>
        <v>29.520800000000001</v>
      </c>
      <c r="I838" s="67">
        <f>29.5275 * CHOOSE(CONTROL!$C$26, $C$13, 100%, $E$13)</f>
        <v>29.5275</v>
      </c>
      <c r="J838" s="67">
        <f>15.9316 * CHOOSE(CONTROL!$C$26, $C$13, 100%, $E$13)</f>
        <v>15.9316</v>
      </c>
      <c r="K838" s="67">
        <f>15.9383 * CHOOSE(CONTROL!$C$26, $C$13, 100%, $E$13)</f>
        <v>15.9383</v>
      </c>
    </row>
    <row r="839" spans="1:11" ht="15">
      <c r="A839" s="13">
        <v>66658</v>
      </c>
      <c r="B839" s="66">
        <f>14.0592 * CHOOSE(CONTROL!$C$26, $C$13, 100%, $E$13)</f>
        <v>14.059200000000001</v>
      </c>
      <c r="C839" s="66">
        <f>14.0592 * CHOOSE(CONTROL!$C$26, $C$13, 100%, $E$13)</f>
        <v>14.059200000000001</v>
      </c>
      <c r="D839" s="66">
        <f>14.0647 * CHOOSE(CONTROL!$C$26, $C$13, 100%, $E$13)</f>
        <v>14.0647</v>
      </c>
      <c r="E839" s="67">
        <f>16.1851 * CHOOSE(CONTROL!$C$26, $C$13, 100%, $E$13)</f>
        <v>16.185099999999998</v>
      </c>
      <c r="F839" s="67">
        <f>16.1851 * CHOOSE(CONTROL!$C$26, $C$13, 100%, $E$13)</f>
        <v>16.185099999999998</v>
      </c>
      <c r="G839" s="67">
        <f>16.1919 * CHOOSE(CONTROL!$C$26, $C$13, 100%, $E$13)</f>
        <v>16.1919</v>
      </c>
      <c r="H839" s="67">
        <f>29.5823* CHOOSE(CONTROL!$C$26, $C$13, 100%, $E$13)</f>
        <v>29.5823</v>
      </c>
      <c r="I839" s="67">
        <f>29.589 * CHOOSE(CONTROL!$C$26, $C$13, 100%, $E$13)</f>
        <v>29.588999999999999</v>
      </c>
      <c r="J839" s="67">
        <f>16.1851 * CHOOSE(CONTROL!$C$26, $C$13, 100%, $E$13)</f>
        <v>16.185099999999998</v>
      </c>
      <c r="K839" s="67">
        <f>16.1919 * CHOOSE(CONTROL!$C$26, $C$13, 100%, $E$13)</f>
        <v>16.1919</v>
      </c>
    </row>
    <row r="840" spans="1:11" ht="15">
      <c r="A840" s="13">
        <v>66689</v>
      </c>
      <c r="B840" s="66">
        <f>14.0659 * CHOOSE(CONTROL!$C$26, $C$13, 100%, $E$13)</f>
        <v>14.065899999999999</v>
      </c>
      <c r="C840" s="66">
        <f>14.0659 * CHOOSE(CONTROL!$C$26, $C$13, 100%, $E$13)</f>
        <v>14.065899999999999</v>
      </c>
      <c r="D840" s="66">
        <f>14.0714 * CHOOSE(CONTROL!$C$26, $C$13, 100%, $E$13)</f>
        <v>14.071400000000001</v>
      </c>
      <c r="E840" s="67">
        <f>15.9234 * CHOOSE(CONTROL!$C$26, $C$13, 100%, $E$13)</f>
        <v>15.923400000000001</v>
      </c>
      <c r="F840" s="67">
        <f>15.9234 * CHOOSE(CONTROL!$C$26, $C$13, 100%, $E$13)</f>
        <v>15.923400000000001</v>
      </c>
      <c r="G840" s="67">
        <f>15.9301 * CHOOSE(CONTROL!$C$26, $C$13, 100%, $E$13)</f>
        <v>15.930099999999999</v>
      </c>
      <c r="H840" s="67">
        <f>29.6439* CHOOSE(CONTROL!$C$26, $C$13, 100%, $E$13)</f>
        <v>29.643899999999999</v>
      </c>
      <c r="I840" s="67">
        <f>29.6507 * CHOOSE(CONTROL!$C$26, $C$13, 100%, $E$13)</f>
        <v>29.650700000000001</v>
      </c>
      <c r="J840" s="67">
        <f>15.9234 * CHOOSE(CONTROL!$C$26, $C$13, 100%, $E$13)</f>
        <v>15.923400000000001</v>
      </c>
      <c r="K840" s="67">
        <f>15.9301 * CHOOSE(CONTROL!$C$26, $C$13, 100%, $E$13)</f>
        <v>15.930099999999999</v>
      </c>
    </row>
    <row r="841" spans="1:11" ht="15">
      <c r="A841" s="13">
        <v>66720</v>
      </c>
      <c r="B841" s="66">
        <f>14.0629 * CHOOSE(CONTROL!$C$26, $C$13, 100%, $E$13)</f>
        <v>14.062900000000001</v>
      </c>
      <c r="C841" s="66">
        <f>14.0629 * CHOOSE(CONTROL!$C$26, $C$13, 100%, $E$13)</f>
        <v>14.062900000000001</v>
      </c>
      <c r="D841" s="66">
        <f>14.0684 * CHOOSE(CONTROL!$C$26, $C$13, 100%, $E$13)</f>
        <v>14.0684</v>
      </c>
      <c r="E841" s="67">
        <f>15.8917 * CHOOSE(CONTROL!$C$26, $C$13, 100%, $E$13)</f>
        <v>15.8917</v>
      </c>
      <c r="F841" s="67">
        <f>15.8917 * CHOOSE(CONTROL!$C$26, $C$13, 100%, $E$13)</f>
        <v>15.8917</v>
      </c>
      <c r="G841" s="67">
        <f>15.8984 * CHOOSE(CONTROL!$C$26, $C$13, 100%, $E$13)</f>
        <v>15.898400000000001</v>
      </c>
      <c r="H841" s="67">
        <f>29.7057* CHOOSE(CONTROL!$C$26, $C$13, 100%, $E$13)</f>
        <v>29.7057</v>
      </c>
      <c r="I841" s="67">
        <f>29.7124 * CHOOSE(CONTROL!$C$26, $C$13, 100%, $E$13)</f>
        <v>29.712399999999999</v>
      </c>
      <c r="J841" s="67">
        <f>15.8917 * CHOOSE(CONTROL!$C$26, $C$13, 100%, $E$13)</f>
        <v>15.8917</v>
      </c>
      <c r="K841" s="67">
        <f>15.8984 * CHOOSE(CONTROL!$C$26, $C$13, 100%, $E$13)</f>
        <v>15.898400000000001</v>
      </c>
    </row>
    <row r="842" spans="1:11" ht="15">
      <c r="A842" s="13">
        <v>66750</v>
      </c>
      <c r="B842" s="66">
        <f>14.0904 * CHOOSE(CONTROL!$C$26, $C$13, 100%, $E$13)</f>
        <v>14.090400000000001</v>
      </c>
      <c r="C842" s="66">
        <f>14.0904 * CHOOSE(CONTROL!$C$26, $C$13, 100%, $E$13)</f>
        <v>14.090400000000001</v>
      </c>
      <c r="D842" s="66">
        <f>14.0942 * CHOOSE(CONTROL!$C$26, $C$13, 100%, $E$13)</f>
        <v>14.094200000000001</v>
      </c>
      <c r="E842" s="67">
        <f>15.9967 * CHOOSE(CONTROL!$C$26, $C$13, 100%, $E$13)</f>
        <v>15.996700000000001</v>
      </c>
      <c r="F842" s="67">
        <f>15.9967 * CHOOSE(CONTROL!$C$26, $C$13, 100%, $E$13)</f>
        <v>15.996700000000001</v>
      </c>
      <c r="G842" s="67">
        <f>16.0014 * CHOOSE(CONTROL!$C$26, $C$13, 100%, $E$13)</f>
        <v>16.0014</v>
      </c>
      <c r="H842" s="67">
        <f>29.7676* CHOOSE(CONTROL!$C$26, $C$13, 100%, $E$13)</f>
        <v>29.767600000000002</v>
      </c>
      <c r="I842" s="67">
        <f>29.7723 * CHOOSE(CONTROL!$C$26, $C$13, 100%, $E$13)</f>
        <v>29.772300000000001</v>
      </c>
      <c r="J842" s="67">
        <f>15.9967 * CHOOSE(CONTROL!$C$26, $C$13, 100%, $E$13)</f>
        <v>15.996700000000001</v>
      </c>
      <c r="K842" s="67">
        <f>16.0014 * CHOOSE(CONTROL!$C$26, $C$13, 100%, $E$13)</f>
        <v>16.0014</v>
      </c>
    </row>
    <row r="843" spans="1:11" ht="15">
      <c r="A843" s="13">
        <v>66781</v>
      </c>
      <c r="B843" s="66">
        <f>14.0934 * CHOOSE(CONTROL!$C$26, $C$13, 100%, $E$13)</f>
        <v>14.093400000000001</v>
      </c>
      <c r="C843" s="66">
        <f>14.0934 * CHOOSE(CONTROL!$C$26, $C$13, 100%, $E$13)</f>
        <v>14.093400000000001</v>
      </c>
      <c r="D843" s="66">
        <f>14.0973 * CHOOSE(CONTROL!$C$26, $C$13, 100%, $E$13)</f>
        <v>14.097300000000001</v>
      </c>
      <c r="E843" s="67">
        <f>16.058 * CHOOSE(CONTROL!$C$26, $C$13, 100%, $E$13)</f>
        <v>16.058</v>
      </c>
      <c r="F843" s="67">
        <f>16.058 * CHOOSE(CONTROL!$C$26, $C$13, 100%, $E$13)</f>
        <v>16.058</v>
      </c>
      <c r="G843" s="67">
        <f>16.0627 * CHOOSE(CONTROL!$C$26, $C$13, 100%, $E$13)</f>
        <v>16.0627</v>
      </c>
      <c r="H843" s="67">
        <f>29.8296* CHOOSE(CONTROL!$C$26, $C$13, 100%, $E$13)</f>
        <v>29.829599999999999</v>
      </c>
      <c r="I843" s="67">
        <f>29.8343 * CHOOSE(CONTROL!$C$26, $C$13, 100%, $E$13)</f>
        <v>29.834299999999999</v>
      </c>
      <c r="J843" s="67">
        <f>16.058 * CHOOSE(CONTROL!$C$26, $C$13, 100%, $E$13)</f>
        <v>16.058</v>
      </c>
      <c r="K843" s="67">
        <f>16.0627 * CHOOSE(CONTROL!$C$26, $C$13, 100%, $E$13)</f>
        <v>16.0627</v>
      </c>
    </row>
    <row r="844" spans="1:11" ht="15">
      <c r="A844" s="13">
        <v>66811</v>
      </c>
      <c r="B844" s="66">
        <f>14.0934 * CHOOSE(CONTROL!$C$26, $C$13, 100%, $E$13)</f>
        <v>14.093400000000001</v>
      </c>
      <c r="C844" s="66">
        <f>14.0934 * CHOOSE(CONTROL!$C$26, $C$13, 100%, $E$13)</f>
        <v>14.093400000000001</v>
      </c>
      <c r="D844" s="66">
        <f>14.0973 * CHOOSE(CONTROL!$C$26, $C$13, 100%, $E$13)</f>
        <v>14.097300000000001</v>
      </c>
      <c r="E844" s="67">
        <f>15.91 * CHOOSE(CONTROL!$C$26, $C$13, 100%, $E$13)</f>
        <v>15.91</v>
      </c>
      <c r="F844" s="67">
        <f>15.91 * CHOOSE(CONTROL!$C$26, $C$13, 100%, $E$13)</f>
        <v>15.91</v>
      </c>
      <c r="G844" s="67">
        <f>15.9148 * CHOOSE(CONTROL!$C$26, $C$13, 100%, $E$13)</f>
        <v>15.9148</v>
      </c>
      <c r="H844" s="67">
        <f>29.8917* CHOOSE(CONTROL!$C$26, $C$13, 100%, $E$13)</f>
        <v>29.8917</v>
      </c>
      <c r="I844" s="67">
        <f>29.8965 * CHOOSE(CONTROL!$C$26, $C$13, 100%, $E$13)</f>
        <v>29.8965</v>
      </c>
      <c r="J844" s="67">
        <f>15.91 * CHOOSE(CONTROL!$C$26, $C$13, 100%, $E$13)</f>
        <v>15.91</v>
      </c>
      <c r="K844" s="67">
        <f>15.9148 * CHOOSE(CONTROL!$C$26, $C$13, 100%, $E$13)</f>
        <v>15.9148</v>
      </c>
    </row>
    <row r="845" spans="1:11" ht="15">
      <c r="A845" s="13">
        <v>66842</v>
      </c>
      <c r="B845" s="66">
        <f>14.0787 * CHOOSE(CONTROL!$C$26, $C$13, 100%, $E$13)</f>
        <v>14.0787</v>
      </c>
      <c r="C845" s="66">
        <f>14.0787 * CHOOSE(CONTROL!$C$26, $C$13, 100%, $E$13)</f>
        <v>14.0787</v>
      </c>
      <c r="D845" s="66">
        <f>14.0826 * CHOOSE(CONTROL!$C$26, $C$13, 100%, $E$13)</f>
        <v>14.082599999999999</v>
      </c>
      <c r="E845" s="67">
        <f>16.013 * CHOOSE(CONTROL!$C$26, $C$13, 100%, $E$13)</f>
        <v>16.013000000000002</v>
      </c>
      <c r="F845" s="67">
        <f>16.013 * CHOOSE(CONTROL!$C$26, $C$13, 100%, $E$13)</f>
        <v>16.013000000000002</v>
      </c>
      <c r="G845" s="67">
        <f>16.0177 * CHOOSE(CONTROL!$C$26, $C$13, 100%, $E$13)</f>
        <v>16.017700000000001</v>
      </c>
      <c r="H845" s="67">
        <f>29.6977* CHOOSE(CONTROL!$C$26, $C$13, 100%, $E$13)</f>
        <v>29.697700000000001</v>
      </c>
      <c r="I845" s="67">
        <f>29.7025 * CHOOSE(CONTROL!$C$26, $C$13, 100%, $E$13)</f>
        <v>29.702500000000001</v>
      </c>
      <c r="J845" s="67">
        <f>16.013 * CHOOSE(CONTROL!$C$26, $C$13, 100%, $E$13)</f>
        <v>16.013000000000002</v>
      </c>
      <c r="K845" s="67">
        <f>16.0177 * CHOOSE(CONTROL!$C$26, $C$13, 100%, $E$13)</f>
        <v>16.017700000000001</v>
      </c>
    </row>
    <row r="846" spans="1:11" ht="15">
      <c r="A846" s="13">
        <v>66873</v>
      </c>
      <c r="B846" s="66">
        <f>14.0757 * CHOOSE(CONTROL!$C$26, $C$13, 100%, $E$13)</f>
        <v>14.075699999999999</v>
      </c>
      <c r="C846" s="66">
        <f>14.0757 * CHOOSE(CONTROL!$C$26, $C$13, 100%, $E$13)</f>
        <v>14.075699999999999</v>
      </c>
      <c r="D846" s="66">
        <f>14.0796 * CHOOSE(CONTROL!$C$26, $C$13, 100%, $E$13)</f>
        <v>14.079599999999999</v>
      </c>
      <c r="E846" s="67">
        <f>15.7262 * CHOOSE(CONTROL!$C$26, $C$13, 100%, $E$13)</f>
        <v>15.7262</v>
      </c>
      <c r="F846" s="67">
        <f>15.7262 * CHOOSE(CONTROL!$C$26, $C$13, 100%, $E$13)</f>
        <v>15.7262</v>
      </c>
      <c r="G846" s="67">
        <f>15.731 * CHOOSE(CONTROL!$C$26, $C$13, 100%, $E$13)</f>
        <v>15.731</v>
      </c>
      <c r="H846" s="67">
        <f>29.7596* CHOOSE(CONTROL!$C$26, $C$13, 100%, $E$13)</f>
        <v>29.759599999999999</v>
      </c>
      <c r="I846" s="67">
        <f>29.7644 * CHOOSE(CONTROL!$C$26, $C$13, 100%, $E$13)</f>
        <v>29.764399999999998</v>
      </c>
      <c r="J846" s="67">
        <f>15.7262 * CHOOSE(CONTROL!$C$26, $C$13, 100%, $E$13)</f>
        <v>15.7262</v>
      </c>
      <c r="K846" s="67">
        <f>15.731 * CHOOSE(CONTROL!$C$26, $C$13, 100%, $E$13)</f>
        <v>15.731</v>
      </c>
    </row>
    <row r="847" spans="1:11" ht="15">
      <c r="A847" s="13">
        <v>66901</v>
      </c>
      <c r="B847" s="66">
        <f>14.0727 * CHOOSE(CONTROL!$C$26, $C$13, 100%, $E$13)</f>
        <v>14.072699999999999</v>
      </c>
      <c r="C847" s="66">
        <f>14.0727 * CHOOSE(CONTROL!$C$26, $C$13, 100%, $E$13)</f>
        <v>14.072699999999999</v>
      </c>
      <c r="D847" s="66">
        <f>14.0765 * CHOOSE(CONTROL!$C$26, $C$13, 100%, $E$13)</f>
        <v>14.076499999999999</v>
      </c>
      <c r="E847" s="67">
        <f>15.9485 * CHOOSE(CONTROL!$C$26, $C$13, 100%, $E$13)</f>
        <v>15.948499999999999</v>
      </c>
      <c r="F847" s="67">
        <f>15.9485 * CHOOSE(CONTROL!$C$26, $C$13, 100%, $E$13)</f>
        <v>15.948499999999999</v>
      </c>
      <c r="G847" s="67">
        <f>15.9533 * CHOOSE(CONTROL!$C$26, $C$13, 100%, $E$13)</f>
        <v>15.9533</v>
      </c>
      <c r="H847" s="67">
        <f>29.8216* CHOOSE(CONTROL!$C$26, $C$13, 100%, $E$13)</f>
        <v>29.8216</v>
      </c>
      <c r="I847" s="67">
        <f>29.8264 * CHOOSE(CONTROL!$C$26, $C$13, 100%, $E$13)</f>
        <v>29.8264</v>
      </c>
      <c r="J847" s="67">
        <f>15.9485 * CHOOSE(CONTROL!$C$26, $C$13, 100%, $E$13)</f>
        <v>15.948499999999999</v>
      </c>
      <c r="K847" s="67">
        <f>15.9533 * CHOOSE(CONTROL!$C$26, $C$13, 100%, $E$13)</f>
        <v>15.9533</v>
      </c>
    </row>
    <row r="848" spans="1:11" ht="15">
      <c r="A848" s="13">
        <v>66932</v>
      </c>
      <c r="B848" s="66">
        <f>14.0787 * CHOOSE(CONTROL!$C$26, $C$13, 100%, $E$13)</f>
        <v>14.0787</v>
      </c>
      <c r="C848" s="66">
        <f>14.0787 * CHOOSE(CONTROL!$C$26, $C$13, 100%, $E$13)</f>
        <v>14.0787</v>
      </c>
      <c r="D848" s="66">
        <f>14.0826 * CHOOSE(CONTROL!$C$26, $C$13, 100%, $E$13)</f>
        <v>14.082599999999999</v>
      </c>
      <c r="E848" s="67">
        <f>16.1852 * CHOOSE(CONTROL!$C$26, $C$13, 100%, $E$13)</f>
        <v>16.185199999999998</v>
      </c>
      <c r="F848" s="67">
        <f>16.1852 * CHOOSE(CONTROL!$C$26, $C$13, 100%, $E$13)</f>
        <v>16.185199999999998</v>
      </c>
      <c r="G848" s="67">
        <f>16.19 * CHOOSE(CONTROL!$C$26, $C$13, 100%, $E$13)</f>
        <v>16.190000000000001</v>
      </c>
      <c r="H848" s="67">
        <f>29.8837* CHOOSE(CONTROL!$C$26, $C$13, 100%, $E$13)</f>
        <v>29.883700000000001</v>
      </c>
      <c r="I848" s="67">
        <f>29.8885 * CHOOSE(CONTROL!$C$26, $C$13, 100%, $E$13)</f>
        <v>29.888500000000001</v>
      </c>
      <c r="J848" s="67">
        <f>16.1852 * CHOOSE(CONTROL!$C$26, $C$13, 100%, $E$13)</f>
        <v>16.185199999999998</v>
      </c>
      <c r="K848" s="67">
        <f>16.19 * CHOOSE(CONTROL!$C$26, $C$13, 100%, $E$13)</f>
        <v>16.190000000000001</v>
      </c>
    </row>
    <row r="849" spans="1:11" ht="15">
      <c r="A849" s="13">
        <v>66962</v>
      </c>
      <c r="B849" s="66">
        <f>14.0787 * CHOOSE(CONTROL!$C$26, $C$13, 100%, $E$13)</f>
        <v>14.0787</v>
      </c>
      <c r="C849" s="66">
        <f>14.0787 * CHOOSE(CONTROL!$C$26, $C$13, 100%, $E$13)</f>
        <v>14.0787</v>
      </c>
      <c r="D849" s="66">
        <f>14.0843 * CHOOSE(CONTROL!$C$26, $C$13, 100%, $E$13)</f>
        <v>14.084300000000001</v>
      </c>
      <c r="E849" s="67">
        <f>16.2756 * CHOOSE(CONTROL!$C$26, $C$13, 100%, $E$13)</f>
        <v>16.275600000000001</v>
      </c>
      <c r="F849" s="67">
        <f>16.2756 * CHOOSE(CONTROL!$C$26, $C$13, 100%, $E$13)</f>
        <v>16.275600000000001</v>
      </c>
      <c r="G849" s="67">
        <f>16.2823 * CHOOSE(CONTROL!$C$26, $C$13, 100%, $E$13)</f>
        <v>16.282299999999999</v>
      </c>
      <c r="H849" s="67">
        <f>29.946* CHOOSE(CONTROL!$C$26, $C$13, 100%, $E$13)</f>
        <v>29.946000000000002</v>
      </c>
      <c r="I849" s="67">
        <f>29.9527 * CHOOSE(CONTROL!$C$26, $C$13, 100%, $E$13)</f>
        <v>29.9527</v>
      </c>
      <c r="J849" s="67">
        <f>16.2756 * CHOOSE(CONTROL!$C$26, $C$13, 100%, $E$13)</f>
        <v>16.275600000000001</v>
      </c>
      <c r="K849" s="67">
        <f>16.2823 * CHOOSE(CONTROL!$C$26, $C$13, 100%, $E$13)</f>
        <v>16.282299999999999</v>
      </c>
    </row>
    <row r="850" spans="1:11" ht="15">
      <c r="A850" s="13">
        <v>66993</v>
      </c>
      <c r="B850" s="66">
        <f>14.0848 * CHOOSE(CONTROL!$C$26, $C$13, 100%, $E$13)</f>
        <v>14.0848</v>
      </c>
      <c r="C850" s="66">
        <f>14.0848 * CHOOSE(CONTROL!$C$26, $C$13, 100%, $E$13)</f>
        <v>14.0848</v>
      </c>
      <c r="D850" s="66">
        <f>14.0903 * CHOOSE(CONTROL!$C$26, $C$13, 100%, $E$13)</f>
        <v>14.090299999999999</v>
      </c>
      <c r="E850" s="67">
        <f>16.1894 * CHOOSE(CONTROL!$C$26, $C$13, 100%, $E$13)</f>
        <v>16.189399999999999</v>
      </c>
      <c r="F850" s="67">
        <f>16.1894 * CHOOSE(CONTROL!$C$26, $C$13, 100%, $E$13)</f>
        <v>16.189399999999999</v>
      </c>
      <c r="G850" s="67">
        <f>16.1962 * CHOOSE(CONTROL!$C$26, $C$13, 100%, $E$13)</f>
        <v>16.196200000000001</v>
      </c>
      <c r="H850" s="67">
        <f>30.0084* CHOOSE(CONTROL!$C$26, $C$13, 100%, $E$13)</f>
        <v>30.008400000000002</v>
      </c>
      <c r="I850" s="67">
        <f>30.0151 * CHOOSE(CONTROL!$C$26, $C$13, 100%, $E$13)</f>
        <v>30.0151</v>
      </c>
      <c r="J850" s="67">
        <f>16.1894 * CHOOSE(CONTROL!$C$26, $C$13, 100%, $E$13)</f>
        <v>16.189399999999999</v>
      </c>
      <c r="K850" s="67">
        <f>16.1962 * CHOOSE(CONTROL!$C$26, $C$13, 100%, $E$13)</f>
        <v>16.196200000000001</v>
      </c>
    </row>
    <row r="851" spans="1:11" ht="15">
      <c r="A851" s="13">
        <v>67023</v>
      </c>
      <c r="B851" s="66">
        <f>14.2984 * CHOOSE(CONTROL!$C$26, $C$13, 100%, $E$13)</f>
        <v>14.298400000000001</v>
      </c>
      <c r="C851" s="66">
        <f>14.2984 * CHOOSE(CONTROL!$C$26, $C$13, 100%, $E$13)</f>
        <v>14.298400000000001</v>
      </c>
      <c r="D851" s="66">
        <f>14.3039 * CHOOSE(CONTROL!$C$26, $C$13, 100%, $E$13)</f>
        <v>14.303900000000001</v>
      </c>
      <c r="E851" s="67">
        <f>16.4469 * CHOOSE(CONTROL!$C$26, $C$13, 100%, $E$13)</f>
        <v>16.446899999999999</v>
      </c>
      <c r="F851" s="67">
        <f>16.4469 * CHOOSE(CONTROL!$C$26, $C$13, 100%, $E$13)</f>
        <v>16.446899999999999</v>
      </c>
      <c r="G851" s="67">
        <f>16.4536 * CHOOSE(CONTROL!$C$26, $C$13, 100%, $E$13)</f>
        <v>16.453600000000002</v>
      </c>
      <c r="H851" s="67">
        <f>30.0709* CHOOSE(CONTROL!$C$26, $C$13, 100%, $E$13)</f>
        <v>30.070900000000002</v>
      </c>
      <c r="I851" s="67">
        <f>30.0776 * CHOOSE(CONTROL!$C$26, $C$13, 100%, $E$13)</f>
        <v>30.0776</v>
      </c>
      <c r="J851" s="67">
        <f>16.4469 * CHOOSE(CONTROL!$C$26, $C$13, 100%, $E$13)</f>
        <v>16.446899999999999</v>
      </c>
      <c r="K851" s="67">
        <f>16.4536 * CHOOSE(CONTROL!$C$26, $C$13, 100%, $E$13)</f>
        <v>16.453600000000002</v>
      </c>
    </row>
    <row r="852" spans="1:11" ht="15">
      <c r="A852" s="13">
        <v>67054</v>
      </c>
      <c r="B852" s="66">
        <f>14.3051 * CHOOSE(CONTROL!$C$26, $C$13, 100%, $E$13)</f>
        <v>14.305099999999999</v>
      </c>
      <c r="C852" s="66">
        <f>14.3051 * CHOOSE(CONTROL!$C$26, $C$13, 100%, $E$13)</f>
        <v>14.305099999999999</v>
      </c>
      <c r="D852" s="66">
        <f>14.3106 * CHOOSE(CONTROL!$C$26, $C$13, 100%, $E$13)</f>
        <v>14.310600000000001</v>
      </c>
      <c r="E852" s="67">
        <f>16.1805 * CHOOSE(CONTROL!$C$26, $C$13, 100%, $E$13)</f>
        <v>16.180499999999999</v>
      </c>
      <c r="F852" s="67">
        <f>16.1805 * CHOOSE(CONTROL!$C$26, $C$13, 100%, $E$13)</f>
        <v>16.180499999999999</v>
      </c>
      <c r="G852" s="67">
        <f>16.1872 * CHOOSE(CONTROL!$C$26, $C$13, 100%, $E$13)</f>
        <v>16.187200000000001</v>
      </c>
      <c r="H852" s="67">
        <f>30.1335* CHOOSE(CONTROL!$C$26, $C$13, 100%, $E$13)</f>
        <v>30.133500000000002</v>
      </c>
      <c r="I852" s="67">
        <f>30.1403 * CHOOSE(CONTROL!$C$26, $C$13, 100%, $E$13)</f>
        <v>30.1403</v>
      </c>
      <c r="J852" s="67">
        <f>16.1805 * CHOOSE(CONTROL!$C$26, $C$13, 100%, $E$13)</f>
        <v>16.180499999999999</v>
      </c>
      <c r="K852" s="67">
        <f>16.1872 * CHOOSE(CONTROL!$C$26, $C$13, 100%, $E$13)</f>
        <v>16.187200000000001</v>
      </c>
    </row>
    <row r="853" spans="1:11" ht="15">
      <c r="A853" s="13">
        <v>67085</v>
      </c>
      <c r="B853" s="66">
        <f>14.3021 * CHOOSE(CONTROL!$C$26, $C$13, 100%, $E$13)</f>
        <v>14.302099999999999</v>
      </c>
      <c r="C853" s="66">
        <f>14.3021 * CHOOSE(CONTROL!$C$26, $C$13, 100%, $E$13)</f>
        <v>14.302099999999999</v>
      </c>
      <c r="D853" s="66">
        <f>14.3076 * CHOOSE(CONTROL!$C$26, $C$13, 100%, $E$13)</f>
        <v>14.307600000000001</v>
      </c>
      <c r="E853" s="67">
        <f>16.1482 * CHOOSE(CONTROL!$C$26, $C$13, 100%, $E$13)</f>
        <v>16.148199999999999</v>
      </c>
      <c r="F853" s="67">
        <f>16.1482 * CHOOSE(CONTROL!$C$26, $C$13, 100%, $E$13)</f>
        <v>16.148199999999999</v>
      </c>
      <c r="G853" s="67">
        <f>16.155 * CHOOSE(CONTROL!$C$26, $C$13, 100%, $E$13)</f>
        <v>16.155000000000001</v>
      </c>
      <c r="H853" s="67">
        <f>30.1963* CHOOSE(CONTROL!$C$26, $C$13, 100%, $E$13)</f>
        <v>30.196300000000001</v>
      </c>
      <c r="I853" s="67">
        <f>30.2031 * CHOOSE(CONTROL!$C$26, $C$13, 100%, $E$13)</f>
        <v>30.203099999999999</v>
      </c>
      <c r="J853" s="67">
        <f>16.1482 * CHOOSE(CONTROL!$C$26, $C$13, 100%, $E$13)</f>
        <v>16.148199999999999</v>
      </c>
      <c r="K853" s="67">
        <f>16.155 * CHOOSE(CONTROL!$C$26, $C$13, 100%, $E$13)</f>
        <v>16.155000000000001</v>
      </c>
    </row>
    <row r="854" spans="1:11" ht="15">
      <c r="A854" s="13">
        <v>67115</v>
      </c>
      <c r="B854" s="66">
        <f>14.3303 * CHOOSE(CONTROL!$C$26, $C$13, 100%, $E$13)</f>
        <v>14.330299999999999</v>
      </c>
      <c r="C854" s="66">
        <f>14.3303 * CHOOSE(CONTROL!$C$26, $C$13, 100%, $E$13)</f>
        <v>14.330299999999999</v>
      </c>
      <c r="D854" s="66">
        <f>14.3342 * CHOOSE(CONTROL!$C$26, $C$13, 100%, $E$13)</f>
        <v>14.334199999999999</v>
      </c>
      <c r="E854" s="67">
        <f>16.2553 * CHOOSE(CONTROL!$C$26, $C$13, 100%, $E$13)</f>
        <v>16.255299999999998</v>
      </c>
      <c r="F854" s="67">
        <f>16.2553 * CHOOSE(CONTROL!$C$26, $C$13, 100%, $E$13)</f>
        <v>16.255299999999998</v>
      </c>
      <c r="G854" s="67">
        <f>16.2601 * CHOOSE(CONTROL!$C$26, $C$13, 100%, $E$13)</f>
        <v>16.260100000000001</v>
      </c>
      <c r="H854" s="67">
        <f>30.2592* CHOOSE(CONTROL!$C$26, $C$13, 100%, $E$13)</f>
        <v>30.2592</v>
      </c>
      <c r="I854" s="67">
        <f>30.264 * CHOOSE(CONTROL!$C$26, $C$13, 100%, $E$13)</f>
        <v>30.263999999999999</v>
      </c>
      <c r="J854" s="67">
        <f>16.2553 * CHOOSE(CONTROL!$C$26, $C$13, 100%, $E$13)</f>
        <v>16.255299999999998</v>
      </c>
      <c r="K854" s="67">
        <f>16.2601 * CHOOSE(CONTROL!$C$26, $C$13, 100%, $E$13)</f>
        <v>16.260100000000001</v>
      </c>
    </row>
    <row r="855" spans="1:11" ht="15">
      <c r="A855" s="13">
        <v>67146</v>
      </c>
      <c r="B855" s="66">
        <f>14.3333 * CHOOSE(CONTROL!$C$26, $C$13, 100%, $E$13)</f>
        <v>14.333299999999999</v>
      </c>
      <c r="C855" s="66">
        <f>14.3333 * CHOOSE(CONTROL!$C$26, $C$13, 100%, $E$13)</f>
        <v>14.333299999999999</v>
      </c>
      <c r="D855" s="66">
        <f>14.3372 * CHOOSE(CONTROL!$C$26, $C$13, 100%, $E$13)</f>
        <v>14.337199999999999</v>
      </c>
      <c r="E855" s="67">
        <f>16.3177 * CHOOSE(CONTROL!$C$26, $C$13, 100%, $E$13)</f>
        <v>16.317699999999999</v>
      </c>
      <c r="F855" s="67">
        <f>16.3177 * CHOOSE(CONTROL!$C$26, $C$13, 100%, $E$13)</f>
        <v>16.317699999999999</v>
      </c>
      <c r="G855" s="67">
        <f>16.3224 * CHOOSE(CONTROL!$C$26, $C$13, 100%, $E$13)</f>
        <v>16.322399999999998</v>
      </c>
      <c r="H855" s="67">
        <f>30.3223* CHOOSE(CONTROL!$C$26, $C$13, 100%, $E$13)</f>
        <v>30.322299999999998</v>
      </c>
      <c r="I855" s="67">
        <f>30.327 * CHOOSE(CONTROL!$C$26, $C$13, 100%, $E$13)</f>
        <v>30.327000000000002</v>
      </c>
      <c r="J855" s="67">
        <f>16.3177 * CHOOSE(CONTROL!$C$26, $C$13, 100%, $E$13)</f>
        <v>16.317699999999999</v>
      </c>
      <c r="K855" s="67">
        <f>16.3224 * CHOOSE(CONTROL!$C$26, $C$13, 100%, $E$13)</f>
        <v>16.322399999999998</v>
      </c>
    </row>
    <row r="856" spans="1:11" ht="15">
      <c r="A856" s="13">
        <v>67176</v>
      </c>
      <c r="B856" s="66">
        <f>14.3333 * CHOOSE(CONTROL!$C$26, $C$13, 100%, $E$13)</f>
        <v>14.333299999999999</v>
      </c>
      <c r="C856" s="66">
        <f>14.3333 * CHOOSE(CONTROL!$C$26, $C$13, 100%, $E$13)</f>
        <v>14.333299999999999</v>
      </c>
      <c r="D856" s="66">
        <f>14.3372 * CHOOSE(CONTROL!$C$26, $C$13, 100%, $E$13)</f>
        <v>14.337199999999999</v>
      </c>
      <c r="E856" s="67">
        <f>16.1671 * CHOOSE(CONTROL!$C$26, $C$13, 100%, $E$13)</f>
        <v>16.167100000000001</v>
      </c>
      <c r="F856" s="67">
        <f>16.1671 * CHOOSE(CONTROL!$C$26, $C$13, 100%, $E$13)</f>
        <v>16.167100000000001</v>
      </c>
      <c r="G856" s="67">
        <f>16.1718 * CHOOSE(CONTROL!$C$26, $C$13, 100%, $E$13)</f>
        <v>16.171800000000001</v>
      </c>
      <c r="H856" s="67">
        <f>30.3854* CHOOSE(CONTROL!$C$26, $C$13, 100%, $E$13)</f>
        <v>30.385400000000001</v>
      </c>
      <c r="I856" s="67">
        <f>30.3902 * CHOOSE(CONTROL!$C$26, $C$13, 100%, $E$13)</f>
        <v>30.3902</v>
      </c>
      <c r="J856" s="67">
        <f>16.1671 * CHOOSE(CONTROL!$C$26, $C$13, 100%, $E$13)</f>
        <v>16.167100000000001</v>
      </c>
      <c r="K856" s="67">
        <f>16.1718 * CHOOSE(CONTROL!$C$26, $C$13, 100%, $E$13)</f>
        <v>16.171800000000001</v>
      </c>
    </row>
    <row r="857" spans="1:11" ht="15">
      <c r="A857" s="13">
        <v>67207</v>
      </c>
      <c r="B857" s="66">
        <f>14.3143 * CHOOSE(CONTROL!$C$26, $C$13, 100%, $E$13)</f>
        <v>14.314299999999999</v>
      </c>
      <c r="C857" s="66">
        <f>14.3143 * CHOOSE(CONTROL!$C$26, $C$13, 100%, $E$13)</f>
        <v>14.314299999999999</v>
      </c>
      <c r="D857" s="66">
        <f>14.3182 * CHOOSE(CONTROL!$C$26, $C$13, 100%, $E$13)</f>
        <v>14.318199999999999</v>
      </c>
      <c r="E857" s="67">
        <f>16.2677 * CHOOSE(CONTROL!$C$26, $C$13, 100%, $E$13)</f>
        <v>16.267700000000001</v>
      </c>
      <c r="F857" s="67">
        <f>16.2677 * CHOOSE(CONTROL!$C$26, $C$13, 100%, $E$13)</f>
        <v>16.267700000000001</v>
      </c>
      <c r="G857" s="67">
        <f>16.2725 * CHOOSE(CONTROL!$C$26, $C$13, 100%, $E$13)</f>
        <v>16.272500000000001</v>
      </c>
      <c r="H857" s="67">
        <f>30.1803* CHOOSE(CONTROL!$C$26, $C$13, 100%, $E$13)</f>
        <v>30.180299999999999</v>
      </c>
      <c r="I857" s="67">
        <f>30.1851 * CHOOSE(CONTROL!$C$26, $C$13, 100%, $E$13)</f>
        <v>30.185099999999998</v>
      </c>
      <c r="J857" s="67">
        <f>16.2677 * CHOOSE(CONTROL!$C$26, $C$13, 100%, $E$13)</f>
        <v>16.267700000000001</v>
      </c>
      <c r="K857" s="67">
        <f>16.2725 * CHOOSE(CONTROL!$C$26, $C$13, 100%, $E$13)</f>
        <v>16.272500000000001</v>
      </c>
    </row>
    <row r="858" spans="1:11" ht="15">
      <c r="A858" s="13">
        <v>67238</v>
      </c>
      <c r="B858" s="66">
        <f>14.3113 * CHOOSE(CONTROL!$C$26, $C$13, 100%, $E$13)</f>
        <v>14.311299999999999</v>
      </c>
      <c r="C858" s="66">
        <f>14.3113 * CHOOSE(CONTROL!$C$26, $C$13, 100%, $E$13)</f>
        <v>14.311299999999999</v>
      </c>
      <c r="D858" s="66">
        <f>14.3151 * CHOOSE(CONTROL!$C$26, $C$13, 100%, $E$13)</f>
        <v>14.315099999999999</v>
      </c>
      <c r="E858" s="67">
        <f>15.976 * CHOOSE(CONTROL!$C$26, $C$13, 100%, $E$13)</f>
        <v>15.976000000000001</v>
      </c>
      <c r="F858" s="67">
        <f>15.976 * CHOOSE(CONTROL!$C$26, $C$13, 100%, $E$13)</f>
        <v>15.976000000000001</v>
      </c>
      <c r="G858" s="67">
        <f>15.9808 * CHOOSE(CONTROL!$C$26, $C$13, 100%, $E$13)</f>
        <v>15.9808</v>
      </c>
      <c r="H858" s="67">
        <f>30.2432* CHOOSE(CONTROL!$C$26, $C$13, 100%, $E$13)</f>
        <v>30.243200000000002</v>
      </c>
      <c r="I858" s="67">
        <f>30.2479 * CHOOSE(CONTROL!$C$26, $C$13, 100%, $E$13)</f>
        <v>30.247900000000001</v>
      </c>
      <c r="J858" s="67">
        <f>15.976 * CHOOSE(CONTROL!$C$26, $C$13, 100%, $E$13)</f>
        <v>15.976000000000001</v>
      </c>
      <c r="K858" s="67">
        <f>15.9808 * CHOOSE(CONTROL!$C$26, $C$13, 100%, $E$13)</f>
        <v>15.9808</v>
      </c>
    </row>
    <row r="859" spans="1:11" ht="15">
      <c r="A859" s="13">
        <v>67267</v>
      </c>
      <c r="B859" s="66">
        <f>14.3082 * CHOOSE(CONTROL!$C$26, $C$13, 100%, $E$13)</f>
        <v>14.308199999999999</v>
      </c>
      <c r="C859" s="66">
        <f>14.3082 * CHOOSE(CONTROL!$C$26, $C$13, 100%, $E$13)</f>
        <v>14.308199999999999</v>
      </c>
      <c r="D859" s="66">
        <f>14.3121 * CHOOSE(CONTROL!$C$26, $C$13, 100%, $E$13)</f>
        <v>14.312099999999999</v>
      </c>
      <c r="E859" s="67">
        <f>16.2022 * CHOOSE(CONTROL!$C$26, $C$13, 100%, $E$13)</f>
        <v>16.202200000000001</v>
      </c>
      <c r="F859" s="67">
        <f>16.2022 * CHOOSE(CONTROL!$C$26, $C$13, 100%, $E$13)</f>
        <v>16.202200000000001</v>
      </c>
      <c r="G859" s="67">
        <f>16.2069 * CHOOSE(CONTROL!$C$26, $C$13, 100%, $E$13)</f>
        <v>16.206900000000001</v>
      </c>
      <c r="H859" s="67">
        <f>30.3062* CHOOSE(CONTROL!$C$26, $C$13, 100%, $E$13)</f>
        <v>30.3062</v>
      </c>
      <c r="I859" s="67">
        <f>30.3109 * CHOOSE(CONTROL!$C$26, $C$13, 100%, $E$13)</f>
        <v>30.3109</v>
      </c>
      <c r="J859" s="67">
        <f>16.2022 * CHOOSE(CONTROL!$C$26, $C$13, 100%, $E$13)</f>
        <v>16.202200000000001</v>
      </c>
      <c r="K859" s="67">
        <f>16.2069 * CHOOSE(CONTROL!$C$26, $C$13, 100%, $E$13)</f>
        <v>16.206900000000001</v>
      </c>
    </row>
    <row r="860" spans="1:11" ht="15">
      <c r="A860" s="13">
        <v>67298</v>
      </c>
      <c r="B860" s="66">
        <f>14.3145 * CHOOSE(CONTROL!$C$26, $C$13, 100%, $E$13)</f>
        <v>14.314500000000001</v>
      </c>
      <c r="C860" s="66">
        <f>14.3145 * CHOOSE(CONTROL!$C$26, $C$13, 100%, $E$13)</f>
        <v>14.314500000000001</v>
      </c>
      <c r="D860" s="66">
        <f>14.3184 * CHOOSE(CONTROL!$C$26, $C$13, 100%, $E$13)</f>
        <v>14.3184</v>
      </c>
      <c r="E860" s="67">
        <f>16.4431 * CHOOSE(CONTROL!$C$26, $C$13, 100%, $E$13)</f>
        <v>16.443100000000001</v>
      </c>
      <c r="F860" s="67">
        <f>16.4431 * CHOOSE(CONTROL!$C$26, $C$13, 100%, $E$13)</f>
        <v>16.443100000000001</v>
      </c>
      <c r="G860" s="67">
        <f>16.4478 * CHOOSE(CONTROL!$C$26, $C$13, 100%, $E$13)</f>
        <v>16.447800000000001</v>
      </c>
      <c r="H860" s="67">
        <f>30.3693* CHOOSE(CONTROL!$C$26, $C$13, 100%, $E$13)</f>
        <v>30.369299999999999</v>
      </c>
      <c r="I860" s="67">
        <f>30.3741 * CHOOSE(CONTROL!$C$26, $C$13, 100%, $E$13)</f>
        <v>30.374099999999999</v>
      </c>
      <c r="J860" s="67">
        <f>16.4431 * CHOOSE(CONTROL!$C$26, $C$13, 100%, $E$13)</f>
        <v>16.443100000000001</v>
      </c>
      <c r="K860" s="67">
        <f>16.4478 * CHOOSE(CONTROL!$C$26, $C$13, 100%, $E$13)</f>
        <v>16.447800000000001</v>
      </c>
    </row>
    <row r="861" spans="1:11" ht="15">
      <c r="A861" s="13">
        <v>67328</v>
      </c>
      <c r="B861" s="66">
        <f>14.3145 * CHOOSE(CONTROL!$C$26, $C$13, 100%, $E$13)</f>
        <v>14.314500000000001</v>
      </c>
      <c r="C861" s="66">
        <f>14.3145 * CHOOSE(CONTROL!$C$26, $C$13, 100%, $E$13)</f>
        <v>14.314500000000001</v>
      </c>
      <c r="D861" s="66">
        <f>14.32 * CHOOSE(CONTROL!$C$26, $C$13, 100%, $E$13)</f>
        <v>14.32</v>
      </c>
      <c r="E861" s="67">
        <f>16.535 * CHOOSE(CONTROL!$C$26, $C$13, 100%, $E$13)</f>
        <v>16.535</v>
      </c>
      <c r="F861" s="67">
        <f>16.535 * CHOOSE(CONTROL!$C$26, $C$13, 100%, $E$13)</f>
        <v>16.535</v>
      </c>
      <c r="G861" s="67">
        <f>16.5417 * CHOOSE(CONTROL!$C$26, $C$13, 100%, $E$13)</f>
        <v>16.541699999999999</v>
      </c>
      <c r="H861" s="67">
        <f>30.4326* CHOOSE(CONTROL!$C$26, $C$13, 100%, $E$13)</f>
        <v>30.432600000000001</v>
      </c>
      <c r="I861" s="67">
        <f>30.4393 * CHOOSE(CONTROL!$C$26, $C$13, 100%, $E$13)</f>
        <v>30.439299999999999</v>
      </c>
      <c r="J861" s="67">
        <f>16.535 * CHOOSE(CONTROL!$C$26, $C$13, 100%, $E$13)</f>
        <v>16.535</v>
      </c>
      <c r="K861" s="67">
        <f>16.5417 * CHOOSE(CONTROL!$C$26, $C$13, 100%, $E$13)</f>
        <v>16.541699999999999</v>
      </c>
    </row>
    <row r="862" spans="1:11" ht="15">
      <c r="A862" s="13">
        <v>67359</v>
      </c>
      <c r="B862" s="66">
        <f>14.3206 * CHOOSE(CONTROL!$C$26, $C$13, 100%, $E$13)</f>
        <v>14.320600000000001</v>
      </c>
      <c r="C862" s="66">
        <f>14.3206 * CHOOSE(CONTROL!$C$26, $C$13, 100%, $E$13)</f>
        <v>14.320600000000001</v>
      </c>
      <c r="D862" s="66">
        <f>14.3261 * CHOOSE(CONTROL!$C$26, $C$13, 100%, $E$13)</f>
        <v>14.3261</v>
      </c>
      <c r="E862" s="67">
        <f>16.4473 * CHOOSE(CONTROL!$C$26, $C$13, 100%, $E$13)</f>
        <v>16.447299999999998</v>
      </c>
      <c r="F862" s="67">
        <f>16.4473 * CHOOSE(CONTROL!$C$26, $C$13, 100%, $E$13)</f>
        <v>16.447299999999998</v>
      </c>
      <c r="G862" s="67">
        <f>16.454 * CHOOSE(CONTROL!$C$26, $C$13, 100%, $E$13)</f>
        <v>16.454000000000001</v>
      </c>
      <c r="H862" s="67">
        <f>30.496* CHOOSE(CONTROL!$C$26, $C$13, 100%, $E$13)</f>
        <v>30.495999999999999</v>
      </c>
      <c r="I862" s="67">
        <f>30.5027 * CHOOSE(CONTROL!$C$26, $C$13, 100%, $E$13)</f>
        <v>30.502700000000001</v>
      </c>
      <c r="J862" s="67">
        <f>16.4473 * CHOOSE(CONTROL!$C$26, $C$13, 100%, $E$13)</f>
        <v>16.447299999999998</v>
      </c>
      <c r="K862" s="67">
        <f>16.454 * CHOOSE(CONTROL!$C$26, $C$13, 100%, $E$13)</f>
        <v>16.454000000000001</v>
      </c>
    </row>
    <row r="863" spans="1:11" ht="15">
      <c r="A863" s="13">
        <v>67389</v>
      </c>
      <c r="B863" s="66">
        <f>14.5376 * CHOOSE(CONTROL!$C$26, $C$13, 100%, $E$13)</f>
        <v>14.537599999999999</v>
      </c>
      <c r="C863" s="66">
        <f>14.5376 * CHOOSE(CONTROL!$C$26, $C$13, 100%, $E$13)</f>
        <v>14.537599999999999</v>
      </c>
      <c r="D863" s="66">
        <f>14.5431 * CHOOSE(CONTROL!$C$26, $C$13, 100%, $E$13)</f>
        <v>14.543100000000001</v>
      </c>
      <c r="E863" s="67">
        <f>16.7087 * CHOOSE(CONTROL!$C$26, $C$13, 100%, $E$13)</f>
        <v>16.7087</v>
      </c>
      <c r="F863" s="67">
        <f>16.7087 * CHOOSE(CONTROL!$C$26, $C$13, 100%, $E$13)</f>
        <v>16.7087</v>
      </c>
      <c r="G863" s="67">
        <f>16.7154 * CHOOSE(CONTROL!$C$26, $C$13, 100%, $E$13)</f>
        <v>16.715399999999999</v>
      </c>
      <c r="H863" s="67">
        <f>30.5595* CHOOSE(CONTROL!$C$26, $C$13, 100%, $E$13)</f>
        <v>30.5595</v>
      </c>
      <c r="I863" s="67">
        <f>30.5662 * CHOOSE(CONTROL!$C$26, $C$13, 100%, $E$13)</f>
        <v>30.566199999999998</v>
      </c>
      <c r="J863" s="67">
        <f>16.7087 * CHOOSE(CONTROL!$C$26, $C$13, 100%, $E$13)</f>
        <v>16.7087</v>
      </c>
      <c r="K863" s="67">
        <f>16.7154 * CHOOSE(CONTROL!$C$26, $C$13, 100%, $E$13)</f>
        <v>16.715399999999999</v>
      </c>
    </row>
    <row r="864" spans="1:11" ht="15">
      <c r="A864" s="13">
        <v>67420</v>
      </c>
      <c r="B864" s="66">
        <f>14.5443 * CHOOSE(CONTROL!$C$26, $C$13, 100%, $E$13)</f>
        <v>14.5443</v>
      </c>
      <c r="C864" s="66">
        <f>14.5443 * CHOOSE(CONTROL!$C$26, $C$13, 100%, $E$13)</f>
        <v>14.5443</v>
      </c>
      <c r="D864" s="66">
        <f>14.5498 * CHOOSE(CONTROL!$C$26, $C$13, 100%, $E$13)</f>
        <v>14.549799999999999</v>
      </c>
      <c r="E864" s="67">
        <f>16.4375 * CHOOSE(CONTROL!$C$26, $C$13, 100%, $E$13)</f>
        <v>16.4375</v>
      </c>
      <c r="F864" s="67">
        <f>16.4375 * CHOOSE(CONTROL!$C$26, $C$13, 100%, $E$13)</f>
        <v>16.4375</v>
      </c>
      <c r="G864" s="67">
        <f>16.4443 * CHOOSE(CONTROL!$C$26, $C$13, 100%, $E$13)</f>
        <v>16.444299999999998</v>
      </c>
      <c r="H864" s="67">
        <f>30.6232* CHOOSE(CONTROL!$C$26, $C$13, 100%, $E$13)</f>
        <v>30.623200000000001</v>
      </c>
      <c r="I864" s="67">
        <f>30.6299 * CHOOSE(CONTROL!$C$26, $C$13, 100%, $E$13)</f>
        <v>30.629899999999999</v>
      </c>
      <c r="J864" s="67">
        <f>16.4375 * CHOOSE(CONTROL!$C$26, $C$13, 100%, $E$13)</f>
        <v>16.4375</v>
      </c>
      <c r="K864" s="67">
        <f>16.4443 * CHOOSE(CONTROL!$C$26, $C$13, 100%, $E$13)</f>
        <v>16.444299999999998</v>
      </c>
    </row>
    <row r="865" spans="1:11" ht="15">
      <c r="A865" s="13">
        <v>67451</v>
      </c>
      <c r="B865" s="66">
        <f>14.5412 * CHOOSE(CONTROL!$C$26, $C$13, 100%, $E$13)</f>
        <v>14.5412</v>
      </c>
      <c r="C865" s="66">
        <f>14.5412 * CHOOSE(CONTROL!$C$26, $C$13, 100%, $E$13)</f>
        <v>14.5412</v>
      </c>
      <c r="D865" s="66">
        <f>14.5468 * CHOOSE(CONTROL!$C$26, $C$13, 100%, $E$13)</f>
        <v>14.546799999999999</v>
      </c>
      <c r="E865" s="67">
        <f>16.4048 * CHOOSE(CONTROL!$C$26, $C$13, 100%, $E$13)</f>
        <v>16.404800000000002</v>
      </c>
      <c r="F865" s="67">
        <f>16.4048 * CHOOSE(CONTROL!$C$26, $C$13, 100%, $E$13)</f>
        <v>16.404800000000002</v>
      </c>
      <c r="G865" s="67">
        <f>16.4115 * CHOOSE(CONTROL!$C$26, $C$13, 100%, $E$13)</f>
        <v>16.4115</v>
      </c>
      <c r="H865" s="67">
        <f>30.687* CHOOSE(CONTROL!$C$26, $C$13, 100%, $E$13)</f>
        <v>30.687000000000001</v>
      </c>
      <c r="I865" s="67">
        <f>30.6937 * CHOOSE(CONTROL!$C$26, $C$13, 100%, $E$13)</f>
        <v>30.6937</v>
      </c>
      <c r="J865" s="67">
        <f>16.4048 * CHOOSE(CONTROL!$C$26, $C$13, 100%, $E$13)</f>
        <v>16.404800000000002</v>
      </c>
      <c r="K865" s="67">
        <f>16.4115 * CHOOSE(CONTROL!$C$26, $C$13, 100%, $E$13)</f>
        <v>16.4115</v>
      </c>
    </row>
    <row r="866" spans="1:11" ht="15">
      <c r="A866" s="13">
        <v>67481</v>
      </c>
      <c r="B866" s="66">
        <f>14.5702 * CHOOSE(CONTROL!$C$26, $C$13, 100%, $E$13)</f>
        <v>14.5702</v>
      </c>
      <c r="C866" s="66">
        <f>14.5702 * CHOOSE(CONTROL!$C$26, $C$13, 100%, $E$13)</f>
        <v>14.5702</v>
      </c>
      <c r="D866" s="66">
        <f>14.5741 * CHOOSE(CONTROL!$C$26, $C$13, 100%, $E$13)</f>
        <v>14.5741</v>
      </c>
      <c r="E866" s="67">
        <f>16.5139 * CHOOSE(CONTROL!$C$26, $C$13, 100%, $E$13)</f>
        <v>16.5139</v>
      </c>
      <c r="F866" s="67">
        <f>16.5139 * CHOOSE(CONTROL!$C$26, $C$13, 100%, $E$13)</f>
        <v>16.5139</v>
      </c>
      <c r="G866" s="67">
        <f>16.5187 * CHOOSE(CONTROL!$C$26, $C$13, 100%, $E$13)</f>
        <v>16.518699999999999</v>
      </c>
      <c r="H866" s="67">
        <f>30.7509* CHOOSE(CONTROL!$C$26, $C$13, 100%, $E$13)</f>
        <v>30.750900000000001</v>
      </c>
      <c r="I866" s="67">
        <f>30.7557 * CHOOSE(CONTROL!$C$26, $C$13, 100%, $E$13)</f>
        <v>30.755700000000001</v>
      </c>
      <c r="J866" s="67">
        <f>16.5139 * CHOOSE(CONTROL!$C$26, $C$13, 100%, $E$13)</f>
        <v>16.5139</v>
      </c>
      <c r="K866" s="67">
        <f>16.5187 * CHOOSE(CONTROL!$C$26, $C$13, 100%, $E$13)</f>
        <v>16.518699999999999</v>
      </c>
    </row>
    <row r="867" spans="1:11" ht="15">
      <c r="A867" s="13">
        <v>67512</v>
      </c>
      <c r="B867" s="66">
        <f>14.5733 * CHOOSE(CONTROL!$C$26, $C$13, 100%, $E$13)</f>
        <v>14.5733</v>
      </c>
      <c r="C867" s="66">
        <f>14.5733 * CHOOSE(CONTROL!$C$26, $C$13, 100%, $E$13)</f>
        <v>14.5733</v>
      </c>
      <c r="D867" s="66">
        <f>14.5771 * CHOOSE(CONTROL!$C$26, $C$13, 100%, $E$13)</f>
        <v>14.5771</v>
      </c>
      <c r="E867" s="67">
        <f>16.5773 * CHOOSE(CONTROL!$C$26, $C$13, 100%, $E$13)</f>
        <v>16.577300000000001</v>
      </c>
      <c r="F867" s="67">
        <f>16.5773 * CHOOSE(CONTROL!$C$26, $C$13, 100%, $E$13)</f>
        <v>16.577300000000001</v>
      </c>
      <c r="G867" s="67">
        <f>16.5821 * CHOOSE(CONTROL!$C$26, $C$13, 100%, $E$13)</f>
        <v>16.582100000000001</v>
      </c>
      <c r="H867" s="67">
        <f>30.815* CHOOSE(CONTROL!$C$26, $C$13, 100%, $E$13)</f>
        <v>30.815000000000001</v>
      </c>
      <c r="I867" s="67">
        <f>30.8197 * CHOOSE(CONTROL!$C$26, $C$13, 100%, $E$13)</f>
        <v>30.819700000000001</v>
      </c>
      <c r="J867" s="67">
        <f>16.5773 * CHOOSE(CONTROL!$C$26, $C$13, 100%, $E$13)</f>
        <v>16.577300000000001</v>
      </c>
      <c r="K867" s="67">
        <f>16.5821 * CHOOSE(CONTROL!$C$26, $C$13, 100%, $E$13)</f>
        <v>16.582100000000001</v>
      </c>
    </row>
    <row r="868" spans="1:11" ht="15">
      <c r="A868" s="13">
        <v>67542</v>
      </c>
      <c r="B868" s="66">
        <f>14.5733 * CHOOSE(CONTROL!$C$26, $C$13, 100%, $E$13)</f>
        <v>14.5733</v>
      </c>
      <c r="C868" s="66">
        <f>14.5733 * CHOOSE(CONTROL!$C$26, $C$13, 100%, $E$13)</f>
        <v>14.5733</v>
      </c>
      <c r="D868" s="66">
        <f>14.5771 * CHOOSE(CONTROL!$C$26, $C$13, 100%, $E$13)</f>
        <v>14.5771</v>
      </c>
      <c r="E868" s="67">
        <f>16.4241 * CHOOSE(CONTROL!$C$26, $C$13, 100%, $E$13)</f>
        <v>16.424099999999999</v>
      </c>
      <c r="F868" s="67">
        <f>16.4241 * CHOOSE(CONTROL!$C$26, $C$13, 100%, $E$13)</f>
        <v>16.424099999999999</v>
      </c>
      <c r="G868" s="67">
        <f>16.4289 * CHOOSE(CONTROL!$C$26, $C$13, 100%, $E$13)</f>
        <v>16.428899999999999</v>
      </c>
      <c r="H868" s="67">
        <f>30.8792* CHOOSE(CONTROL!$C$26, $C$13, 100%, $E$13)</f>
        <v>30.879200000000001</v>
      </c>
      <c r="I868" s="67">
        <f>30.8839 * CHOOSE(CONTROL!$C$26, $C$13, 100%, $E$13)</f>
        <v>30.883900000000001</v>
      </c>
      <c r="J868" s="67">
        <f>16.4241 * CHOOSE(CONTROL!$C$26, $C$13, 100%, $E$13)</f>
        <v>16.424099999999999</v>
      </c>
      <c r="K868" s="67">
        <f>16.4289 * CHOOSE(CONTROL!$C$26, $C$13, 100%, $E$13)</f>
        <v>16.428899999999999</v>
      </c>
    </row>
    <row r="869" spans="1:11" ht="15">
      <c r="A869" s="13">
        <v>67573</v>
      </c>
      <c r="B869" s="66">
        <f>14.5499 * CHOOSE(CONTROL!$C$26, $C$13, 100%, $E$13)</f>
        <v>14.549899999999999</v>
      </c>
      <c r="C869" s="66">
        <f>14.5499 * CHOOSE(CONTROL!$C$26, $C$13, 100%, $E$13)</f>
        <v>14.549899999999999</v>
      </c>
      <c r="D869" s="66">
        <f>14.5537 * CHOOSE(CONTROL!$C$26, $C$13, 100%, $E$13)</f>
        <v>14.553699999999999</v>
      </c>
      <c r="E869" s="67">
        <f>16.5224 * CHOOSE(CONTROL!$C$26, $C$13, 100%, $E$13)</f>
        <v>16.522400000000001</v>
      </c>
      <c r="F869" s="67">
        <f>16.5224 * CHOOSE(CONTROL!$C$26, $C$13, 100%, $E$13)</f>
        <v>16.522400000000001</v>
      </c>
      <c r="G869" s="67">
        <f>16.5272 * CHOOSE(CONTROL!$C$26, $C$13, 100%, $E$13)</f>
        <v>16.527200000000001</v>
      </c>
      <c r="H869" s="67">
        <f>30.6628* CHOOSE(CONTROL!$C$26, $C$13, 100%, $E$13)</f>
        <v>30.662800000000001</v>
      </c>
      <c r="I869" s="67">
        <f>30.6676 * CHOOSE(CONTROL!$C$26, $C$13, 100%, $E$13)</f>
        <v>30.6676</v>
      </c>
      <c r="J869" s="67">
        <f>16.5224 * CHOOSE(CONTROL!$C$26, $C$13, 100%, $E$13)</f>
        <v>16.522400000000001</v>
      </c>
      <c r="K869" s="67">
        <f>16.5272 * CHOOSE(CONTROL!$C$26, $C$13, 100%, $E$13)</f>
        <v>16.527200000000001</v>
      </c>
    </row>
    <row r="870" spans="1:11" ht="15">
      <c r="A870" s="13">
        <v>67604</v>
      </c>
      <c r="B870" s="66">
        <f>14.5468 * CHOOSE(CONTROL!$C$26, $C$13, 100%, $E$13)</f>
        <v>14.546799999999999</v>
      </c>
      <c r="C870" s="66">
        <f>14.5468 * CHOOSE(CONTROL!$C$26, $C$13, 100%, $E$13)</f>
        <v>14.546799999999999</v>
      </c>
      <c r="D870" s="66">
        <f>14.5507 * CHOOSE(CONTROL!$C$26, $C$13, 100%, $E$13)</f>
        <v>14.550700000000001</v>
      </c>
      <c r="E870" s="67">
        <f>16.2258 * CHOOSE(CONTROL!$C$26, $C$13, 100%, $E$13)</f>
        <v>16.2258</v>
      </c>
      <c r="F870" s="67">
        <f>16.2258 * CHOOSE(CONTROL!$C$26, $C$13, 100%, $E$13)</f>
        <v>16.2258</v>
      </c>
      <c r="G870" s="67">
        <f>16.2306 * CHOOSE(CONTROL!$C$26, $C$13, 100%, $E$13)</f>
        <v>16.230599999999999</v>
      </c>
      <c r="H870" s="67">
        <f>30.7267* CHOOSE(CONTROL!$C$26, $C$13, 100%, $E$13)</f>
        <v>30.726700000000001</v>
      </c>
      <c r="I870" s="67">
        <f>30.7315 * CHOOSE(CONTROL!$C$26, $C$13, 100%, $E$13)</f>
        <v>30.7315</v>
      </c>
      <c r="J870" s="67">
        <f>16.2258 * CHOOSE(CONTROL!$C$26, $C$13, 100%, $E$13)</f>
        <v>16.2258</v>
      </c>
      <c r="K870" s="67">
        <f>16.2306 * CHOOSE(CONTROL!$C$26, $C$13, 100%, $E$13)</f>
        <v>16.230599999999999</v>
      </c>
    </row>
    <row r="871" spans="1:11" ht="15">
      <c r="A871" s="13">
        <v>67632</v>
      </c>
      <c r="B871" s="66">
        <f>14.5438 * CHOOSE(CONTROL!$C$26, $C$13, 100%, $E$13)</f>
        <v>14.543799999999999</v>
      </c>
      <c r="C871" s="66">
        <f>14.5438 * CHOOSE(CONTROL!$C$26, $C$13, 100%, $E$13)</f>
        <v>14.543799999999999</v>
      </c>
      <c r="D871" s="66">
        <f>14.5477 * CHOOSE(CONTROL!$C$26, $C$13, 100%, $E$13)</f>
        <v>14.547700000000001</v>
      </c>
      <c r="E871" s="67">
        <f>16.4558 * CHOOSE(CONTROL!$C$26, $C$13, 100%, $E$13)</f>
        <v>16.4558</v>
      </c>
      <c r="F871" s="67">
        <f>16.4558 * CHOOSE(CONTROL!$C$26, $C$13, 100%, $E$13)</f>
        <v>16.4558</v>
      </c>
      <c r="G871" s="67">
        <f>16.4606 * CHOOSE(CONTROL!$C$26, $C$13, 100%, $E$13)</f>
        <v>16.460599999999999</v>
      </c>
      <c r="H871" s="67">
        <f>30.7907* CHOOSE(CONTROL!$C$26, $C$13, 100%, $E$13)</f>
        <v>30.790700000000001</v>
      </c>
      <c r="I871" s="67">
        <f>30.7955 * CHOOSE(CONTROL!$C$26, $C$13, 100%, $E$13)</f>
        <v>30.795500000000001</v>
      </c>
      <c r="J871" s="67">
        <f>16.4558 * CHOOSE(CONTROL!$C$26, $C$13, 100%, $E$13)</f>
        <v>16.4558</v>
      </c>
      <c r="K871" s="67">
        <f>16.4606 * CHOOSE(CONTROL!$C$26, $C$13, 100%, $E$13)</f>
        <v>16.460599999999999</v>
      </c>
    </row>
    <row r="872" spans="1:11" ht="15">
      <c r="A872" s="13">
        <v>67663</v>
      </c>
      <c r="B872" s="66">
        <f>14.5503 * CHOOSE(CONTROL!$C$26, $C$13, 100%, $E$13)</f>
        <v>14.5503</v>
      </c>
      <c r="C872" s="66">
        <f>14.5503 * CHOOSE(CONTROL!$C$26, $C$13, 100%, $E$13)</f>
        <v>14.5503</v>
      </c>
      <c r="D872" s="66">
        <f>14.5541 * CHOOSE(CONTROL!$C$26, $C$13, 100%, $E$13)</f>
        <v>14.5541</v>
      </c>
      <c r="E872" s="67">
        <f>16.7009 * CHOOSE(CONTROL!$C$26, $C$13, 100%, $E$13)</f>
        <v>16.700900000000001</v>
      </c>
      <c r="F872" s="67">
        <f>16.7009 * CHOOSE(CONTROL!$C$26, $C$13, 100%, $E$13)</f>
        <v>16.700900000000001</v>
      </c>
      <c r="G872" s="67">
        <f>16.7057 * CHOOSE(CONTROL!$C$26, $C$13, 100%, $E$13)</f>
        <v>16.7057</v>
      </c>
      <c r="H872" s="67">
        <f>30.8549* CHOOSE(CONTROL!$C$26, $C$13, 100%, $E$13)</f>
        <v>30.854900000000001</v>
      </c>
      <c r="I872" s="67">
        <f>30.8596 * CHOOSE(CONTROL!$C$26, $C$13, 100%, $E$13)</f>
        <v>30.8596</v>
      </c>
      <c r="J872" s="67">
        <f>16.7009 * CHOOSE(CONTROL!$C$26, $C$13, 100%, $E$13)</f>
        <v>16.700900000000001</v>
      </c>
      <c r="K872" s="67">
        <f>16.7057 * CHOOSE(CONTROL!$C$26, $C$13, 100%, $E$13)</f>
        <v>16.7057</v>
      </c>
    </row>
    <row r="873" spans="1:11" ht="15">
      <c r="A873" s="13">
        <v>67693</v>
      </c>
      <c r="B873" s="66">
        <f>14.5503 * CHOOSE(CONTROL!$C$26, $C$13, 100%, $E$13)</f>
        <v>14.5503</v>
      </c>
      <c r="C873" s="66">
        <f>14.5503 * CHOOSE(CONTROL!$C$26, $C$13, 100%, $E$13)</f>
        <v>14.5503</v>
      </c>
      <c r="D873" s="66">
        <f>14.5558 * CHOOSE(CONTROL!$C$26, $C$13, 100%, $E$13)</f>
        <v>14.5558</v>
      </c>
      <c r="E873" s="67">
        <f>16.7944 * CHOOSE(CONTROL!$C$26, $C$13, 100%, $E$13)</f>
        <v>16.7944</v>
      </c>
      <c r="F873" s="67">
        <f>16.7944 * CHOOSE(CONTROL!$C$26, $C$13, 100%, $E$13)</f>
        <v>16.7944</v>
      </c>
      <c r="G873" s="67">
        <f>16.8012 * CHOOSE(CONTROL!$C$26, $C$13, 100%, $E$13)</f>
        <v>16.801200000000001</v>
      </c>
      <c r="H873" s="67">
        <f>30.9192* CHOOSE(CONTROL!$C$26, $C$13, 100%, $E$13)</f>
        <v>30.9192</v>
      </c>
      <c r="I873" s="67">
        <f>30.9259 * CHOOSE(CONTROL!$C$26, $C$13, 100%, $E$13)</f>
        <v>30.925899999999999</v>
      </c>
      <c r="J873" s="67">
        <f>16.7944 * CHOOSE(CONTROL!$C$26, $C$13, 100%, $E$13)</f>
        <v>16.7944</v>
      </c>
      <c r="K873" s="67">
        <f>16.8012 * CHOOSE(CONTROL!$C$26, $C$13, 100%, $E$13)</f>
        <v>16.801200000000001</v>
      </c>
    </row>
    <row r="874" spans="1:11" ht="15">
      <c r="A874" s="13">
        <v>67724</v>
      </c>
      <c r="B874" s="66">
        <f>14.5564 * CHOOSE(CONTROL!$C$26, $C$13, 100%, $E$13)</f>
        <v>14.5564</v>
      </c>
      <c r="C874" s="66">
        <f>14.5564 * CHOOSE(CONTROL!$C$26, $C$13, 100%, $E$13)</f>
        <v>14.5564</v>
      </c>
      <c r="D874" s="66">
        <f>14.5619 * CHOOSE(CONTROL!$C$26, $C$13, 100%, $E$13)</f>
        <v>14.5619</v>
      </c>
      <c r="E874" s="67">
        <f>16.7052 * CHOOSE(CONTROL!$C$26, $C$13, 100%, $E$13)</f>
        <v>16.705200000000001</v>
      </c>
      <c r="F874" s="67">
        <f>16.7052 * CHOOSE(CONTROL!$C$26, $C$13, 100%, $E$13)</f>
        <v>16.705200000000001</v>
      </c>
      <c r="G874" s="67">
        <f>16.7119 * CHOOSE(CONTROL!$C$26, $C$13, 100%, $E$13)</f>
        <v>16.7119</v>
      </c>
      <c r="H874" s="67">
        <f>30.9836* CHOOSE(CONTROL!$C$26, $C$13, 100%, $E$13)</f>
        <v>30.983599999999999</v>
      </c>
      <c r="I874" s="67">
        <f>30.9903 * CHOOSE(CONTROL!$C$26, $C$13, 100%, $E$13)</f>
        <v>30.990300000000001</v>
      </c>
      <c r="J874" s="67">
        <f>16.7052 * CHOOSE(CONTROL!$C$26, $C$13, 100%, $E$13)</f>
        <v>16.705200000000001</v>
      </c>
      <c r="K874" s="67">
        <f>16.7119 * CHOOSE(CONTROL!$C$26, $C$13, 100%, $E$13)</f>
        <v>16.7119</v>
      </c>
    </row>
    <row r="875" spans="1:11" ht="15">
      <c r="A875" s="13">
        <v>67754</v>
      </c>
      <c r="B875" s="66">
        <f>14.7768 * CHOOSE(CONTROL!$C$26, $C$13, 100%, $E$13)</f>
        <v>14.7768</v>
      </c>
      <c r="C875" s="66">
        <f>14.7768 * CHOOSE(CONTROL!$C$26, $C$13, 100%, $E$13)</f>
        <v>14.7768</v>
      </c>
      <c r="D875" s="66">
        <f>14.7823 * CHOOSE(CONTROL!$C$26, $C$13, 100%, $E$13)</f>
        <v>14.782299999999999</v>
      </c>
      <c r="E875" s="67">
        <f>16.9704 * CHOOSE(CONTROL!$C$26, $C$13, 100%, $E$13)</f>
        <v>16.970400000000001</v>
      </c>
      <c r="F875" s="67">
        <f>16.9704 * CHOOSE(CONTROL!$C$26, $C$13, 100%, $E$13)</f>
        <v>16.970400000000001</v>
      </c>
      <c r="G875" s="67">
        <f>16.9772 * CHOOSE(CONTROL!$C$26, $C$13, 100%, $E$13)</f>
        <v>16.9772</v>
      </c>
      <c r="H875" s="67">
        <f>31.0481* CHOOSE(CONTROL!$C$26, $C$13, 100%, $E$13)</f>
        <v>31.048100000000002</v>
      </c>
      <c r="I875" s="67">
        <f>31.0549 * CHOOSE(CONTROL!$C$26, $C$13, 100%, $E$13)</f>
        <v>31.0549</v>
      </c>
      <c r="J875" s="67">
        <f>16.9704 * CHOOSE(CONTROL!$C$26, $C$13, 100%, $E$13)</f>
        <v>16.970400000000001</v>
      </c>
      <c r="K875" s="67">
        <f>16.9772 * CHOOSE(CONTROL!$C$26, $C$13, 100%, $E$13)</f>
        <v>16.9772</v>
      </c>
    </row>
    <row r="876" spans="1:11" ht="15">
      <c r="A876" s="13">
        <v>67785</v>
      </c>
      <c r="B876" s="66">
        <f>14.7835 * CHOOSE(CONTROL!$C$26, $C$13, 100%, $E$13)</f>
        <v>14.7835</v>
      </c>
      <c r="C876" s="66">
        <f>14.7835 * CHOOSE(CONTROL!$C$26, $C$13, 100%, $E$13)</f>
        <v>14.7835</v>
      </c>
      <c r="D876" s="66">
        <f>14.789 * CHOOSE(CONTROL!$C$26, $C$13, 100%, $E$13)</f>
        <v>14.789</v>
      </c>
      <c r="E876" s="67">
        <f>16.6946 * CHOOSE(CONTROL!$C$26, $C$13, 100%, $E$13)</f>
        <v>16.694600000000001</v>
      </c>
      <c r="F876" s="67">
        <f>16.6946 * CHOOSE(CONTROL!$C$26, $C$13, 100%, $E$13)</f>
        <v>16.694600000000001</v>
      </c>
      <c r="G876" s="67">
        <f>16.7014 * CHOOSE(CONTROL!$C$26, $C$13, 100%, $E$13)</f>
        <v>16.7014</v>
      </c>
      <c r="H876" s="67">
        <f>31.1128* CHOOSE(CONTROL!$C$26, $C$13, 100%, $E$13)</f>
        <v>31.1128</v>
      </c>
      <c r="I876" s="67">
        <f>31.1195 * CHOOSE(CONTROL!$C$26, $C$13, 100%, $E$13)</f>
        <v>31.119499999999999</v>
      </c>
      <c r="J876" s="67">
        <f>16.6946 * CHOOSE(CONTROL!$C$26, $C$13, 100%, $E$13)</f>
        <v>16.694600000000001</v>
      </c>
      <c r="K876" s="67">
        <f>16.7014 * CHOOSE(CONTROL!$C$26, $C$13, 100%, $E$13)</f>
        <v>16.7014</v>
      </c>
    </row>
    <row r="877" spans="1:11" ht="15">
      <c r="A877" s="13">
        <v>67816</v>
      </c>
      <c r="B877" s="66">
        <f>14.7804 * CHOOSE(CONTROL!$C$26, $C$13, 100%, $E$13)</f>
        <v>14.7804</v>
      </c>
      <c r="C877" s="66">
        <f>14.7804 * CHOOSE(CONTROL!$C$26, $C$13, 100%, $E$13)</f>
        <v>14.7804</v>
      </c>
      <c r="D877" s="66">
        <f>14.7859 * CHOOSE(CONTROL!$C$26, $C$13, 100%, $E$13)</f>
        <v>14.7859</v>
      </c>
      <c r="E877" s="67">
        <f>16.6613 * CHOOSE(CONTROL!$C$26, $C$13, 100%, $E$13)</f>
        <v>16.661300000000001</v>
      </c>
      <c r="F877" s="67">
        <f>16.6613 * CHOOSE(CONTROL!$C$26, $C$13, 100%, $E$13)</f>
        <v>16.661300000000001</v>
      </c>
      <c r="G877" s="67">
        <f>16.6681 * CHOOSE(CONTROL!$C$26, $C$13, 100%, $E$13)</f>
        <v>16.668099999999999</v>
      </c>
      <c r="H877" s="67">
        <f>31.1776* CHOOSE(CONTROL!$C$26, $C$13, 100%, $E$13)</f>
        <v>31.177600000000002</v>
      </c>
      <c r="I877" s="67">
        <f>31.1844 * CHOOSE(CONTROL!$C$26, $C$13, 100%, $E$13)</f>
        <v>31.1844</v>
      </c>
      <c r="J877" s="67">
        <f>16.6613 * CHOOSE(CONTROL!$C$26, $C$13, 100%, $E$13)</f>
        <v>16.661300000000001</v>
      </c>
      <c r="K877" s="67">
        <f>16.6681 * CHOOSE(CONTROL!$C$26, $C$13, 100%, $E$13)</f>
        <v>16.668099999999999</v>
      </c>
    </row>
    <row r="878" spans="1:11" ht="15">
      <c r="A878" s="13">
        <v>67846</v>
      </c>
      <c r="B878" s="66">
        <f>14.8102 * CHOOSE(CONTROL!$C$26, $C$13, 100%, $E$13)</f>
        <v>14.8102</v>
      </c>
      <c r="C878" s="66">
        <f>14.8102 * CHOOSE(CONTROL!$C$26, $C$13, 100%, $E$13)</f>
        <v>14.8102</v>
      </c>
      <c r="D878" s="66">
        <f>14.814 * CHOOSE(CONTROL!$C$26, $C$13, 100%, $E$13)</f>
        <v>14.814</v>
      </c>
      <c r="E878" s="67">
        <f>16.7726 * CHOOSE(CONTROL!$C$26, $C$13, 100%, $E$13)</f>
        <v>16.772600000000001</v>
      </c>
      <c r="F878" s="67">
        <f>16.7726 * CHOOSE(CONTROL!$C$26, $C$13, 100%, $E$13)</f>
        <v>16.772600000000001</v>
      </c>
      <c r="G878" s="67">
        <f>16.7773 * CHOOSE(CONTROL!$C$26, $C$13, 100%, $E$13)</f>
        <v>16.7773</v>
      </c>
      <c r="H878" s="67">
        <f>31.2426* CHOOSE(CONTROL!$C$26, $C$13, 100%, $E$13)</f>
        <v>31.242599999999999</v>
      </c>
      <c r="I878" s="67">
        <f>31.2473 * CHOOSE(CONTROL!$C$26, $C$13, 100%, $E$13)</f>
        <v>31.247299999999999</v>
      </c>
      <c r="J878" s="67">
        <f>16.7726 * CHOOSE(CONTROL!$C$26, $C$13, 100%, $E$13)</f>
        <v>16.772600000000001</v>
      </c>
      <c r="K878" s="67">
        <f>16.7773 * CHOOSE(CONTROL!$C$26, $C$13, 100%, $E$13)</f>
        <v>16.7773</v>
      </c>
    </row>
    <row r="879" spans="1:11" ht="15">
      <c r="A879" s="13">
        <v>67877</v>
      </c>
      <c r="B879" s="66">
        <f>14.8132 * CHOOSE(CONTROL!$C$26, $C$13, 100%, $E$13)</f>
        <v>14.8132</v>
      </c>
      <c r="C879" s="66">
        <f>14.8132 * CHOOSE(CONTROL!$C$26, $C$13, 100%, $E$13)</f>
        <v>14.8132</v>
      </c>
      <c r="D879" s="66">
        <f>14.8171 * CHOOSE(CONTROL!$C$26, $C$13, 100%, $E$13)</f>
        <v>14.8171</v>
      </c>
      <c r="E879" s="67">
        <f>16.837 * CHOOSE(CONTROL!$C$26, $C$13, 100%, $E$13)</f>
        <v>16.837</v>
      </c>
      <c r="F879" s="67">
        <f>16.837 * CHOOSE(CONTROL!$C$26, $C$13, 100%, $E$13)</f>
        <v>16.837</v>
      </c>
      <c r="G879" s="67">
        <f>16.8418 * CHOOSE(CONTROL!$C$26, $C$13, 100%, $E$13)</f>
        <v>16.841799999999999</v>
      </c>
      <c r="H879" s="67">
        <f>31.3077* CHOOSE(CONTROL!$C$26, $C$13, 100%, $E$13)</f>
        <v>31.307700000000001</v>
      </c>
      <c r="I879" s="67">
        <f>31.3124 * CHOOSE(CONTROL!$C$26, $C$13, 100%, $E$13)</f>
        <v>31.3124</v>
      </c>
      <c r="J879" s="67">
        <f>16.837 * CHOOSE(CONTROL!$C$26, $C$13, 100%, $E$13)</f>
        <v>16.837</v>
      </c>
      <c r="K879" s="67">
        <f>16.8418 * CHOOSE(CONTROL!$C$26, $C$13, 100%, $E$13)</f>
        <v>16.841799999999999</v>
      </c>
    </row>
    <row r="880" spans="1:11" ht="15">
      <c r="A880" s="13">
        <v>67907</v>
      </c>
      <c r="B880" s="66">
        <f>14.8132 * CHOOSE(CONTROL!$C$26, $C$13, 100%, $E$13)</f>
        <v>14.8132</v>
      </c>
      <c r="C880" s="66">
        <f>14.8132 * CHOOSE(CONTROL!$C$26, $C$13, 100%, $E$13)</f>
        <v>14.8132</v>
      </c>
      <c r="D880" s="66">
        <f>14.8171 * CHOOSE(CONTROL!$C$26, $C$13, 100%, $E$13)</f>
        <v>14.8171</v>
      </c>
      <c r="E880" s="67">
        <f>16.6812 * CHOOSE(CONTROL!$C$26, $C$13, 100%, $E$13)</f>
        <v>16.6812</v>
      </c>
      <c r="F880" s="67">
        <f>16.6812 * CHOOSE(CONTROL!$C$26, $C$13, 100%, $E$13)</f>
        <v>16.6812</v>
      </c>
      <c r="G880" s="67">
        <f>16.686 * CHOOSE(CONTROL!$C$26, $C$13, 100%, $E$13)</f>
        <v>16.686</v>
      </c>
      <c r="H880" s="67">
        <f>31.3729* CHOOSE(CONTROL!$C$26, $C$13, 100%, $E$13)</f>
        <v>31.372900000000001</v>
      </c>
      <c r="I880" s="67">
        <f>31.3777 * CHOOSE(CONTROL!$C$26, $C$13, 100%, $E$13)</f>
        <v>31.377700000000001</v>
      </c>
      <c r="J880" s="67">
        <f>16.6812 * CHOOSE(CONTROL!$C$26, $C$13, 100%, $E$13)</f>
        <v>16.6812</v>
      </c>
      <c r="K880" s="67">
        <f>16.686 * CHOOSE(CONTROL!$C$26, $C$13, 100%, $E$13)</f>
        <v>16.686</v>
      </c>
    </row>
    <row r="881" spans="1:11" ht="15">
      <c r="A881" s="13">
        <v>67938</v>
      </c>
      <c r="B881" s="66">
        <f>14.7854 * CHOOSE(CONTROL!$C$26, $C$13, 100%, $E$13)</f>
        <v>14.785399999999999</v>
      </c>
      <c r="C881" s="66">
        <f>14.7854 * CHOOSE(CONTROL!$C$26, $C$13, 100%, $E$13)</f>
        <v>14.785399999999999</v>
      </c>
      <c r="D881" s="66">
        <f>14.7893 * CHOOSE(CONTROL!$C$26, $C$13, 100%, $E$13)</f>
        <v>14.789300000000001</v>
      </c>
      <c r="E881" s="67">
        <f>16.7771 * CHOOSE(CONTROL!$C$26, $C$13, 100%, $E$13)</f>
        <v>16.777100000000001</v>
      </c>
      <c r="F881" s="67">
        <f>16.7771 * CHOOSE(CONTROL!$C$26, $C$13, 100%, $E$13)</f>
        <v>16.777100000000001</v>
      </c>
      <c r="G881" s="67">
        <f>16.7819 * CHOOSE(CONTROL!$C$26, $C$13, 100%, $E$13)</f>
        <v>16.7819</v>
      </c>
      <c r="H881" s="67">
        <f>31.1454* CHOOSE(CONTROL!$C$26, $C$13, 100%, $E$13)</f>
        <v>31.145399999999999</v>
      </c>
      <c r="I881" s="67">
        <f>31.1501 * CHOOSE(CONTROL!$C$26, $C$13, 100%, $E$13)</f>
        <v>31.150099999999998</v>
      </c>
      <c r="J881" s="67">
        <f>16.7771 * CHOOSE(CONTROL!$C$26, $C$13, 100%, $E$13)</f>
        <v>16.777100000000001</v>
      </c>
      <c r="K881" s="67">
        <f>16.7819 * CHOOSE(CONTROL!$C$26, $C$13, 100%, $E$13)</f>
        <v>16.7819</v>
      </c>
    </row>
    <row r="882" spans="1:11" ht="15">
      <c r="A882" s="13">
        <v>67969</v>
      </c>
      <c r="B882" s="66">
        <f>14.7824 * CHOOSE(CONTROL!$C$26, $C$13, 100%, $E$13)</f>
        <v>14.782400000000001</v>
      </c>
      <c r="C882" s="66">
        <f>14.7824 * CHOOSE(CONTROL!$C$26, $C$13, 100%, $E$13)</f>
        <v>14.782400000000001</v>
      </c>
      <c r="D882" s="66">
        <f>14.7863 * CHOOSE(CONTROL!$C$26, $C$13, 100%, $E$13)</f>
        <v>14.786300000000001</v>
      </c>
      <c r="E882" s="67">
        <f>16.4756 * CHOOSE(CONTROL!$C$26, $C$13, 100%, $E$13)</f>
        <v>16.4756</v>
      </c>
      <c r="F882" s="67">
        <f>16.4756 * CHOOSE(CONTROL!$C$26, $C$13, 100%, $E$13)</f>
        <v>16.4756</v>
      </c>
      <c r="G882" s="67">
        <f>16.4804 * CHOOSE(CONTROL!$C$26, $C$13, 100%, $E$13)</f>
        <v>16.480399999999999</v>
      </c>
      <c r="H882" s="67">
        <f>31.2103* CHOOSE(CONTROL!$C$26, $C$13, 100%, $E$13)</f>
        <v>31.2103</v>
      </c>
      <c r="I882" s="67">
        <f>31.215 * CHOOSE(CONTROL!$C$26, $C$13, 100%, $E$13)</f>
        <v>31.215</v>
      </c>
      <c r="J882" s="67">
        <f>16.4756 * CHOOSE(CONTROL!$C$26, $C$13, 100%, $E$13)</f>
        <v>16.4756</v>
      </c>
      <c r="K882" s="67">
        <f>16.4804 * CHOOSE(CONTROL!$C$26, $C$13, 100%, $E$13)</f>
        <v>16.480399999999999</v>
      </c>
    </row>
    <row r="883" spans="1:11" ht="15">
      <c r="A883" s="13">
        <v>67997</v>
      </c>
      <c r="B883" s="66">
        <f>14.7794 * CHOOSE(CONTROL!$C$26, $C$13, 100%, $E$13)</f>
        <v>14.779400000000001</v>
      </c>
      <c r="C883" s="66">
        <f>14.7794 * CHOOSE(CONTROL!$C$26, $C$13, 100%, $E$13)</f>
        <v>14.779400000000001</v>
      </c>
      <c r="D883" s="66">
        <f>14.7832 * CHOOSE(CONTROL!$C$26, $C$13, 100%, $E$13)</f>
        <v>14.783200000000001</v>
      </c>
      <c r="E883" s="67">
        <f>16.7095 * CHOOSE(CONTROL!$C$26, $C$13, 100%, $E$13)</f>
        <v>16.709499999999998</v>
      </c>
      <c r="F883" s="67">
        <f>16.7095 * CHOOSE(CONTROL!$C$26, $C$13, 100%, $E$13)</f>
        <v>16.709499999999998</v>
      </c>
      <c r="G883" s="67">
        <f>16.7143 * CHOOSE(CONTROL!$C$26, $C$13, 100%, $E$13)</f>
        <v>16.714300000000001</v>
      </c>
      <c r="H883" s="67">
        <f>31.2753* CHOOSE(CONTROL!$C$26, $C$13, 100%, $E$13)</f>
        <v>31.275300000000001</v>
      </c>
      <c r="I883" s="67">
        <f>31.2801 * CHOOSE(CONTROL!$C$26, $C$13, 100%, $E$13)</f>
        <v>31.280100000000001</v>
      </c>
      <c r="J883" s="67">
        <f>16.7095 * CHOOSE(CONTROL!$C$26, $C$13, 100%, $E$13)</f>
        <v>16.709499999999998</v>
      </c>
      <c r="K883" s="67">
        <f>16.7143 * CHOOSE(CONTROL!$C$26, $C$13, 100%, $E$13)</f>
        <v>16.714300000000001</v>
      </c>
    </row>
    <row r="884" spans="1:11" ht="15">
      <c r="A884" s="13">
        <v>68028</v>
      </c>
      <c r="B884" s="66">
        <f>14.786 * CHOOSE(CONTROL!$C$26, $C$13, 100%, $E$13)</f>
        <v>14.786</v>
      </c>
      <c r="C884" s="66">
        <f>14.786 * CHOOSE(CONTROL!$C$26, $C$13, 100%, $E$13)</f>
        <v>14.786</v>
      </c>
      <c r="D884" s="66">
        <f>14.7899 * CHOOSE(CONTROL!$C$26, $C$13, 100%, $E$13)</f>
        <v>14.789899999999999</v>
      </c>
      <c r="E884" s="67">
        <f>16.9588 * CHOOSE(CONTROL!$C$26, $C$13, 100%, $E$13)</f>
        <v>16.9588</v>
      </c>
      <c r="F884" s="67">
        <f>16.9588 * CHOOSE(CONTROL!$C$26, $C$13, 100%, $E$13)</f>
        <v>16.9588</v>
      </c>
      <c r="G884" s="67">
        <f>16.9636 * CHOOSE(CONTROL!$C$26, $C$13, 100%, $E$13)</f>
        <v>16.9636</v>
      </c>
      <c r="H884" s="67">
        <f>31.3404* CHOOSE(CONTROL!$C$26, $C$13, 100%, $E$13)</f>
        <v>31.340399999999999</v>
      </c>
      <c r="I884" s="67">
        <f>31.3452 * CHOOSE(CONTROL!$C$26, $C$13, 100%, $E$13)</f>
        <v>31.345199999999998</v>
      </c>
      <c r="J884" s="67">
        <f>16.9588 * CHOOSE(CONTROL!$C$26, $C$13, 100%, $E$13)</f>
        <v>16.9588</v>
      </c>
      <c r="K884" s="67">
        <f>16.9636 * CHOOSE(CONTROL!$C$26, $C$13, 100%, $E$13)</f>
        <v>16.9636</v>
      </c>
    </row>
    <row r="885" spans="1:11" ht="15">
      <c r="A885" s="13">
        <v>68058</v>
      </c>
      <c r="B885" s="66">
        <f>14.786 * CHOOSE(CONTROL!$C$26, $C$13, 100%, $E$13)</f>
        <v>14.786</v>
      </c>
      <c r="C885" s="66">
        <f>14.786 * CHOOSE(CONTROL!$C$26, $C$13, 100%, $E$13)</f>
        <v>14.786</v>
      </c>
      <c r="D885" s="66">
        <f>14.7915 * CHOOSE(CONTROL!$C$26, $C$13, 100%, $E$13)</f>
        <v>14.791499999999999</v>
      </c>
      <c r="E885" s="67">
        <f>17.0538 * CHOOSE(CONTROL!$C$26, $C$13, 100%, $E$13)</f>
        <v>17.053799999999999</v>
      </c>
      <c r="F885" s="67">
        <f>17.0538 * CHOOSE(CONTROL!$C$26, $C$13, 100%, $E$13)</f>
        <v>17.053799999999999</v>
      </c>
      <c r="G885" s="67">
        <f>17.0606 * CHOOSE(CONTROL!$C$26, $C$13, 100%, $E$13)</f>
        <v>17.060600000000001</v>
      </c>
      <c r="H885" s="67">
        <f>31.4057* CHOOSE(CONTROL!$C$26, $C$13, 100%, $E$13)</f>
        <v>31.4057</v>
      </c>
      <c r="I885" s="67">
        <f>31.4125 * CHOOSE(CONTROL!$C$26, $C$13, 100%, $E$13)</f>
        <v>31.412500000000001</v>
      </c>
      <c r="J885" s="67">
        <f>17.0538 * CHOOSE(CONTROL!$C$26, $C$13, 100%, $E$13)</f>
        <v>17.053799999999999</v>
      </c>
      <c r="K885" s="67">
        <f>17.0606 * CHOOSE(CONTROL!$C$26, $C$13, 100%, $E$13)</f>
        <v>17.060600000000001</v>
      </c>
    </row>
    <row r="886" spans="1:11" ht="15">
      <c r="A886" s="13">
        <v>68089</v>
      </c>
      <c r="B886" s="66">
        <f>14.7921 * CHOOSE(CONTROL!$C$26, $C$13, 100%, $E$13)</f>
        <v>14.7921</v>
      </c>
      <c r="C886" s="66">
        <f>14.7921 * CHOOSE(CONTROL!$C$26, $C$13, 100%, $E$13)</f>
        <v>14.7921</v>
      </c>
      <c r="D886" s="66">
        <f>14.7976 * CHOOSE(CONTROL!$C$26, $C$13, 100%, $E$13)</f>
        <v>14.797599999999999</v>
      </c>
      <c r="E886" s="67">
        <f>16.963 * CHOOSE(CONTROL!$C$26, $C$13, 100%, $E$13)</f>
        <v>16.963000000000001</v>
      </c>
      <c r="F886" s="67">
        <f>16.963 * CHOOSE(CONTROL!$C$26, $C$13, 100%, $E$13)</f>
        <v>16.963000000000001</v>
      </c>
      <c r="G886" s="67">
        <f>16.9698 * CHOOSE(CONTROL!$C$26, $C$13, 100%, $E$13)</f>
        <v>16.969799999999999</v>
      </c>
      <c r="H886" s="67">
        <f>31.4712* CHOOSE(CONTROL!$C$26, $C$13, 100%, $E$13)</f>
        <v>31.4712</v>
      </c>
      <c r="I886" s="67">
        <f>31.4779 * CHOOSE(CONTROL!$C$26, $C$13, 100%, $E$13)</f>
        <v>31.477900000000002</v>
      </c>
      <c r="J886" s="67">
        <f>16.963 * CHOOSE(CONTROL!$C$26, $C$13, 100%, $E$13)</f>
        <v>16.963000000000001</v>
      </c>
      <c r="K886" s="67">
        <f>16.9698 * CHOOSE(CONTROL!$C$26, $C$13, 100%, $E$13)</f>
        <v>16.969799999999999</v>
      </c>
    </row>
    <row r="887" spans="1:11" ht="15">
      <c r="A887" s="13">
        <v>68119</v>
      </c>
      <c r="B887" s="66">
        <f>15.016 * CHOOSE(CONTROL!$C$26, $C$13, 100%, $E$13)</f>
        <v>15.016</v>
      </c>
      <c r="C887" s="66">
        <f>15.016 * CHOOSE(CONTROL!$C$26, $C$13, 100%, $E$13)</f>
        <v>15.016</v>
      </c>
      <c r="D887" s="66">
        <f>15.0215 * CHOOSE(CONTROL!$C$26, $C$13, 100%, $E$13)</f>
        <v>15.0215</v>
      </c>
      <c r="E887" s="67">
        <f>17.2322 * CHOOSE(CONTROL!$C$26, $C$13, 100%, $E$13)</f>
        <v>17.232199999999999</v>
      </c>
      <c r="F887" s="67">
        <f>17.2322 * CHOOSE(CONTROL!$C$26, $C$13, 100%, $E$13)</f>
        <v>17.232199999999999</v>
      </c>
      <c r="G887" s="67">
        <f>17.2389 * CHOOSE(CONTROL!$C$26, $C$13, 100%, $E$13)</f>
        <v>17.238900000000001</v>
      </c>
      <c r="H887" s="67">
        <f>31.5367* CHOOSE(CONTROL!$C$26, $C$13, 100%, $E$13)</f>
        <v>31.5367</v>
      </c>
      <c r="I887" s="67">
        <f>31.5435 * CHOOSE(CONTROL!$C$26, $C$13, 100%, $E$13)</f>
        <v>31.543500000000002</v>
      </c>
      <c r="J887" s="67">
        <f>17.2322 * CHOOSE(CONTROL!$C$26, $C$13, 100%, $E$13)</f>
        <v>17.232199999999999</v>
      </c>
      <c r="K887" s="67">
        <f>17.2389 * CHOOSE(CONTROL!$C$26, $C$13, 100%, $E$13)</f>
        <v>17.238900000000001</v>
      </c>
    </row>
    <row r="888" spans="1:11" ht="15">
      <c r="A888" s="13">
        <v>68150</v>
      </c>
      <c r="B888" s="66">
        <f>15.0226 * CHOOSE(CONTROL!$C$26, $C$13, 100%, $E$13)</f>
        <v>15.022600000000001</v>
      </c>
      <c r="C888" s="66">
        <f>15.0226 * CHOOSE(CONTROL!$C$26, $C$13, 100%, $E$13)</f>
        <v>15.022600000000001</v>
      </c>
      <c r="D888" s="66">
        <f>15.0282 * CHOOSE(CONTROL!$C$26, $C$13, 100%, $E$13)</f>
        <v>15.0282</v>
      </c>
      <c r="E888" s="67">
        <f>16.9517 * CHOOSE(CONTROL!$C$26, $C$13, 100%, $E$13)</f>
        <v>16.951699999999999</v>
      </c>
      <c r="F888" s="67">
        <f>16.9517 * CHOOSE(CONTROL!$C$26, $C$13, 100%, $E$13)</f>
        <v>16.951699999999999</v>
      </c>
      <c r="G888" s="67">
        <f>16.9584 * CHOOSE(CONTROL!$C$26, $C$13, 100%, $E$13)</f>
        <v>16.958400000000001</v>
      </c>
      <c r="H888" s="67">
        <f>31.6024* CHOOSE(CONTROL!$C$26, $C$13, 100%, $E$13)</f>
        <v>31.602399999999999</v>
      </c>
      <c r="I888" s="67">
        <f>31.6092 * CHOOSE(CONTROL!$C$26, $C$13, 100%, $E$13)</f>
        <v>31.609200000000001</v>
      </c>
      <c r="J888" s="67">
        <f>16.9517 * CHOOSE(CONTROL!$C$26, $C$13, 100%, $E$13)</f>
        <v>16.951699999999999</v>
      </c>
      <c r="K888" s="67">
        <f>16.9584 * CHOOSE(CONTROL!$C$26, $C$13, 100%, $E$13)</f>
        <v>16.958400000000001</v>
      </c>
    </row>
    <row r="889" spans="1:11" ht="15">
      <c r="A889" s="13">
        <v>68181</v>
      </c>
      <c r="B889" s="66">
        <f>15.0196 * CHOOSE(CONTROL!$C$26, $C$13, 100%, $E$13)</f>
        <v>15.019600000000001</v>
      </c>
      <c r="C889" s="66">
        <f>15.0196 * CHOOSE(CONTROL!$C$26, $C$13, 100%, $E$13)</f>
        <v>15.019600000000001</v>
      </c>
      <c r="D889" s="66">
        <f>15.0251 * CHOOSE(CONTROL!$C$26, $C$13, 100%, $E$13)</f>
        <v>15.0251</v>
      </c>
      <c r="E889" s="67">
        <f>16.9179 * CHOOSE(CONTROL!$C$26, $C$13, 100%, $E$13)</f>
        <v>16.917899999999999</v>
      </c>
      <c r="F889" s="67">
        <f>16.9179 * CHOOSE(CONTROL!$C$26, $C$13, 100%, $E$13)</f>
        <v>16.917899999999999</v>
      </c>
      <c r="G889" s="67">
        <f>16.9246 * CHOOSE(CONTROL!$C$26, $C$13, 100%, $E$13)</f>
        <v>16.924600000000002</v>
      </c>
      <c r="H889" s="67">
        <f>31.6683* CHOOSE(CONTROL!$C$26, $C$13, 100%, $E$13)</f>
        <v>31.668299999999999</v>
      </c>
      <c r="I889" s="67">
        <f>31.675 * CHOOSE(CONTROL!$C$26, $C$13, 100%, $E$13)</f>
        <v>31.675000000000001</v>
      </c>
      <c r="J889" s="67">
        <f>16.9179 * CHOOSE(CONTROL!$C$26, $C$13, 100%, $E$13)</f>
        <v>16.917899999999999</v>
      </c>
      <c r="K889" s="67">
        <f>16.9246 * CHOOSE(CONTROL!$C$26, $C$13, 100%, $E$13)</f>
        <v>16.924600000000002</v>
      </c>
    </row>
    <row r="890" spans="1:11" ht="15">
      <c r="A890" s="13">
        <v>68211</v>
      </c>
      <c r="B890" s="66">
        <f>15.0501 * CHOOSE(CONTROL!$C$26, $C$13, 100%, $E$13)</f>
        <v>15.0501</v>
      </c>
      <c r="C890" s="66">
        <f>15.0501 * CHOOSE(CONTROL!$C$26, $C$13, 100%, $E$13)</f>
        <v>15.0501</v>
      </c>
      <c r="D890" s="66">
        <f>15.054 * CHOOSE(CONTROL!$C$26, $C$13, 100%, $E$13)</f>
        <v>15.054</v>
      </c>
      <c r="E890" s="67">
        <f>17.0312 * CHOOSE(CONTROL!$C$26, $C$13, 100%, $E$13)</f>
        <v>17.031199999999998</v>
      </c>
      <c r="F890" s="67">
        <f>17.0312 * CHOOSE(CONTROL!$C$26, $C$13, 100%, $E$13)</f>
        <v>17.031199999999998</v>
      </c>
      <c r="G890" s="67">
        <f>17.036 * CHOOSE(CONTROL!$C$26, $C$13, 100%, $E$13)</f>
        <v>17.036000000000001</v>
      </c>
      <c r="H890" s="67">
        <f>31.7342* CHOOSE(CONTROL!$C$26, $C$13, 100%, $E$13)</f>
        <v>31.734200000000001</v>
      </c>
      <c r="I890" s="67">
        <f>31.739 * CHOOSE(CONTROL!$C$26, $C$13, 100%, $E$13)</f>
        <v>31.739000000000001</v>
      </c>
      <c r="J890" s="67">
        <f>17.0312 * CHOOSE(CONTROL!$C$26, $C$13, 100%, $E$13)</f>
        <v>17.031199999999998</v>
      </c>
      <c r="K890" s="67">
        <f>17.036 * CHOOSE(CONTROL!$C$26, $C$13, 100%, $E$13)</f>
        <v>17.036000000000001</v>
      </c>
    </row>
    <row r="891" spans="1:11" ht="15">
      <c r="A891" s="13">
        <v>68242</v>
      </c>
      <c r="B891" s="66">
        <f>15.0532 * CHOOSE(CONTROL!$C$26, $C$13, 100%, $E$13)</f>
        <v>15.0532</v>
      </c>
      <c r="C891" s="66">
        <f>15.0532 * CHOOSE(CONTROL!$C$26, $C$13, 100%, $E$13)</f>
        <v>15.0532</v>
      </c>
      <c r="D891" s="66">
        <f>15.057 * CHOOSE(CONTROL!$C$26, $C$13, 100%, $E$13)</f>
        <v>15.057</v>
      </c>
      <c r="E891" s="67">
        <f>17.0967 * CHOOSE(CONTROL!$C$26, $C$13, 100%, $E$13)</f>
        <v>17.096699999999998</v>
      </c>
      <c r="F891" s="67">
        <f>17.0967 * CHOOSE(CONTROL!$C$26, $C$13, 100%, $E$13)</f>
        <v>17.096699999999998</v>
      </c>
      <c r="G891" s="67">
        <f>17.1015 * CHOOSE(CONTROL!$C$26, $C$13, 100%, $E$13)</f>
        <v>17.101500000000001</v>
      </c>
      <c r="H891" s="67">
        <f>31.8004* CHOOSE(CONTROL!$C$26, $C$13, 100%, $E$13)</f>
        <v>31.8004</v>
      </c>
      <c r="I891" s="67">
        <f>31.8051 * CHOOSE(CONTROL!$C$26, $C$13, 100%, $E$13)</f>
        <v>31.805099999999999</v>
      </c>
      <c r="J891" s="67">
        <f>17.0967 * CHOOSE(CONTROL!$C$26, $C$13, 100%, $E$13)</f>
        <v>17.096699999999998</v>
      </c>
      <c r="K891" s="67">
        <f>17.1015 * CHOOSE(CONTROL!$C$26, $C$13, 100%, $E$13)</f>
        <v>17.101500000000001</v>
      </c>
    </row>
    <row r="892" spans="1:11" ht="15">
      <c r="A892" s="13">
        <v>68272</v>
      </c>
      <c r="B892" s="66">
        <f>15.0532 * CHOOSE(CONTROL!$C$26, $C$13, 100%, $E$13)</f>
        <v>15.0532</v>
      </c>
      <c r="C892" s="66">
        <f>15.0532 * CHOOSE(CONTROL!$C$26, $C$13, 100%, $E$13)</f>
        <v>15.0532</v>
      </c>
      <c r="D892" s="66">
        <f>15.057 * CHOOSE(CONTROL!$C$26, $C$13, 100%, $E$13)</f>
        <v>15.057</v>
      </c>
      <c r="E892" s="67">
        <f>16.9383 * CHOOSE(CONTROL!$C$26, $C$13, 100%, $E$13)</f>
        <v>16.938300000000002</v>
      </c>
      <c r="F892" s="67">
        <f>16.9383 * CHOOSE(CONTROL!$C$26, $C$13, 100%, $E$13)</f>
        <v>16.938300000000002</v>
      </c>
      <c r="G892" s="67">
        <f>16.943 * CHOOSE(CONTROL!$C$26, $C$13, 100%, $E$13)</f>
        <v>16.943000000000001</v>
      </c>
      <c r="H892" s="67">
        <f>31.8666* CHOOSE(CONTROL!$C$26, $C$13, 100%, $E$13)</f>
        <v>31.866599999999998</v>
      </c>
      <c r="I892" s="67">
        <f>31.8714 * CHOOSE(CONTROL!$C$26, $C$13, 100%, $E$13)</f>
        <v>31.871400000000001</v>
      </c>
      <c r="J892" s="67">
        <f>16.9383 * CHOOSE(CONTROL!$C$26, $C$13, 100%, $E$13)</f>
        <v>16.938300000000002</v>
      </c>
      <c r="K892" s="67">
        <f>16.943 * CHOOSE(CONTROL!$C$26, $C$13, 100%, $E$13)</f>
        <v>16.943000000000001</v>
      </c>
    </row>
    <row r="893" spans="1:11" ht="15">
      <c r="A893" s="13">
        <v>68303</v>
      </c>
      <c r="B893" s="66">
        <f>15.021 * CHOOSE(CONTROL!$C$26, $C$13, 100%, $E$13)</f>
        <v>15.021000000000001</v>
      </c>
      <c r="C893" s="66">
        <f>15.021 * CHOOSE(CONTROL!$C$26, $C$13, 100%, $E$13)</f>
        <v>15.021000000000001</v>
      </c>
      <c r="D893" s="66">
        <f>15.0249 * CHOOSE(CONTROL!$C$26, $C$13, 100%, $E$13)</f>
        <v>15.024900000000001</v>
      </c>
      <c r="E893" s="67">
        <f>17.0319 * CHOOSE(CONTROL!$C$26, $C$13, 100%, $E$13)</f>
        <v>17.0319</v>
      </c>
      <c r="F893" s="67">
        <f>17.0319 * CHOOSE(CONTROL!$C$26, $C$13, 100%, $E$13)</f>
        <v>17.0319</v>
      </c>
      <c r="G893" s="67">
        <f>17.0366 * CHOOSE(CONTROL!$C$26, $C$13, 100%, $E$13)</f>
        <v>17.0366</v>
      </c>
      <c r="H893" s="67">
        <f>31.6279* CHOOSE(CONTROL!$C$26, $C$13, 100%, $E$13)</f>
        <v>31.6279</v>
      </c>
      <c r="I893" s="67">
        <f>31.6327 * CHOOSE(CONTROL!$C$26, $C$13, 100%, $E$13)</f>
        <v>31.6327</v>
      </c>
      <c r="J893" s="67">
        <f>17.0319 * CHOOSE(CONTROL!$C$26, $C$13, 100%, $E$13)</f>
        <v>17.0319</v>
      </c>
      <c r="K893" s="67">
        <f>17.0366 * CHOOSE(CONTROL!$C$26, $C$13, 100%, $E$13)</f>
        <v>17.0366</v>
      </c>
    </row>
    <row r="894" spans="1:11" ht="15">
      <c r="A894" s="13">
        <v>68334</v>
      </c>
      <c r="B894" s="66">
        <f>15.018 * CHOOSE(CONTROL!$C$26, $C$13, 100%, $E$13)</f>
        <v>15.018000000000001</v>
      </c>
      <c r="C894" s="66">
        <f>15.018 * CHOOSE(CONTROL!$C$26, $C$13, 100%, $E$13)</f>
        <v>15.018000000000001</v>
      </c>
      <c r="D894" s="66">
        <f>15.0218 * CHOOSE(CONTROL!$C$26, $C$13, 100%, $E$13)</f>
        <v>15.021800000000001</v>
      </c>
      <c r="E894" s="67">
        <f>16.7254 * CHOOSE(CONTROL!$C$26, $C$13, 100%, $E$13)</f>
        <v>16.7254</v>
      </c>
      <c r="F894" s="67">
        <f>16.7254 * CHOOSE(CONTROL!$C$26, $C$13, 100%, $E$13)</f>
        <v>16.7254</v>
      </c>
      <c r="G894" s="67">
        <f>16.7302 * CHOOSE(CONTROL!$C$26, $C$13, 100%, $E$13)</f>
        <v>16.7302</v>
      </c>
      <c r="H894" s="67">
        <f>31.6938* CHOOSE(CONTROL!$C$26, $C$13, 100%, $E$13)</f>
        <v>31.6938</v>
      </c>
      <c r="I894" s="67">
        <f>31.6986 * CHOOSE(CONTROL!$C$26, $C$13, 100%, $E$13)</f>
        <v>31.698599999999999</v>
      </c>
      <c r="J894" s="67">
        <f>16.7254 * CHOOSE(CONTROL!$C$26, $C$13, 100%, $E$13)</f>
        <v>16.7254</v>
      </c>
      <c r="K894" s="67">
        <f>16.7302 * CHOOSE(CONTROL!$C$26, $C$13, 100%, $E$13)</f>
        <v>16.7302</v>
      </c>
    </row>
    <row r="895" spans="1:11" ht="15">
      <c r="A895" s="13">
        <v>68362</v>
      </c>
      <c r="B895" s="66">
        <f>15.0149 * CHOOSE(CONTROL!$C$26, $C$13, 100%, $E$13)</f>
        <v>15.014900000000001</v>
      </c>
      <c r="C895" s="66">
        <f>15.0149 * CHOOSE(CONTROL!$C$26, $C$13, 100%, $E$13)</f>
        <v>15.014900000000001</v>
      </c>
      <c r="D895" s="66">
        <f>15.0188 * CHOOSE(CONTROL!$C$26, $C$13, 100%, $E$13)</f>
        <v>15.018800000000001</v>
      </c>
      <c r="E895" s="67">
        <f>16.9632 * CHOOSE(CONTROL!$C$26, $C$13, 100%, $E$13)</f>
        <v>16.963200000000001</v>
      </c>
      <c r="F895" s="67">
        <f>16.9632 * CHOOSE(CONTROL!$C$26, $C$13, 100%, $E$13)</f>
        <v>16.963200000000001</v>
      </c>
      <c r="G895" s="67">
        <f>16.968 * CHOOSE(CONTROL!$C$26, $C$13, 100%, $E$13)</f>
        <v>16.968</v>
      </c>
      <c r="H895" s="67">
        <f>31.7598* CHOOSE(CONTROL!$C$26, $C$13, 100%, $E$13)</f>
        <v>31.759799999999998</v>
      </c>
      <c r="I895" s="67">
        <f>31.7646 * CHOOSE(CONTROL!$C$26, $C$13, 100%, $E$13)</f>
        <v>31.764600000000002</v>
      </c>
      <c r="J895" s="67">
        <f>16.9632 * CHOOSE(CONTROL!$C$26, $C$13, 100%, $E$13)</f>
        <v>16.963200000000001</v>
      </c>
      <c r="K895" s="67">
        <f>16.968 * CHOOSE(CONTROL!$C$26, $C$13, 100%, $E$13)</f>
        <v>16.968</v>
      </c>
    </row>
    <row r="896" spans="1:11" ht="15">
      <c r="A896" s="13">
        <v>68393</v>
      </c>
      <c r="B896" s="66">
        <f>15.0218 * CHOOSE(CONTROL!$C$26, $C$13, 100%, $E$13)</f>
        <v>15.021800000000001</v>
      </c>
      <c r="C896" s="66">
        <f>15.0218 * CHOOSE(CONTROL!$C$26, $C$13, 100%, $E$13)</f>
        <v>15.021800000000001</v>
      </c>
      <c r="D896" s="66">
        <f>15.0257 * CHOOSE(CONTROL!$C$26, $C$13, 100%, $E$13)</f>
        <v>15.025700000000001</v>
      </c>
      <c r="E896" s="67">
        <f>17.2166 * CHOOSE(CONTROL!$C$26, $C$13, 100%, $E$13)</f>
        <v>17.2166</v>
      </c>
      <c r="F896" s="67">
        <f>17.2166 * CHOOSE(CONTROL!$C$26, $C$13, 100%, $E$13)</f>
        <v>17.2166</v>
      </c>
      <c r="G896" s="67">
        <f>17.2214 * CHOOSE(CONTROL!$C$26, $C$13, 100%, $E$13)</f>
        <v>17.221399999999999</v>
      </c>
      <c r="H896" s="67">
        <f>31.826* CHOOSE(CONTROL!$C$26, $C$13, 100%, $E$13)</f>
        <v>31.826000000000001</v>
      </c>
      <c r="I896" s="67">
        <f>31.8308 * CHOOSE(CONTROL!$C$26, $C$13, 100%, $E$13)</f>
        <v>31.8308</v>
      </c>
      <c r="J896" s="67">
        <f>17.2166 * CHOOSE(CONTROL!$C$26, $C$13, 100%, $E$13)</f>
        <v>17.2166</v>
      </c>
      <c r="K896" s="67">
        <f>17.2214 * CHOOSE(CONTROL!$C$26, $C$13, 100%, $E$13)</f>
        <v>17.221399999999999</v>
      </c>
    </row>
    <row r="897" spans="1:11" ht="15">
      <c r="A897" s="13">
        <v>68423</v>
      </c>
      <c r="B897" s="66">
        <f>15.0218 * CHOOSE(CONTROL!$C$26, $C$13, 100%, $E$13)</f>
        <v>15.021800000000001</v>
      </c>
      <c r="C897" s="66">
        <f>15.0218 * CHOOSE(CONTROL!$C$26, $C$13, 100%, $E$13)</f>
        <v>15.021800000000001</v>
      </c>
      <c r="D897" s="66">
        <f>15.0273 * CHOOSE(CONTROL!$C$26, $C$13, 100%, $E$13)</f>
        <v>15.0273</v>
      </c>
      <c r="E897" s="67">
        <f>17.3133 * CHOOSE(CONTROL!$C$26, $C$13, 100%, $E$13)</f>
        <v>17.313300000000002</v>
      </c>
      <c r="F897" s="67">
        <f>17.3133 * CHOOSE(CONTROL!$C$26, $C$13, 100%, $E$13)</f>
        <v>17.313300000000002</v>
      </c>
      <c r="G897" s="67">
        <f>17.32 * CHOOSE(CONTROL!$C$26, $C$13, 100%, $E$13)</f>
        <v>17.32</v>
      </c>
      <c r="H897" s="67">
        <f>31.8923* CHOOSE(CONTROL!$C$26, $C$13, 100%, $E$13)</f>
        <v>31.892299999999999</v>
      </c>
      <c r="I897" s="67">
        <f>31.8991 * CHOOSE(CONTROL!$C$26, $C$13, 100%, $E$13)</f>
        <v>31.899100000000001</v>
      </c>
      <c r="J897" s="67">
        <f>17.3133 * CHOOSE(CONTROL!$C$26, $C$13, 100%, $E$13)</f>
        <v>17.313300000000002</v>
      </c>
      <c r="K897" s="67">
        <f>17.32 * CHOOSE(CONTROL!$C$26, $C$13, 100%, $E$13)</f>
        <v>17.32</v>
      </c>
    </row>
    <row r="898" spans="1:11" ht="15">
      <c r="A898" s="13">
        <v>68454</v>
      </c>
      <c r="B898" s="66">
        <f>15.0279 * CHOOSE(CONTROL!$C$26, $C$13, 100%, $E$13)</f>
        <v>15.027900000000001</v>
      </c>
      <c r="C898" s="66">
        <f>15.0279 * CHOOSE(CONTROL!$C$26, $C$13, 100%, $E$13)</f>
        <v>15.027900000000001</v>
      </c>
      <c r="D898" s="66">
        <f>15.0334 * CHOOSE(CONTROL!$C$26, $C$13, 100%, $E$13)</f>
        <v>15.0334</v>
      </c>
      <c r="E898" s="67">
        <f>17.2209 * CHOOSE(CONTROL!$C$26, $C$13, 100%, $E$13)</f>
        <v>17.2209</v>
      </c>
      <c r="F898" s="67">
        <f>17.2209 * CHOOSE(CONTROL!$C$26, $C$13, 100%, $E$13)</f>
        <v>17.2209</v>
      </c>
      <c r="G898" s="67">
        <f>17.2276 * CHOOSE(CONTROL!$C$26, $C$13, 100%, $E$13)</f>
        <v>17.227599999999999</v>
      </c>
      <c r="H898" s="67">
        <f>31.9588* CHOOSE(CONTROL!$C$26, $C$13, 100%, $E$13)</f>
        <v>31.9588</v>
      </c>
      <c r="I898" s="67">
        <f>31.9655 * CHOOSE(CONTROL!$C$26, $C$13, 100%, $E$13)</f>
        <v>31.965499999999999</v>
      </c>
      <c r="J898" s="67">
        <f>17.2209 * CHOOSE(CONTROL!$C$26, $C$13, 100%, $E$13)</f>
        <v>17.2209</v>
      </c>
      <c r="K898" s="67">
        <f>17.2276 * CHOOSE(CONTROL!$C$26, $C$13, 100%, $E$13)</f>
        <v>17.227599999999999</v>
      </c>
    </row>
    <row r="899" spans="1:11" ht="15">
      <c r="A899" s="13">
        <v>68484</v>
      </c>
      <c r="B899" s="66">
        <f>15.2551 * CHOOSE(CONTROL!$C$26, $C$13, 100%, $E$13)</f>
        <v>15.255100000000001</v>
      </c>
      <c r="C899" s="66">
        <f>15.2551 * CHOOSE(CONTROL!$C$26, $C$13, 100%, $E$13)</f>
        <v>15.255100000000001</v>
      </c>
      <c r="D899" s="66">
        <f>15.2606 * CHOOSE(CONTROL!$C$26, $C$13, 100%, $E$13)</f>
        <v>15.2606</v>
      </c>
      <c r="E899" s="67">
        <f>17.494 * CHOOSE(CONTROL!$C$26, $C$13, 100%, $E$13)</f>
        <v>17.494</v>
      </c>
      <c r="F899" s="67">
        <f>17.494 * CHOOSE(CONTROL!$C$26, $C$13, 100%, $E$13)</f>
        <v>17.494</v>
      </c>
      <c r="G899" s="67">
        <f>17.5007 * CHOOSE(CONTROL!$C$26, $C$13, 100%, $E$13)</f>
        <v>17.500699999999998</v>
      </c>
      <c r="H899" s="67">
        <f>32.0253* CHOOSE(CONTROL!$C$26, $C$13, 100%, $E$13)</f>
        <v>32.025300000000001</v>
      </c>
      <c r="I899" s="67">
        <f>32.0321 * CHOOSE(CONTROL!$C$26, $C$13, 100%, $E$13)</f>
        <v>32.0321</v>
      </c>
      <c r="J899" s="67">
        <f>17.494 * CHOOSE(CONTROL!$C$26, $C$13, 100%, $E$13)</f>
        <v>17.494</v>
      </c>
      <c r="K899" s="67">
        <f>17.5007 * CHOOSE(CONTROL!$C$26, $C$13, 100%, $E$13)</f>
        <v>17.500699999999998</v>
      </c>
    </row>
    <row r="900" spans="1:11" ht="15">
      <c r="A900" s="13">
        <v>68515</v>
      </c>
      <c r="B900" s="66">
        <f>15.2618 * CHOOSE(CONTROL!$C$26, $C$13, 100%, $E$13)</f>
        <v>15.261799999999999</v>
      </c>
      <c r="C900" s="66">
        <f>15.2618 * CHOOSE(CONTROL!$C$26, $C$13, 100%, $E$13)</f>
        <v>15.261799999999999</v>
      </c>
      <c r="D900" s="66">
        <f>15.2673 * CHOOSE(CONTROL!$C$26, $C$13, 100%, $E$13)</f>
        <v>15.267300000000001</v>
      </c>
      <c r="E900" s="67">
        <f>17.2088 * CHOOSE(CONTROL!$C$26, $C$13, 100%, $E$13)</f>
        <v>17.2088</v>
      </c>
      <c r="F900" s="67">
        <f>17.2088 * CHOOSE(CONTROL!$C$26, $C$13, 100%, $E$13)</f>
        <v>17.2088</v>
      </c>
      <c r="G900" s="67">
        <f>17.2155 * CHOOSE(CONTROL!$C$26, $C$13, 100%, $E$13)</f>
        <v>17.215499999999999</v>
      </c>
      <c r="H900" s="67">
        <f>32.0921* CHOOSE(CONTROL!$C$26, $C$13, 100%, $E$13)</f>
        <v>32.092100000000002</v>
      </c>
      <c r="I900" s="67">
        <f>32.0988 * CHOOSE(CONTROL!$C$26, $C$13, 100%, $E$13)</f>
        <v>32.098799999999997</v>
      </c>
      <c r="J900" s="67">
        <f>17.2088 * CHOOSE(CONTROL!$C$26, $C$13, 100%, $E$13)</f>
        <v>17.2088</v>
      </c>
      <c r="K900" s="67">
        <f>17.2155 * CHOOSE(CONTROL!$C$26, $C$13, 100%, $E$13)</f>
        <v>17.215499999999999</v>
      </c>
    </row>
    <row r="901" spans="1:11" ht="15">
      <c r="A901" s="13">
        <v>68546</v>
      </c>
      <c r="B901" s="66">
        <f>15.2588 * CHOOSE(CONTROL!$C$26, $C$13, 100%, $E$13)</f>
        <v>15.258800000000001</v>
      </c>
      <c r="C901" s="66">
        <f>15.2588 * CHOOSE(CONTROL!$C$26, $C$13, 100%, $E$13)</f>
        <v>15.258800000000001</v>
      </c>
      <c r="D901" s="66">
        <f>15.2643 * CHOOSE(CONTROL!$C$26, $C$13, 100%, $E$13)</f>
        <v>15.2643</v>
      </c>
      <c r="E901" s="67">
        <f>17.1744 * CHOOSE(CONTROL!$C$26, $C$13, 100%, $E$13)</f>
        <v>17.174399999999999</v>
      </c>
      <c r="F901" s="67">
        <f>17.1744 * CHOOSE(CONTROL!$C$26, $C$13, 100%, $E$13)</f>
        <v>17.174399999999999</v>
      </c>
      <c r="G901" s="67">
        <f>17.1812 * CHOOSE(CONTROL!$C$26, $C$13, 100%, $E$13)</f>
        <v>17.1812</v>
      </c>
      <c r="H901" s="67">
        <f>32.1589* CHOOSE(CONTROL!$C$26, $C$13, 100%, $E$13)</f>
        <v>32.158900000000003</v>
      </c>
      <c r="I901" s="67">
        <f>32.1657 * CHOOSE(CONTROL!$C$26, $C$13, 100%, $E$13)</f>
        <v>32.165700000000001</v>
      </c>
      <c r="J901" s="67">
        <f>17.1744 * CHOOSE(CONTROL!$C$26, $C$13, 100%, $E$13)</f>
        <v>17.174399999999999</v>
      </c>
      <c r="K901" s="67">
        <f>17.1812 * CHOOSE(CONTROL!$C$26, $C$13, 100%, $E$13)</f>
        <v>17.1812</v>
      </c>
    </row>
    <row r="902" spans="1:11" ht="15">
      <c r="A902" s="13">
        <v>68576</v>
      </c>
      <c r="B902" s="66">
        <f>15.2901 * CHOOSE(CONTROL!$C$26, $C$13, 100%, $E$13)</f>
        <v>15.290100000000001</v>
      </c>
      <c r="C902" s="66">
        <f>15.2901 * CHOOSE(CONTROL!$C$26, $C$13, 100%, $E$13)</f>
        <v>15.290100000000001</v>
      </c>
      <c r="D902" s="66">
        <f>15.2939 * CHOOSE(CONTROL!$C$26, $C$13, 100%, $E$13)</f>
        <v>15.293900000000001</v>
      </c>
      <c r="E902" s="67">
        <f>17.2899 * CHOOSE(CONTROL!$C$26, $C$13, 100%, $E$13)</f>
        <v>17.289899999999999</v>
      </c>
      <c r="F902" s="67">
        <f>17.2899 * CHOOSE(CONTROL!$C$26, $C$13, 100%, $E$13)</f>
        <v>17.289899999999999</v>
      </c>
      <c r="G902" s="67">
        <f>17.2946 * CHOOSE(CONTROL!$C$26, $C$13, 100%, $E$13)</f>
        <v>17.294599999999999</v>
      </c>
      <c r="H902" s="67">
        <f>32.2259* CHOOSE(CONTROL!$C$26, $C$13, 100%, $E$13)</f>
        <v>32.225900000000003</v>
      </c>
      <c r="I902" s="67">
        <f>32.2307 * CHOOSE(CONTROL!$C$26, $C$13, 100%, $E$13)</f>
        <v>32.230699999999999</v>
      </c>
      <c r="J902" s="67">
        <f>17.2899 * CHOOSE(CONTROL!$C$26, $C$13, 100%, $E$13)</f>
        <v>17.289899999999999</v>
      </c>
      <c r="K902" s="67">
        <f>17.2946 * CHOOSE(CONTROL!$C$26, $C$13, 100%, $E$13)</f>
        <v>17.294599999999999</v>
      </c>
    </row>
    <row r="903" spans="1:11" ht="15">
      <c r="A903" s="13">
        <v>68607</v>
      </c>
      <c r="B903" s="66">
        <f>15.2931 * CHOOSE(CONTROL!$C$26, $C$13, 100%, $E$13)</f>
        <v>15.293100000000001</v>
      </c>
      <c r="C903" s="66">
        <f>15.2931 * CHOOSE(CONTROL!$C$26, $C$13, 100%, $E$13)</f>
        <v>15.293100000000001</v>
      </c>
      <c r="D903" s="66">
        <f>15.297 * CHOOSE(CONTROL!$C$26, $C$13, 100%, $E$13)</f>
        <v>15.297000000000001</v>
      </c>
      <c r="E903" s="67">
        <f>17.3564 * CHOOSE(CONTROL!$C$26, $C$13, 100%, $E$13)</f>
        <v>17.356400000000001</v>
      </c>
      <c r="F903" s="67">
        <f>17.3564 * CHOOSE(CONTROL!$C$26, $C$13, 100%, $E$13)</f>
        <v>17.356400000000001</v>
      </c>
      <c r="G903" s="67">
        <f>17.3612 * CHOOSE(CONTROL!$C$26, $C$13, 100%, $E$13)</f>
        <v>17.3612</v>
      </c>
      <c r="H903" s="67">
        <f>32.2931* CHOOSE(CONTROL!$C$26, $C$13, 100%, $E$13)</f>
        <v>32.293100000000003</v>
      </c>
      <c r="I903" s="67">
        <f>32.2978 * CHOOSE(CONTROL!$C$26, $C$13, 100%, $E$13)</f>
        <v>32.297800000000002</v>
      </c>
      <c r="J903" s="67">
        <f>17.3564 * CHOOSE(CONTROL!$C$26, $C$13, 100%, $E$13)</f>
        <v>17.356400000000001</v>
      </c>
      <c r="K903" s="67">
        <f>17.3612 * CHOOSE(CONTROL!$C$26, $C$13, 100%, $E$13)</f>
        <v>17.3612</v>
      </c>
    </row>
    <row r="904" spans="1:11" ht="15">
      <c r="A904" s="13">
        <v>68637</v>
      </c>
      <c r="B904" s="66">
        <f>15.2931 * CHOOSE(CONTROL!$C$26, $C$13, 100%, $E$13)</f>
        <v>15.293100000000001</v>
      </c>
      <c r="C904" s="66">
        <f>15.2931 * CHOOSE(CONTROL!$C$26, $C$13, 100%, $E$13)</f>
        <v>15.293100000000001</v>
      </c>
      <c r="D904" s="66">
        <f>15.297 * CHOOSE(CONTROL!$C$26, $C$13, 100%, $E$13)</f>
        <v>15.297000000000001</v>
      </c>
      <c r="E904" s="67">
        <f>17.1953 * CHOOSE(CONTROL!$C$26, $C$13, 100%, $E$13)</f>
        <v>17.1953</v>
      </c>
      <c r="F904" s="67">
        <f>17.1953 * CHOOSE(CONTROL!$C$26, $C$13, 100%, $E$13)</f>
        <v>17.1953</v>
      </c>
      <c r="G904" s="67">
        <f>17.2001 * CHOOSE(CONTROL!$C$26, $C$13, 100%, $E$13)</f>
        <v>17.200099999999999</v>
      </c>
      <c r="H904" s="67">
        <f>32.3603* CHOOSE(CONTROL!$C$26, $C$13, 100%, $E$13)</f>
        <v>32.360300000000002</v>
      </c>
      <c r="I904" s="67">
        <f>32.3651 * CHOOSE(CONTROL!$C$26, $C$13, 100%, $E$13)</f>
        <v>32.365099999999998</v>
      </c>
      <c r="J904" s="67">
        <f>17.1953 * CHOOSE(CONTROL!$C$26, $C$13, 100%, $E$13)</f>
        <v>17.1953</v>
      </c>
      <c r="K904" s="67">
        <f>17.2001 * CHOOSE(CONTROL!$C$26, $C$13, 100%, $E$13)</f>
        <v>17.200099999999999</v>
      </c>
    </row>
    <row r="905" spans="1:11" ht="15">
      <c r="A905" s="13">
        <v>68668</v>
      </c>
      <c r="B905" s="66">
        <f>15.2566 * CHOOSE(CONTROL!$C$26, $C$13, 100%, $E$13)</f>
        <v>15.256600000000001</v>
      </c>
      <c r="C905" s="66">
        <f>15.2566 * CHOOSE(CONTROL!$C$26, $C$13, 100%, $E$13)</f>
        <v>15.256600000000001</v>
      </c>
      <c r="D905" s="66">
        <f>15.2605 * CHOOSE(CONTROL!$C$26, $C$13, 100%, $E$13)</f>
        <v>15.2605</v>
      </c>
      <c r="E905" s="67">
        <f>17.2866 * CHOOSE(CONTROL!$C$26, $C$13, 100%, $E$13)</f>
        <v>17.2866</v>
      </c>
      <c r="F905" s="67">
        <f>17.2866 * CHOOSE(CONTROL!$C$26, $C$13, 100%, $E$13)</f>
        <v>17.2866</v>
      </c>
      <c r="G905" s="67">
        <f>17.2914 * CHOOSE(CONTROL!$C$26, $C$13, 100%, $E$13)</f>
        <v>17.291399999999999</v>
      </c>
      <c r="H905" s="67">
        <f>32.1105* CHOOSE(CONTROL!$C$26, $C$13, 100%, $E$13)</f>
        <v>32.110500000000002</v>
      </c>
      <c r="I905" s="67">
        <f>32.1152 * CHOOSE(CONTROL!$C$26, $C$13, 100%, $E$13)</f>
        <v>32.115200000000002</v>
      </c>
      <c r="J905" s="67">
        <f>17.2866 * CHOOSE(CONTROL!$C$26, $C$13, 100%, $E$13)</f>
        <v>17.2866</v>
      </c>
      <c r="K905" s="67">
        <f>17.2914 * CHOOSE(CONTROL!$C$26, $C$13, 100%, $E$13)</f>
        <v>17.291399999999999</v>
      </c>
    </row>
    <row r="906" spans="1:11" ht="15">
      <c r="A906" s="13">
        <v>68699</v>
      </c>
      <c r="B906" s="66">
        <f>15.2536 * CHOOSE(CONTROL!$C$26, $C$13, 100%, $E$13)</f>
        <v>15.2536</v>
      </c>
      <c r="C906" s="66">
        <f>15.2536 * CHOOSE(CONTROL!$C$26, $C$13, 100%, $E$13)</f>
        <v>15.2536</v>
      </c>
      <c r="D906" s="66">
        <f>15.2574 * CHOOSE(CONTROL!$C$26, $C$13, 100%, $E$13)</f>
        <v>15.257400000000001</v>
      </c>
      <c r="E906" s="67">
        <f>16.9752 * CHOOSE(CONTROL!$C$26, $C$13, 100%, $E$13)</f>
        <v>16.975200000000001</v>
      </c>
      <c r="F906" s="67">
        <f>16.9752 * CHOOSE(CONTROL!$C$26, $C$13, 100%, $E$13)</f>
        <v>16.975200000000001</v>
      </c>
      <c r="G906" s="67">
        <f>16.9799 * CHOOSE(CONTROL!$C$26, $C$13, 100%, $E$13)</f>
        <v>16.979900000000001</v>
      </c>
      <c r="H906" s="67">
        <f>32.1774* CHOOSE(CONTROL!$C$26, $C$13, 100%, $E$13)</f>
        <v>32.177399999999999</v>
      </c>
      <c r="I906" s="67">
        <f>32.1821 * CHOOSE(CONTROL!$C$26, $C$13, 100%, $E$13)</f>
        <v>32.182099999999998</v>
      </c>
      <c r="J906" s="67">
        <f>16.9752 * CHOOSE(CONTROL!$C$26, $C$13, 100%, $E$13)</f>
        <v>16.975200000000001</v>
      </c>
      <c r="K906" s="67">
        <f>16.9799 * CHOOSE(CONTROL!$C$26, $C$13, 100%, $E$13)</f>
        <v>16.979900000000001</v>
      </c>
    </row>
    <row r="907" spans="1:11" ht="15">
      <c r="A907" s="13">
        <v>68728</v>
      </c>
      <c r="B907" s="66">
        <f>15.2505 * CHOOSE(CONTROL!$C$26, $C$13, 100%, $E$13)</f>
        <v>15.250500000000001</v>
      </c>
      <c r="C907" s="66">
        <f>15.2505 * CHOOSE(CONTROL!$C$26, $C$13, 100%, $E$13)</f>
        <v>15.250500000000001</v>
      </c>
      <c r="D907" s="66">
        <f>15.2544 * CHOOSE(CONTROL!$C$26, $C$13, 100%, $E$13)</f>
        <v>15.2544</v>
      </c>
      <c r="E907" s="67">
        <f>17.2169 * CHOOSE(CONTROL!$C$26, $C$13, 100%, $E$13)</f>
        <v>17.216899999999999</v>
      </c>
      <c r="F907" s="67">
        <f>17.2169 * CHOOSE(CONTROL!$C$26, $C$13, 100%, $E$13)</f>
        <v>17.216899999999999</v>
      </c>
      <c r="G907" s="67">
        <f>17.2217 * CHOOSE(CONTROL!$C$26, $C$13, 100%, $E$13)</f>
        <v>17.221699999999998</v>
      </c>
      <c r="H907" s="67">
        <f>32.2444* CHOOSE(CONTROL!$C$26, $C$13, 100%, $E$13)</f>
        <v>32.244399999999999</v>
      </c>
      <c r="I907" s="67">
        <f>32.2492 * CHOOSE(CONTROL!$C$26, $C$13, 100%, $E$13)</f>
        <v>32.249200000000002</v>
      </c>
      <c r="J907" s="67">
        <f>17.2169 * CHOOSE(CONTROL!$C$26, $C$13, 100%, $E$13)</f>
        <v>17.216899999999999</v>
      </c>
      <c r="K907" s="67">
        <f>17.2217 * CHOOSE(CONTROL!$C$26, $C$13, 100%, $E$13)</f>
        <v>17.221699999999998</v>
      </c>
    </row>
    <row r="908" spans="1:11" ht="15">
      <c r="A908" s="13">
        <v>68759</v>
      </c>
      <c r="B908" s="66">
        <f>15.2576 * CHOOSE(CONTROL!$C$26, $C$13, 100%, $E$13)</f>
        <v>15.2576</v>
      </c>
      <c r="C908" s="66">
        <f>15.2576 * CHOOSE(CONTROL!$C$26, $C$13, 100%, $E$13)</f>
        <v>15.2576</v>
      </c>
      <c r="D908" s="66">
        <f>15.2614 * CHOOSE(CONTROL!$C$26, $C$13, 100%, $E$13)</f>
        <v>15.2614</v>
      </c>
      <c r="E908" s="67">
        <f>17.4745 * CHOOSE(CONTROL!$C$26, $C$13, 100%, $E$13)</f>
        <v>17.474499999999999</v>
      </c>
      <c r="F908" s="67">
        <f>17.4745 * CHOOSE(CONTROL!$C$26, $C$13, 100%, $E$13)</f>
        <v>17.474499999999999</v>
      </c>
      <c r="G908" s="67">
        <f>17.4793 * CHOOSE(CONTROL!$C$26, $C$13, 100%, $E$13)</f>
        <v>17.479299999999999</v>
      </c>
      <c r="H908" s="67">
        <f>32.3116* CHOOSE(CONTROL!$C$26, $C$13, 100%, $E$13)</f>
        <v>32.311599999999999</v>
      </c>
      <c r="I908" s="67">
        <f>32.3164 * CHOOSE(CONTROL!$C$26, $C$13, 100%, $E$13)</f>
        <v>32.316400000000002</v>
      </c>
      <c r="J908" s="67">
        <f>17.4745 * CHOOSE(CONTROL!$C$26, $C$13, 100%, $E$13)</f>
        <v>17.474499999999999</v>
      </c>
      <c r="K908" s="67">
        <f>17.4793 * CHOOSE(CONTROL!$C$26, $C$13, 100%, $E$13)</f>
        <v>17.479299999999999</v>
      </c>
    </row>
    <row r="909" spans="1:11" ht="15">
      <c r="A909" s="13">
        <v>68789</v>
      </c>
      <c r="B909" s="66">
        <f>15.2576 * CHOOSE(CONTROL!$C$26, $C$13, 100%, $E$13)</f>
        <v>15.2576</v>
      </c>
      <c r="C909" s="66">
        <f>15.2576 * CHOOSE(CONTROL!$C$26, $C$13, 100%, $E$13)</f>
        <v>15.2576</v>
      </c>
      <c r="D909" s="66">
        <f>15.2631 * CHOOSE(CONTROL!$C$26, $C$13, 100%, $E$13)</f>
        <v>15.2631</v>
      </c>
      <c r="E909" s="67">
        <f>17.5727 * CHOOSE(CONTROL!$C$26, $C$13, 100%, $E$13)</f>
        <v>17.572700000000001</v>
      </c>
      <c r="F909" s="67">
        <f>17.5727 * CHOOSE(CONTROL!$C$26, $C$13, 100%, $E$13)</f>
        <v>17.572700000000001</v>
      </c>
      <c r="G909" s="67">
        <f>17.5794 * CHOOSE(CONTROL!$C$26, $C$13, 100%, $E$13)</f>
        <v>17.5794</v>
      </c>
      <c r="H909" s="67">
        <f>32.3789* CHOOSE(CONTROL!$C$26, $C$13, 100%, $E$13)</f>
        <v>32.378900000000002</v>
      </c>
      <c r="I909" s="67">
        <f>32.3856 * CHOOSE(CONTROL!$C$26, $C$13, 100%, $E$13)</f>
        <v>32.385599999999997</v>
      </c>
      <c r="J909" s="67">
        <f>17.5727 * CHOOSE(CONTROL!$C$26, $C$13, 100%, $E$13)</f>
        <v>17.572700000000001</v>
      </c>
      <c r="K909" s="67">
        <f>17.5794 * CHOOSE(CONTROL!$C$26, $C$13, 100%, $E$13)</f>
        <v>17.5794</v>
      </c>
    </row>
    <row r="910" spans="1:11" ht="15">
      <c r="A910" s="13">
        <v>68820</v>
      </c>
      <c r="B910" s="66">
        <f>15.2637 * CHOOSE(CONTROL!$C$26, $C$13, 100%, $E$13)</f>
        <v>15.2637</v>
      </c>
      <c r="C910" s="66">
        <f>15.2637 * CHOOSE(CONTROL!$C$26, $C$13, 100%, $E$13)</f>
        <v>15.2637</v>
      </c>
      <c r="D910" s="66">
        <f>15.2692 * CHOOSE(CONTROL!$C$26, $C$13, 100%, $E$13)</f>
        <v>15.2692</v>
      </c>
      <c r="E910" s="67">
        <f>17.4787 * CHOOSE(CONTROL!$C$26, $C$13, 100%, $E$13)</f>
        <v>17.4787</v>
      </c>
      <c r="F910" s="67">
        <f>17.4787 * CHOOSE(CONTROL!$C$26, $C$13, 100%, $E$13)</f>
        <v>17.4787</v>
      </c>
      <c r="G910" s="67">
        <f>17.4855 * CHOOSE(CONTROL!$C$26, $C$13, 100%, $E$13)</f>
        <v>17.485499999999998</v>
      </c>
      <c r="H910" s="67">
        <f>32.4464* CHOOSE(CONTROL!$C$26, $C$13, 100%, $E$13)</f>
        <v>32.446399999999997</v>
      </c>
      <c r="I910" s="67">
        <f>32.4531 * CHOOSE(CONTROL!$C$26, $C$13, 100%, $E$13)</f>
        <v>32.453099999999999</v>
      </c>
      <c r="J910" s="67">
        <f>17.4787 * CHOOSE(CONTROL!$C$26, $C$13, 100%, $E$13)</f>
        <v>17.4787</v>
      </c>
      <c r="K910" s="67">
        <f>17.4855 * CHOOSE(CONTROL!$C$26, $C$13, 100%, $E$13)</f>
        <v>17.485499999999998</v>
      </c>
    </row>
    <row r="911" spans="1:11" ht="15">
      <c r="A911" s="13">
        <v>68850</v>
      </c>
      <c r="B911" s="66">
        <f>15.4943 * CHOOSE(CONTROL!$C$26, $C$13, 100%, $E$13)</f>
        <v>15.494300000000001</v>
      </c>
      <c r="C911" s="66">
        <f>15.4943 * CHOOSE(CONTROL!$C$26, $C$13, 100%, $E$13)</f>
        <v>15.494300000000001</v>
      </c>
      <c r="D911" s="66">
        <f>15.4998 * CHOOSE(CONTROL!$C$26, $C$13, 100%, $E$13)</f>
        <v>15.4998</v>
      </c>
      <c r="E911" s="67">
        <f>17.7558 * CHOOSE(CONTROL!$C$26, $C$13, 100%, $E$13)</f>
        <v>17.755800000000001</v>
      </c>
      <c r="F911" s="67">
        <f>17.7558 * CHOOSE(CONTROL!$C$26, $C$13, 100%, $E$13)</f>
        <v>17.755800000000001</v>
      </c>
      <c r="G911" s="67">
        <f>17.7625 * CHOOSE(CONTROL!$C$26, $C$13, 100%, $E$13)</f>
        <v>17.762499999999999</v>
      </c>
      <c r="H911" s="67">
        <f>32.514* CHOOSE(CONTROL!$C$26, $C$13, 100%, $E$13)</f>
        <v>32.514000000000003</v>
      </c>
      <c r="I911" s="67">
        <f>32.5207 * CHOOSE(CONTROL!$C$26, $C$13, 100%, $E$13)</f>
        <v>32.520699999999998</v>
      </c>
      <c r="J911" s="67">
        <f>17.7558 * CHOOSE(CONTROL!$C$26, $C$13, 100%, $E$13)</f>
        <v>17.755800000000001</v>
      </c>
      <c r="K911" s="67">
        <f>17.7625 * CHOOSE(CONTROL!$C$26, $C$13, 100%, $E$13)</f>
        <v>17.762499999999999</v>
      </c>
    </row>
    <row r="912" spans="1:11" ht="15">
      <c r="A912" s="13">
        <v>68881</v>
      </c>
      <c r="B912" s="66">
        <f>15.501 * CHOOSE(CONTROL!$C$26, $C$13, 100%, $E$13)</f>
        <v>15.500999999999999</v>
      </c>
      <c r="C912" s="66">
        <f>15.501 * CHOOSE(CONTROL!$C$26, $C$13, 100%, $E$13)</f>
        <v>15.500999999999999</v>
      </c>
      <c r="D912" s="66">
        <f>15.5065 * CHOOSE(CONTROL!$C$26, $C$13, 100%, $E$13)</f>
        <v>15.506500000000001</v>
      </c>
      <c r="E912" s="67">
        <f>17.4658 * CHOOSE(CONTROL!$C$26, $C$13, 100%, $E$13)</f>
        <v>17.465800000000002</v>
      </c>
      <c r="F912" s="67">
        <f>17.4658 * CHOOSE(CONTROL!$C$26, $C$13, 100%, $E$13)</f>
        <v>17.465800000000002</v>
      </c>
      <c r="G912" s="67">
        <f>17.4726 * CHOOSE(CONTROL!$C$26, $C$13, 100%, $E$13)</f>
        <v>17.4726</v>
      </c>
      <c r="H912" s="67">
        <f>32.5817* CHOOSE(CONTROL!$C$26, $C$13, 100%, $E$13)</f>
        <v>32.581699999999998</v>
      </c>
      <c r="I912" s="67">
        <f>32.5884 * CHOOSE(CONTROL!$C$26, $C$13, 100%, $E$13)</f>
        <v>32.5884</v>
      </c>
      <c r="J912" s="67">
        <f>17.4658 * CHOOSE(CONTROL!$C$26, $C$13, 100%, $E$13)</f>
        <v>17.465800000000002</v>
      </c>
      <c r="K912" s="67">
        <f>17.4726 * CHOOSE(CONTROL!$C$26, $C$13, 100%, $E$13)</f>
        <v>17.4726</v>
      </c>
    </row>
    <row r="913" spans="1:11" ht="15">
      <c r="A913" s="13">
        <v>68912</v>
      </c>
      <c r="B913" s="66">
        <f>15.498 * CHOOSE(CONTROL!$C$26, $C$13, 100%, $E$13)</f>
        <v>15.497999999999999</v>
      </c>
      <c r="C913" s="66">
        <f>15.498 * CHOOSE(CONTROL!$C$26, $C$13, 100%, $E$13)</f>
        <v>15.497999999999999</v>
      </c>
      <c r="D913" s="66">
        <f>15.5035 * CHOOSE(CONTROL!$C$26, $C$13, 100%, $E$13)</f>
        <v>15.503500000000001</v>
      </c>
      <c r="E913" s="67">
        <f>17.431 * CHOOSE(CONTROL!$C$26, $C$13, 100%, $E$13)</f>
        <v>17.431000000000001</v>
      </c>
      <c r="F913" s="67">
        <f>17.431 * CHOOSE(CONTROL!$C$26, $C$13, 100%, $E$13)</f>
        <v>17.431000000000001</v>
      </c>
      <c r="G913" s="67">
        <f>17.4377 * CHOOSE(CONTROL!$C$26, $C$13, 100%, $E$13)</f>
        <v>17.4377</v>
      </c>
      <c r="H913" s="67">
        <f>32.6496* CHOOSE(CONTROL!$C$26, $C$13, 100%, $E$13)</f>
        <v>32.6496</v>
      </c>
      <c r="I913" s="67">
        <f>32.6563 * CHOOSE(CONTROL!$C$26, $C$13, 100%, $E$13)</f>
        <v>32.656300000000002</v>
      </c>
      <c r="J913" s="67">
        <f>17.431 * CHOOSE(CONTROL!$C$26, $C$13, 100%, $E$13)</f>
        <v>17.431000000000001</v>
      </c>
      <c r="K913" s="67">
        <f>17.4377 * CHOOSE(CONTROL!$C$26, $C$13, 100%, $E$13)</f>
        <v>17.4377</v>
      </c>
    </row>
    <row r="914" spans="1:11" ht="15">
      <c r="A914" s="13">
        <v>68942</v>
      </c>
      <c r="B914" s="66">
        <f>15.53 * CHOOSE(CONTROL!$C$26, $C$13, 100%, $E$13)</f>
        <v>15.53</v>
      </c>
      <c r="C914" s="66">
        <f>15.53 * CHOOSE(CONTROL!$C$26, $C$13, 100%, $E$13)</f>
        <v>15.53</v>
      </c>
      <c r="D914" s="66">
        <f>15.5339 * CHOOSE(CONTROL!$C$26, $C$13, 100%, $E$13)</f>
        <v>15.533899999999999</v>
      </c>
      <c r="E914" s="67">
        <f>17.5485 * CHOOSE(CONTROL!$C$26, $C$13, 100%, $E$13)</f>
        <v>17.548500000000001</v>
      </c>
      <c r="F914" s="67">
        <f>17.5485 * CHOOSE(CONTROL!$C$26, $C$13, 100%, $E$13)</f>
        <v>17.548500000000001</v>
      </c>
      <c r="G914" s="67">
        <f>17.5533 * CHOOSE(CONTROL!$C$26, $C$13, 100%, $E$13)</f>
        <v>17.5533</v>
      </c>
      <c r="H914" s="67">
        <f>32.7176* CHOOSE(CONTROL!$C$26, $C$13, 100%, $E$13)</f>
        <v>32.717599999999997</v>
      </c>
      <c r="I914" s="67">
        <f>32.7224 * CHOOSE(CONTROL!$C$26, $C$13, 100%, $E$13)</f>
        <v>32.7224</v>
      </c>
      <c r="J914" s="67">
        <f>17.5485 * CHOOSE(CONTROL!$C$26, $C$13, 100%, $E$13)</f>
        <v>17.548500000000001</v>
      </c>
      <c r="K914" s="67">
        <f>17.5533 * CHOOSE(CONTROL!$C$26, $C$13, 100%, $E$13)</f>
        <v>17.5533</v>
      </c>
    </row>
    <row r="915" spans="1:11" ht="15">
      <c r="A915" s="13">
        <v>68973</v>
      </c>
      <c r="B915" s="66">
        <f>15.533 * CHOOSE(CONTROL!$C$26, $C$13, 100%, $E$13)</f>
        <v>15.532999999999999</v>
      </c>
      <c r="C915" s="66">
        <f>15.533 * CHOOSE(CONTROL!$C$26, $C$13, 100%, $E$13)</f>
        <v>15.532999999999999</v>
      </c>
      <c r="D915" s="66">
        <f>15.5369 * CHOOSE(CONTROL!$C$26, $C$13, 100%, $E$13)</f>
        <v>15.536899999999999</v>
      </c>
      <c r="E915" s="67">
        <f>17.6161 * CHOOSE(CONTROL!$C$26, $C$13, 100%, $E$13)</f>
        <v>17.616099999999999</v>
      </c>
      <c r="F915" s="67">
        <f>17.6161 * CHOOSE(CONTROL!$C$26, $C$13, 100%, $E$13)</f>
        <v>17.616099999999999</v>
      </c>
      <c r="G915" s="67">
        <f>17.6208 * CHOOSE(CONTROL!$C$26, $C$13, 100%, $E$13)</f>
        <v>17.620799999999999</v>
      </c>
      <c r="H915" s="67">
        <f>32.7857* CHOOSE(CONTROL!$C$26, $C$13, 100%, $E$13)</f>
        <v>32.785699999999999</v>
      </c>
      <c r="I915" s="67">
        <f>32.7905 * CHOOSE(CONTROL!$C$26, $C$13, 100%, $E$13)</f>
        <v>32.790500000000002</v>
      </c>
      <c r="J915" s="67">
        <f>17.6161 * CHOOSE(CONTROL!$C$26, $C$13, 100%, $E$13)</f>
        <v>17.616099999999999</v>
      </c>
      <c r="K915" s="67">
        <f>17.6208 * CHOOSE(CONTROL!$C$26, $C$13, 100%, $E$13)</f>
        <v>17.620799999999999</v>
      </c>
    </row>
    <row r="916" spans="1:11" ht="15">
      <c r="A916" s="13">
        <v>69003</v>
      </c>
      <c r="B916" s="66">
        <f>15.533 * CHOOSE(CONTROL!$C$26, $C$13, 100%, $E$13)</f>
        <v>15.532999999999999</v>
      </c>
      <c r="C916" s="66">
        <f>15.533 * CHOOSE(CONTROL!$C$26, $C$13, 100%, $E$13)</f>
        <v>15.532999999999999</v>
      </c>
      <c r="D916" s="66">
        <f>15.5369 * CHOOSE(CONTROL!$C$26, $C$13, 100%, $E$13)</f>
        <v>15.536899999999999</v>
      </c>
      <c r="E916" s="67">
        <f>17.4524 * CHOOSE(CONTROL!$C$26, $C$13, 100%, $E$13)</f>
        <v>17.452400000000001</v>
      </c>
      <c r="F916" s="67">
        <f>17.4524 * CHOOSE(CONTROL!$C$26, $C$13, 100%, $E$13)</f>
        <v>17.452400000000001</v>
      </c>
      <c r="G916" s="67">
        <f>17.4572 * CHOOSE(CONTROL!$C$26, $C$13, 100%, $E$13)</f>
        <v>17.4572</v>
      </c>
      <c r="H916" s="67">
        <f>32.8541* CHOOSE(CONTROL!$C$26, $C$13, 100%, $E$13)</f>
        <v>32.854100000000003</v>
      </c>
      <c r="I916" s="67">
        <f>32.8588 * CHOOSE(CONTROL!$C$26, $C$13, 100%, $E$13)</f>
        <v>32.858800000000002</v>
      </c>
      <c r="J916" s="67">
        <f>17.4524 * CHOOSE(CONTROL!$C$26, $C$13, 100%, $E$13)</f>
        <v>17.452400000000001</v>
      </c>
      <c r="K916" s="67">
        <f>17.4572 * CHOOSE(CONTROL!$C$26, $C$13, 100%, $E$13)</f>
        <v>17.4572</v>
      </c>
    </row>
    <row r="917" spans="1:11" ht="15">
      <c r="A917" s="13">
        <v>69034</v>
      </c>
      <c r="B917" s="66">
        <f>15.4922 * CHOOSE(CONTROL!$C$26, $C$13, 100%, $E$13)</f>
        <v>15.4922</v>
      </c>
      <c r="C917" s="66">
        <f>15.4922 * CHOOSE(CONTROL!$C$26, $C$13, 100%, $E$13)</f>
        <v>15.4922</v>
      </c>
      <c r="D917" s="66">
        <f>15.496 * CHOOSE(CONTROL!$C$26, $C$13, 100%, $E$13)</f>
        <v>15.496</v>
      </c>
      <c r="E917" s="67">
        <f>17.5413 * CHOOSE(CONTROL!$C$26, $C$13, 100%, $E$13)</f>
        <v>17.5413</v>
      </c>
      <c r="F917" s="67">
        <f>17.5413 * CHOOSE(CONTROL!$C$26, $C$13, 100%, $E$13)</f>
        <v>17.5413</v>
      </c>
      <c r="G917" s="67">
        <f>17.5461 * CHOOSE(CONTROL!$C$26, $C$13, 100%, $E$13)</f>
        <v>17.546099999999999</v>
      </c>
      <c r="H917" s="67">
        <f>32.593* CHOOSE(CONTROL!$C$26, $C$13, 100%, $E$13)</f>
        <v>32.593000000000004</v>
      </c>
      <c r="I917" s="67">
        <f>32.5978 * CHOOSE(CONTROL!$C$26, $C$13, 100%, $E$13)</f>
        <v>32.597799999999999</v>
      </c>
      <c r="J917" s="67">
        <f>17.5413 * CHOOSE(CONTROL!$C$26, $C$13, 100%, $E$13)</f>
        <v>17.5413</v>
      </c>
      <c r="K917" s="67">
        <f>17.5461 * CHOOSE(CONTROL!$C$26, $C$13, 100%, $E$13)</f>
        <v>17.546099999999999</v>
      </c>
    </row>
    <row r="918" spans="1:11" ht="15">
      <c r="A918" s="13">
        <v>69065</v>
      </c>
      <c r="B918" s="66">
        <f>15.4891 * CHOOSE(CONTROL!$C$26, $C$13, 100%, $E$13)</f>
        <v>15.489100000000001</v>
      </c>
      <c r="C918" s="66">
        <f>15.4891 * CHOOSE(CONTROL!$C$26, $C$13, 100%, $E$13)</f>
        <v>15.489100000000001</v>
      </c>
      <c r="D918" s="66">
        <f>15.493 * CHOOSE(CONTROL!$C$26, $C$13, 100%, $E$13)</f>
        <v>15.493</v>
      </c>
      <c r="E918" s="67">
        <f>17.225 * CHOOSE(CONTROL!$C$26, $C$13, 100%, $E$13)</f>
        <v>17.225000000000001</v>
      </c>
      <c r="F918" s="67">
        <f>17.225 * CHOOSE(CONTROL!$C$26, $C$13, 100%, $E$13)</f>
        <v>17.225000000000001</v>
      </c>
      <c r="G918" s="67">
        <f>17.2297 * CHOOSE(CONTROL!$C$26, $C$13, 100%, $E$13)</f>
        <v>17.229700000000001</v>
      </c>
      <c r="H918" s="67">
        <f>32.6609* CHOOSE(CONTROL!$C$26, $C$13, 100%, $E$13)</f>
        <v>32.660899999999998</v>
      </c>
      <c r="I918" s="67">
        <f>32.6657 * CHOOSE(CONTROL!$C$26, $C$13, 100%, $E$13)</f>
        <v>32.665700000000001</v>
      </c>
      <c r="J918" s="67">
        <f>17.225 * CHOOSE(CONTROL!$C$26, $C$13, 100%, $E$13)</f>
        <v>17.225000000000001</v>
      </c>
      <c r="K918" s="67">
        <f>17.2297 * CHOOSE(CONTROL!$C$26, $C$13, 100%, $E$13)</f>
        <v>17.229700000000001</v>
      </c>
    </row>
    <row r="919" spans="1:11" ht="15">
      <c r="A919" s="13">
        <v>69093</v>
      </c>
      <c r="B919" s="66">
        <f>15.4861 * CHOOSE(CONTROL!$C$26, $C$13, 100%, $E$13)</f>
        <v>15.4861</v>
      </c>
      <c r="C919" s="66">
        <f>15.4861 * CHOOSE(CONTROL!$C$26, $C$13, 100%, $E$13)</f>
        <v>15.4861</v>
      </c>
      <c r="D919" s="66">
        <f>15.4899 * CHOOSE(CONTROL!$C$26, $C$13, 100%, $E$13)</f>
        <v>15.4899</v>
      </c>
      <c r="E919" s="67">
        <f>17.4706 * CHOOSE(CONTROL!$C$26, $C$13, 100%, $E$13)</f>
        <v>17.470600000000001</v>
      </c>
      <c r="F919" s="67">
        <f>17.4706 * CHOOSE(CONTROL!$C$26, $C$13, 100%, $E$13)</f>
        <v>17.470600000000001</v>
      </c>
      <c r="G919" s="67">
        <f>17.4753 * CHOOSE(CONTROL!$C$26, $C$13, 100%, $E$13)</f>
        <v>17.475300000000001</v>
      </c>
      <c r="H919" s="67">
        <f>32.729* CHOOSE(CONTROL!$C$26, $C$13, 100%, $E$13)</f>
        <v>32.728999999999999</v>
      </c>
      <c r="I919" s="67">
        <f>32.7337 * CHOOSE(CONTROL!$C$26, $C$13, 100%, $E$13)</f>
        <v>32.733699999999999</v>
      </c>
      <c r="J919" s="67">
        <f>17.4706 * CHOOSE(CONTROL!$C$26, $C$13, 100%, $E$13)</f>
        <v>17.470600000000001</v>
      </c>
      <c r="K919" s="67">
        <f>17.4753 * CHOOSE(CONTROL!$C$26, $C$13, 100%, $E$13)</f>
        <v>17.475300000000001</v>
      </c>
    </row>
    <row r="920" spans="1:11" ht="15">
      <c r="A920" s="13">
        <v>69124</v>
      </c>
      <c r="B920" s="66">
        <f>15.4933 * CHOOSE(CONTROL!$C$26, $C$13, 100%, $E$13)</f>
        <v>15.4933</v>
      </c>
      <c r="C920" s="66">
        <f>15.4933 * CHOOSE(CONTROL!$C$26, $C$13, 100%, $E$13)</f>
        <v>15.4933</v>
      </c>
      <c r="D920" s="66">
        <f>15.4972 * CHOOSE(CONTROL!$C$26, $C$13, 100%, $E$13)</f>
        <v>15.497199999999999</v>
      </c>
      <c r="E920" s="67">
        <f>17.7324 * CHOOSE(CONTROL!$C$26, $C$13, 100%, $E$13)</f>
        <v>17.732399999999998</v>
      </c>
      <c r="F920" s="67">
        <f>17.7324 * CHOOSE(CONTROL!$C$26, $C$13, 100%, $E$13)</f>
        <v>17.732399999999998</v>
      </c>
      <c r="G920" s="67">
        <f>17.7371 * CHOOSE(CONTROL!$C$26, $C$13, 100%, $E$13)</f>
        <v>17.737100000000002</v>
      </c>
      <c r="H920" s="67">
        <f>32.7972* CHOOSE(CONTROL!$C$26, $C$13, 100%, $E$13)</f>
        <v>32.797199999999997</v>
      </c>
      <c r="I920" s="67">
        <f>32.8019 * CHOOSE(CONTROL!$C$26, $C$13, 100%, $E$13)</f>
        <v>32.801900000000003</v>
      </c>
      <c r="J920" s="67">
        <f>17.7324 * CHOOSE(CONTROL!$C$26, $C$13, 100%, $E$13)</f>
        <v>17.732399999999998</v>
      </c>
      <c r="K920" s="67">
        <f>17.7371 * CHOOSE(CONTROL!$C$26, $C$13, 100%, $E$13)</f>
        <v>17.737100000000002</v>
      </c>
    </row>
    <row r="921" spans="1:11" ht="15">
      <c r="A921" s="13">
        <v>69154</v>
      </c>
      <c r="B921" s="66">
        <f>15.4933 * CHOOSE(CONTROL!$C$26, $C$13, 100%, $E$13)</f>
        <v>15.4933</v>
      </c>
      <c r="C921" s="66">
        <f>15.4933 * CHOOSE(CONTROL!$C$26, $C$13, 100%, $E$13)</f>
        <v>15.4933</v>
      </c>
      <c r="D921" s="66">
        <f>15.4988 * CHOOSE(CONTROL!$C$26, $C$13, 100%, $E$13)</f>
        <v>15.498799999999999</v>
      </c>
      <c r="E921" s="67">
        <f>17.8321 * CHOOSE(CONTROL!$C$26, $C$13, 100%, $E$13)</f>
        <v>17.832100000000001</v>
      </c>
      <c r="F921" s="67">
        <f>17.8321 * CHOOSE(CONTROL!$C$26, $C$13, 100%, $E$13)</f>
        <v>17.832100000000001</v>
      </c>
      <c r="G921" s="67">
        <f>17.8389 * CHOOSE(CONTROL!$C$26, $C$13, 100%, $E$13)</f>
        <v>17.838899999999999</v>
      </c>
      <c r="H921" s="67">
        <f>32.8655* CHOOSE(CONTROL!$C$26, $C$13, 100%, $E$13)</f>
        <v>32.865499999999997</v>
      </c>
      <c r="I921" s="67">
        <f>32.8722 * CHOOSE(CONTROL!$C$26, $C$13, 100%, $E$13)</f>
        <v>32.872199999999999</v>
      </c>
      <c r="J921" s="67">
        <f>17.8321 * CHOOSE(CONTROL!$C$26, $C$13, 100%, $E$13)</f>
        <v>17.832100000000001</v>
      </c>
      <c r="K921" s="67">
        <f>17.8389 * CHOOSE(CONTROL!$C$26, $C$13, 100%, $E$13)</f>
        <v>17.838899999999999</v>
      </c>
    </row>
    <row r="922" spans="1:11" ht="15">
      <c r="A922" s="13">
        <v>69185</v>
      </c>
      <c r="B922" s="66">
        <f>15.4994 * CHOOSE(CONTROL!$C$26, $C$13, 100%, $E$13)</f>
        <v>15.4994</v>
      </c>
      <c r="C922" s="66">
        <f>15.4994 * CHOOSE(CONTROL!$C$26, $C$13, 100%, $E$13)</f>
        <v>15.4994</v>
      </c>
      <c r="D922" s="66">
        <f>15.5049 * CHOOSE(CONTROL!$C$26, $C$13, 100%, $E$13)</f>
        <v>15.504899999999999</v>
      </c>
      <c r="E922" s="67">
        <f>17.7366 * CHOOSE(CONTROL!$C$26, $C$13, 100%, $E$13)</f>
        <v>17.736599999999999</v>
      </c>
      <c r="F922" s="67">
        <f>17.7366 * CHOOSE(CONTROL!$C$26, $C$13, 100%, $E$13)</f>
        <v>17.736599999999999</v>
      </c>
      <c r="G922" s="67">
        <f>17.7433 * CHOOSE(CONTROL!$C$26, $C$13, 100%, $E$13)</f>
        <v>17.743300000000001</v>
      </c>
      <c r="H922" s="67">
        <f>32.9339* CHOOSE(CONTROL!$C$26, $C$13, 100%, $E$13)</f>
        <v>32.933900000000001</v>
      </c>
      <c r="I922" s="67">
        <f>32.9407 * CHOOSE(CONTROL!$C$26, $C$13, 100%, $E$13)</f>
        <v>32.9407</v>
      </c>
      <c r="J922" s="67">
        <f>17.7366 * CHOOSE(CONTROL!$C$26, $C$13, 100%, $E$13)</f>
        <v>17.736599999999999</v>
      </c>
      <c r="K922" s="67">
        <f>17.7433 * CHOOSE(CONTROL!$C$26, $C$13, 100%, $E$13)</f>
        <v>17.743300000000001</v>
      </c>
    </row>
    <row r="923" spans="1:11" ht="15">
      <c r="A923" s="13">
        <v>69215</v>
      </c>
      <c r="B923" s="66">
        <f>15.7335 * CHOOSE(CONTROL!$C$26, $C$13, 100%, $E$13)</f>
        <v>15.733499999999999</v>
      </c>
      <c r="C923" s="66">
        <f>15.7335 * CHOOSE(CONTROL!$C$26, $C$13, 100%, $E$13)</f>
        <v>15.733499999999999</v>
      </c>
      <c r="D923" s="66">
        <f>15.739 * CHOOSE(CONTROL!$C$26, $C$13, 100%, $E$13)</f>
        <v>15.739000000000001</v>
      </c>
      <c r="E923" s="67">
        <f>18.0175 * CHOOSE(CONTROL!$C$26, $C$13, 100%, $E$13)</f>
        <v>18.017499999999998</v>
      </c>
      <c r="F923" s="67">
        <f>18.0175 * CHOOSE(CONTROL!$C$26, $C$13, 100%, $E$13)</f>
        <v>18.017499999999998</v>
      </c>
      <c r="G923" s="67">
        <f>18.0243 * CHOOSE(CONTROL!$C$26, $C$13, 100%, $E$13)</f>
        <v>18.0243</v>
      </c>
      <c r="H923" s="67">
        <f>33.0026* CHOOSE(CONTROL!$C$26, $C$13, 100%, $E$13)</f>
        <v>33.002600000000001</v>
      </c>
      <c r="I923" s="67">
        <f>33.0093 * CHOOSE(CONTROL!$C$26, $C$13, 100%, $E$13)</f>
        <v>33.009300000000003</v>
      </c>
      <c r="J923" s="67">
        <f>18.0175 * CHOOSE(CONTROL!$C$26, $C$13, 100%, $E$13)</f>
        <v>18.017499999999998</v>
      </c>
      <c r="K923" s="67">
        <f>18.0243 * CHOOSE(CONTROL!$C$26, $C$13, 100%, $E$13)</f>
        <v>18.0243</v>
      </c>
    </row>
    <row r="924" spans="1:11" ht="15">
      <c r="A924" s="13">
        <v>69246</v>
      </c>
      <c r="B924" s="66">
        <f>15.7402 * CHOOSE(CONTROL!$C$26, $C$13, 100%, $E$13)</f>
        <v>15.7402</v>
      </c>
      <c r="C924" s="66">
        <f>15.7402 * CHOOSE(CONTROL!$C$26, $C$13, 100%, $E$13)</f>
        <v>15.7402</v>
      </c>
      <c r="D924" s="66">
        <f>15.7457 * CHOOSE(CONTROL!$C$26, $C$13, 100%, $E$13)</f>
        <v>15.745699999999999</v>
      </c>
      <c r="E924" s="67">
        <f>17.7229 * CHOOSE(CONTROL!$C$26, $C$13, 100%, $E$13)</f>
        <v>17.722899999999999</v>
      </c>
      <c r="F924" s="67">
        <f>17.7229 * CHOOSE(CONTROL!$C$26, $C$13, 100%, $E$13)</f>
        <v>17.722899999999999</v>
      </c>
      <c r="G924" s="67">
        <f>17.7296 * CHOOSE(CONTROL!$C$26, $C$13, 100%, $E$13)</f>
        <v>17.729600000000001</v>
      </c>
      <c r="H924" s="67">
        <f>33.0713* CHOOSE(CONTROL!$C$26, $C$13, 100%, $E$13)</f>
        <v>33.071300000000001</v>
      </c>
      <c r="I924" s="67">
        <f>33.0781 * CHOOSE(CONTROL!$C$26, $C$13, 100%, $E$13)</f>
        <v>33.078099999999999</v>
      </c>
      <c r="J924" s="67">
        <f>17.7229 * CHOOSE(CONTROL!$C$26, $C$13, 100%, $E$13)</f>
        <v>17.722899999999999</v>
      </c>
      <c r="K924" s="67">
        <f>17.7296 * CHOOSE(CONTROL!$C$26, $C$13, 100%, $E$13)</f>
        <v>17.729600000000001</v>
      </c>
    </row>
    <row r="925" spans="1:11" ht="15">
      <c r="A925" s="13">
        <v>69277</v>
      </c>
      <c r="B925" s="66">
        <f>15.7371 * CHOOSE(CONTROL!$C$26, $C$13, 100%, $E$13)</f>
        <v>15.7371</v>
      </c>
      <c r="C925" s="66">
        <f>15.7371 * CHOOSE(CONTROL!$C$26, $C$13, 100%, $E$13)</f>
        <v>15.7371</v>
      </c>
      <c r="D925" s="66">
        <f>15.7426 * CHOOSE(CONTROL!$C$26, $C$13, 100%, $E$13)</f>
        <v>15.742599999999999</v>
      </c>
      <c r="E925" s="67">
        <f>17.6875 * CHOOSE(CONTROL!$C$26, $C$13, 100%, $E$13)</f>
        <v>17.6875</v>
      </c>
      <c r="F925" s="67">
        <f>17.6875 * CHOOSE(CONTROL!$C$26, $C$13, 100%, $E$13)</f>
        <v>17.6875</v>
      </c>
      <c r="G925" s="67">
        <f>17.6943 * CHOOSE(CONTROL!$C$26, $C$13, 100%, $E$13)</f>
        <v>17.694299999999998</v>
      </c>
      <c r="H925" s="67">
        <f>33.1402* CHOOSE(CONTROL!$C$26, $C$13, 100%, $E$13)</f>
        <v>33.1402</v>
      </c>
      <c r="I925" s="67">
        <f>33.147 * CHOOSE(CONTROL!$C$26, $C$13, 100%, $E$13)</f>
        <v>33.146999999999998</v>
      </c>
      <c r="J925" s="67">
        <f>17.6875 * CHOOSE(CONTROL!$C$26, $C$13, 100%, $E$13)</f>
        <v>17.6875</v>
      </c>
      <c r="K925" s="67">
        <f>17.6943 * CHOOSE(CONTROL!$C$26, $C$13, 100%, $E$13)</f>
        <v>17.694299999999998</v>
      </c>
    </row>
    <row r="926" spans="1:11" ht="15">
      <c r="A926" s="13">
        <v>69307</v>
      </c>
      <c r="B926" s="66">
        <f>15.7699 * CHOOSE(CONTROL!$C$26, $C$13, 100%, $E$13)</f>
        <v>15.7699</v>
      </c>
      <c r="C926" s="66">
        <f>15.7699 * CHOOSE(CONTROL!$C$26, $C$13, 100%, $E$13)</f>
        <v>15.7699</v>
      </c>
      <c r="D926" s="66">
        <f>15.7738 * CHOOSE(CONTROL!$C$26, $C$13, 100%, $E$13)</f>
        <v>15.7738</v>
      </c>
      <c r="E926" s="67">
        <f>17.8071 * CHOOSE(CONTROL!$C$26, $C$13, 100%, $E$13)</f>
        <v>17.807099999999998</v>
      </c>
      <c r="F926" s="67">
        <f>17.8071 * CHOOSE(CONTROL!$C$26, $C$13, 100%, $E$13)</f>
        <v>17.807099999999998</v>
      </c>
      <c r="G926" s="67">
        <f>17.8119 * CHOOSE(CONTROL!$C$26, $C$13, 100%, $E$13)</f>
        <v>17.811900000000001</v>
      </c>
      <c r="H926" s="67">
        <f>33.2093* CHOOSE(CONTROL!$C$26, $C$13, 100%, $E$13)</f>
        <v>33.209299999999999</v>
      </c>
      <c r="I926" s="67">
        <f>33.214 * CHOOSE(CONTROL!$C$26, $C$13, 100%, $E$13)</f>
        <v>33.213999999999999</v>
      </c>
      <c r="J926" s="67">
        <f>17.8071 * CHOOSE(CONTROL!$C$26, $C$13, 100%, $E$13)</f>
        <v>17.807099999999998</v>
      </c>
      <c r="K926" s="67">
        <f>17.8119 * CHOOSE(CONTROL!$C$26, $C$13, 100%, $E$13)</f>
        <v>17.811900000000001</v>
      </c>
    </row>
    <row r="927" spans="1:11" ht="15">
      <c r="A927" s="13">
        <v>69338</v>
      </c>
      <c r="B927" s="66">
        <f>15.773 * CHOOSE(CONTROL!$C$26, $C$13, 100%, $E$13)</f>
        <v>15.773</v>
      </c>
      <c r="C927" s="66">
        <f>15.773 * CHOOSE(CONTROL!$C$26, $C$13, 100%, $E$13)</f>
        <v>15.773</v>
      </c>
      <c r="D927" s="66">
        <f>15.7768 * CHOOSE(CONTROL!$C$26, $C$13, 100%, $E$13)</f>
        <v>15.7768</v>
      </c>
      <c r="E927" s="67">
        <f>17.8758 * CHOOSE(CONTROL!$C$26, $C$13, 100%, $E$13)</f>
        <v>17.875800000000002</v>
      </c>
      <c r="F927" s="67">
        <f>17.8758 * CHOOSE(CONTROL!$C$26, $C$13, 100%, $E$13)</f>
        <v>17.875800000000002</v>
      </c>
      <c r="G927" s="67">
        <f>17.8805 * CHOOSE(CONTROL!$C$26, $C$13, 100%, $E$13)</f>
        <v>17.880500000000001</v>
      </c>
      <c r="H927" s="67">
        <f>33.2784* CHOOSE(CONTROL!$C$26, $C$13, 100%, $E$13)</f>
        <v>33.278399999999998</v>
      </c>
      <c r="I927" s="67">
        <f>33.2832 * CHOOSE(CONTROL!$C$26, $C$13, 100%, $E$13)</f>
        <v>33.283200000000001</v>
      </c>
      <c r="J927" s="67">
        <f>17.8758 * CHOOSE(CONTROL!$C$26, $C$13, 100%, $E$13)</f>
        <v>17.875800000000002</v>
      </c>
      <c r="K927" s="67">
        <f>17.8805 * CHOOSE(CONTROL!$C$26, $C$13, 100%, $E$13)</f>
        <v>17.880500000000001</v>
      </c>
    </row>
    <row r="928" spans="1:11" ht="15">
      <c r="A928" s="13">
        <v>69368</v>
      </c>
      <c r="B928" s="66">
        <f>15.773 * CHOOSE(CONTROL!$C$26, $C$13, 100%, $E$13)</f>
        <v>15.773</v>
      </c>
      <c r="C928" s="66">
        <f>15.773 * CHOOSE(CONTROL!$C$26, $C$13, 100%, $E$13)</f>
        <v>15.773</v>
      </c>
      <c r="D928" s="66">
        <f>15.7768 * CHOOSE(CONTROL!$C$26, $C$13, 100%, $E$13)</f>
        <v>15.7768</v>
      </c>
      <c r="E928" s="67">
        <f>17.7095 * CHOOSE(CONTROL!$C$26, $C$13, 100%, $E$13)</f>
        <v>17.709499999999998</v>
      </c>
      <c r="F928" s="67">
        <f>17.7095 * CHOOSE(CONTROL!$C$26, $C$13, 100%, $E$13)</f>
        <v>17.709499999999998</v>
      </c>
      <c r="G928" s="67">
        <f>17.7143 * CHOOSE(CONTROL!$C$26, $C$13, 100%, $E$13)</f>
        <v>17.714300000000001</v>
      </c>
      <c r="H928" s="67">
        <f>33.3478* CHOOSE(CONTROL!$C$26, $C$13, 100%, $E$13)</f>
        <v>33.347799999999999</v>
      </c>
      <c r="I928" s="67">
        <f>33.3525 * CHOOSE(CONTROL!$C$26, $C$13, 100%, $E$13)</f>
        <v>33.352499999999999</v>
      </c>
      <c r="J928" s="67">
        <f>17.7095 * CHOOSE(CONTROL!$C$26, $C$13, 100%, $E$13)</f>
        <v>17.709499999999998</v>
      </c>
      <c r="K928" s="67">
        <f>17.7143 * CHOOSE(CONTROL!$C$26, $C$13, 100%, $E$13)</f>
        <v>17.714300000000001</v>
      </c>
    </row>
    <row r="929" spans="1:11" ht="15">
      <c r="A929" s="13">
        <v>69399</v>
      </c>
      <c r="B929" s="66">
        <f>15.7277 * CHOOSE(CONTROL!$C$26, $C$13, 100%, $E$13)</f>
        <v>15.7277</v>
      </c>
      <c r="C929" s="66">
        <f>15.7277 * CHOOSE(CONTROL!$C$26, $C$13, 100%, $E$13)</f>
        <v>15.7277</v>
      </c>
      <c r="D929" s="66">
        <f>15.7316 * CHOOSE(CONTROL!$C$26, $C$13, 100%, $E$13)</f>
        <v>15.7316</v>
      </c>
      <c r="E929" s="67">
        <f>17.796 * CHOOSE(CONTROL!$C$26, $C$13, 100%, $E$13)</f>
        <v>17.795999999999999</v>
      </c>
      <c r="F929" s="67">
        <f>17.796 * CHOOSE(CONTROL!$C$26, $C$13, 100%, $E$13)</f>
        <v>17.795999999999999</v>
      </c>
      <c r="G929" s="67">
        <f>17.8008 * CHOOSE(CONTROL!$C$26, $C$13, 100%, $E$13)</f>
        <v>17.800799999999999</v>
      </c>
      <c r="H929" s="67">
        <f>33.0756* CHOOSE(CONTROL!$C$26, $C$13, 100%, $E$13)</f>
        <v>33.075600000000001</v>
      </c>
      <c r="I929" s="67">
        <f>33.0803 * CHOOSE(CONTROL!$C$26, $C$13, 100%, $E$13)</f>
        <v>33.080300000000001</v>
      </c>
      <c r="J929" s="67">
        <f>17.796 * CHOOSE(CONTROL!$C$26, $C$13, 100%, $E$13)</f>
        <v>17.795999999999999</v>
      </c>
      <c r="K929" s="67">
        <f>17.8008 * CHOOSE(CONTROL!$C$26, $C$13, 100%, $E$13)</f>
        <v>17.800799999999999</v>
      </c>
    </row>
    <row r="930" spans="1:11" ht="15">
      <c r="A930" s="13">
        <v>69430</v>
      </c>
      <c r="B930" s="66">
        <f>15.7247 * CHOOSE(CONTROL!$C$26, $C$13, 100%, $E$13)</f>
        <v>15.7247</v>
      </c>
      <c r="C930" s="66">
        <f>15.7247 * CHOOSE(CONTROL!$C$26, $C$13, 100%, $E$13)</f>
        <v>15.7247</v>
      </c>
      <c r="D930" s="66">
        <f>15.7286 * CHOOSE(CONTROL!$C$26, $C$13, 100%, $E$13)</f>
        <v>15.7286</v>
      </c>
      <c r="E930" s="67">
        <f>17.4747 * CHOOSE(CONTROL!$C$26, $C$13, 100%, $E$13)</f>
        <v>17.474699999999999</v>
      </c>
      <c r="F930" s="67">
        <f>17.4747 * CHOOSE(CONTROL!$C$26, $C$13, 100%, $E$13)</f>
        <v>17.474699999999999</v>
      </c>
      <c r="G930" s="67">
        <f>17.4795 * CHOOSE(CONTROL!$C$26, $C$13, 100%, $E$13)</f>
        <v>17.479500000000002</v>
      </c>
      <c r="H930" s="67">
        <f>33.1445* CHOOSE(CONTROL!$C$26, $C$13, 100%, $E$13)</f>
        <v>33.144500000000001</v>
      </c>
      <c r="I930" s="67">
        <f>33.1492 * CHOOSE(CONTROL!$C$26, $C$13, 100%, $E$13)</f>
        <v>33.1492</v>
      </c>
      <c r="J930" s="67">
        <f>17.4747 * CHOOSE(CONTROL!$C$26, $C$13, 100%, $E$13)</f>
        <v>17.474699999999999</v>
      </c>
      <c r="K930" s="67">
        <f>17.4795 * CHOOSE(CONTROL!$C$26, $C$13, 100%, $E$13)</f>
        <v>17.479500000000002</v>
      </c>
    </row>
    <row r="931" spans="1:11" ht="15">
      <c r="A931" s="13">
        <v>69458</v>
      </c>
      <c r="B931" s="66">
        <f>15.7217 * CHOOSE(CONTROL!$C$26, $C$13, 100%, $E$13)</f>
        <v>15.7217</v>
      </c>
      <c r="C931" s="66">
        <f>15.7217 * CHOOSE(CONTROL!$C$26, $C$13, 100%, $E$13)</f>
        <v>15.7217</v>
      </c>
      <c r="D931" s="66">
        <f>15.7255 * CHOOSE(CONTROL!$C$26, $C$13, 100%, $E$13)</f>
        <v>15.7255</v>
      </c>
      <c r="E931" s="67">
        <f>17.7242 * CHOOSE(CONTROL!$C$26, $C$13, 100%, $E$13)</f>
        <v>17.7242</v>
      </c>
      <c r="F931" s="67">
        <f>17.7242 * CHOOSE(CONTROL!$C$26, $C$13, 100%, $E$13)</f>
        <v>17.7242</v>
      </c>
      <c r="G931" s="67">
        <f>17.729 * CHOOSE(CONTROL!$C$26, $C$13, 100%, $E$13)</f>
        <v>17.728999999999999</v>
      </c>
      <c r="H931" s="67">
        <f>33.2135* CHOOSE(CONTROL!$C$26, $C$13, 100%, $E$13)</f>
        <v>33.213500000000003</v>
      </c>
      <c r="I931" s="67">
        <f>33.2183 * CHOOSE(CONTROL!$C$26, $C$13, 100%, $E$13)</f>
        <v>33.218299999999999</v>
      </c>
      <c r="J931" s="67">
        <f>17.7242 * CHOOSE(CONTROL!$C$26, $C$13, 100%, $E$13)</f>
        <v>17.7242</v>
      </c>
      <c r="K931" s="67">
        <f>17.729 * CHOOSE(CONTROL!$C$26, $C$13, 100%, $E$13)</f>
        <v>17.728999999999999</v>
      </c>
    </row>
    <row r="932" spans="1:11" ht="15">
      <c r="A932" s="13">
        <v>69489</v>
      </c>
      <c r="B932" s="66">
        <f>15.7291 * CHOOSE(CONTROL!$C$26, $C$13, 100%, $E$13)</f>
        <v>15.729100000000001</v>
      </c>
      <c r="C932" s="66">
        <f>15.7291 * CHOOSE(CONTROL!$C$26, $C$13, 100%, $E$13)</f>
        <v>15.729100000000001</v>
      </c>
      <c r="D932" s="66">
        <f>15.733 * CHOOSE(CONTROL!$C$26, $C$13, 100%, $E$13)</f>
        <v>15.733000000000001</v>
      </c>
      <c r="E932" s="67">
        <f>17.9902 * CHOOSE(CONTROL!$C$26, $C$13, 100%, $E$13)</f>
        <v>17.990200000000002</v>
      </c>
      <c r="F932" s="67">
        <f>17.9902 * CHOOSE(CONTROL!$C$26, $C$13, 100%, $E$13)</f>
        <v>17.990200000000002</v>
      </c>
      <c r="G932" s="67">
        <f>17.995 * CHOOSE(CONTROL!$C$26, $C$13, 100%, $E$13)</f>
        <v>17.995000000000001</v>
      </c>
      <c r="H932" s="67">
        <f>33.2827* CHOOSE(CONTROL!$C$26, $C$13, 100%, $E$13)</f>
        <v>33.282699999999998</v>
      </c>
      <c r="I932" s="67">
        <f>33.2875 * CHOOSE(CONTROL!$C$26, $C$13, 100%, $E$13)</f>
        <v>33.287500000000001</v>
      </c>
      <c r="J932" s="67">
        <f>17.9902 * CHOOSE(CONTROL!$C$26, $C$13, 100%, $E$13)</f>
        <v>17.990200000000002</v>
      </c>
      <c r="K932" s="67">
        <f>17.995 * CHOOSE(CONTROL!$C$26, $C$13, 100%, $E$13)</f>
        <v>17.995000000000001</v>
      </c>
    </row>
    <row r="933" spans="1:11" ht="15">
      <c r="A933" s="13">
        <v>69519</v>
      </c>
      <c r="B933" s="66">
        <f>15.7291 * CHOOSE(CONTROL!$C$26, $C$13, 100%, $E$13)</f>
        <v>15.729100000000001</v>
      </c>
      <c r="C933" s="66">
        <f>15.7291 * CHOOSE(CONTROL!$C$26, $C$13, 100%, $E$13)</f>
        <v>15.729100000000001</v>
      </c>
      <c r="D933" s="66">
        <f>15.7346 * CHOOSE(CONTROL!$C$26, $C$13, 100%, $E$13)</f>
        <v>15.7346</v>
      </c>
      <c r="E933" s="67">
        <f>18.0916 * CHOOSE(CONTROL!$C$26, $C$13, 100%, $E$13)</f>
        <v>18.0916</v>
      </c>
      <c r="F933" s="67">
        <f>18.0916 * CHOOSE(CONTROL!$C$26, $C$13, 100%, $E$13)</f>
        <v>18.0916</v>
      </c>
      <c r="G933" s="67">
        <f>18.0983 * CHOOSE(CONTROL!$C$26, $C$13, 100%, $E$13)</f>
        <v>18.098299999999998</v>
      </c>
      <c r="H933" s="67">
        <f>33.3521* CHOOSE(CONTROL!$C$26, $C$13, 100%, $E$13)</f>
        <v>33.3521</v>
      </c>
      <c r="I933" s="67">
        <f>33.3588 * CHOOSE(CONTROL!$C$26, $C$13, 100%, $E$13)</f>
        <v>33.358800000000002</v>
      </c>
      <c r="J933" s="67">
        <f>18.0916 * CHOOSE(CONTROL!$C$26, $C$13, 100%, $E$13)</f>
        <v>18.0916</v>
      </c>
      <c r="K933" s="67">
        <f>18.0983 * CHOOSE(CONTROL!$C$26, $C$13, 100%, $E$13)</f>
        <v>18.098299999999998</v>
      </c>
    </row>
    <row r="934" spans="1:11" ht="15">
      <c r="A934" s="13">
        <v>69550</v>
      </c>
      <c r="B934" s="66">
        <f>15.7352 * CHOOSE(CONTROL!$C$26, $C$13, 100%, $E$13)</f>
        <v>15.735200000000001</v>
      </c>
      <c r="C934" s="66">
        <f>15.7352 * CHOOSE(CONTROL!$C$26, $C$13, 100%, $E$13)</f>
        <v>15.735200000000001</v>
      </c>
      <c r="D934" s="66">
        <f>15.7407 * CHOOSE(CONTROL!$C$26, $C$13, 100%, $E$13)</f>
        <v>15.7407</v>
      </c>
      <c r="E934" s="67">
        <f>17.9945 * CHOOSE(CONTROL!$C$26, $C$13, 100%, $E$13)</f>
        <v>17.994499999999999</v>
      </c>
      <c r="F934" s="67">
        <f>17.9945 * CHOOSE(CONTROL!$C$26, $C$13, 100%, $E$13)</f>
        <v>17.994499999999999</v>
      </c>
      <c r="G934" s="67">
        <f>18.0012 * CHOOSE(CONTROL!$C$26, $C$13, 100%, $E$13)</f>
        <v>18.001200000000001</v>
      </c>
      <c r="H934" s="67">
        <f>33.4215* CHOOSE(CONTROL!$C$26, $C$13, 100%, $E$13)</f>
        <v>33.421500000000002</v>
      </c>
      <c r="I934" s="67">
        <f>33.4283 * CHOOSE(CONTROL!$C$26, $C$13, 100%, $E$13)</f>
        <v>33.4283</v>
      </c>
      <c r="J934" s="67">
        <f>17.9945 * CHOOSE(CONTROL!$C$26, $C$13, 100%, $E$13)</f>
        <v>17.994499999999999</v>
      </c>
      <c r="K934" s="67">
        <f>18.0012 * CHOOSE(CONTROL!$C$26, $C$13, 100%, $E$13)</f>
        <v>18.001200000000001</v>
      </c>
    </row>
    <row r="935" spans="1:11" ht="15">
      <c r="A935" s="13">
        <v>69580</v>
      </c>
      <c r="B935" s="66">
        <f>15.9727 * CHOOSE(CONTROL!$C$26, $C$13, 100%, $E$13)</f>
        <v>15.9727</v>
      </c>
      <c r="C935" s="66">
        <f>15.9727 * CHOOSE(CONTROL!$C$26, $C$13, 100%, $E$13)</f>
        <v>15.9727</v>
      </c>
      <c r="D935" s="66">
        <f>15.9782 * CHOOSE(CONTROL!$C$26, $C$13, 100%, $E$13)</f>
        <v>15.978199999999999</v>
      </c>
      <c r="E935" s="67">
        <f>18.2793 * CHOOSE(CONTROL!$C$26, $C$13, 100%, $E$13)</f>
        <v>18.279299999999999</v>
      </c>
      <c r="F935" s="67">
        <f>18.2793 * CHOOSE(CONTROL!$C$26, $C$13, 100%, $E$13)</f>
        <v>18.279299999999999</v>
      </c>
      <c r="G935" s="67">
        <f>18.286 * CHOOSE(CONTROL!$C$26, $C$13, 100%, $E$13)</f>
        <v>18.286000000000001</v>
      </c>
      <c r="H935" s="67">
        <f>33.4912* CHOOSE(CONTROL!$C$26, $C$13, 100%, $E$13)</f>
        <v>33.491199999999999</v>
      </c>
      <c r="I935" s="67">
        <f>33.4979 * CHOOSE(CONTROL!$C$26, $C$13, 100%, $E$13)</f>
        <v>33.497900000000001</v>
      </c>
      <c r="J935" s="67">
        <f>18.2793 * CHOOSE(CONTROL!$C$26, $C$13, 100%, $E$13)</f>
        <v>18.279299999999999</v>
      </c>
      <c r="K935" s="67">
        <f>18.286 * CHOOSE(CONTROL!$C$26, $C$13, 100%, $E$13)</f>
        <v>18.286000000000001</v>
      </c>
    </row>
    <row r="936" spans="1:11" ht="15">
      <c r="A936" s="13">
        <v>69611</v>
      </c>
      <c r="B936" s="66">
        <f>15.9794 * CHOOSE(CONTROL!$C$26, $C$13, 100%, $E$13)</f>
        <v>15.9794</v>
      </c>
      <c r="C936" s="66">
        <f>15.9794 * CHOOSE(CONTROL!$C$26, $C$13, 100%, $E$13)</f>
        <v>15.9794</v>
      </c>
      <c r="D936" s="66">
        <f>15.9849 * CHOOSE(CONTROL!$C$26, $C$13, 100%, $E$13)</f>
        <v>15.9849</v>
      </c>
      <c r="E936" s="67">
        <f>17.98 * CHOOSE(CONTROL!$C$26, $C$13, 100%, $E$13)</f>
        <v>17.98</v>
      </c>
      <c r="F936" s="67">
        <f>17.98 * CHOOSE(CONTROL!$C$26, $C$13, 100%, $E$13)</f>
        <v>17.98</v>
      </c>
      <c r="G936" s="67">
        <f>17.9867 * CHOOSE(CONTROL!$C$26, $C$13, 100%, $E$13)</f>
        <v>17.986699999999999</v>
      </c>
      <c r="H936" s="67">
        <f>33.5609* CHOOSE(CONTROL!$C$26, $C$13, 100%, $E$13)</f>
        <v>33.560899999999997</v>
      </c>
      <c r="I936" s="67">
        <f>33.5677 * CHOOSE(CONTROL!$C$26, $C$13, 100%, $E$13)</f>
        <v>33.567700000000002</v>
      </c>
      <c r="J936" s="67">
        <f>17.98 * CHOOSE(CONTROL!$C$26, $C$13, 100%, $E$13)</f>
        <v>17.98</v>
      </c>
      <c r="K936" s="67">
        <f>17.9867 * CHOOSE(CONTROL!$C$26, $C$13, 100%, $E$13)</f>
        <v>17.986699999999999</v>
      </c>
    </row>
    <row r="937" spans="1:11" ht="15">
      <c r="A937" s="13">
        <v>69642</v>
      </c>
      <c r="B937" s="66">
        <f>15.9763 * CHOOSE(CONTROL!$C$26, $C$13, 100%, $E$13)</f>
        <v>15.9763</v>
      </c>
      <c r="C937" s="66">
        <f>15.9763 * CHOOSE(CONTROL!$C$26, $C$13, 100%, $E$13)</f>
        <v>15.9763</v>
      </c>
      <c r="D937" s="66">
        <f>15.9818 * CHOOSE(CONTROL!$C$26, $C$13, 100%, $E$13)</f>
        <v>15.9818</v>
      </c>
      <c r="E937" s="67">
        <f>17.9441 * CHOOSE(CONTROL!$C$26, $C$13, 100%, $E$13)</f>
        <v>17.944099999999999</v>
      </c>
      <c r="F937" s="67">
        <f>17.9441 * CHOOSE(CONTROL!$C$26, $C$13, 100%, $E$13)</f>
        <v>17.944099999999999</v>
      </c>
      <c r="G937" s="67">
        <f>17.9508 * CHOOSE(CONTROL!$C$26, $C$13, 100%, $E$13)</f>
        <v>17.950800000000001</v>
      </c>
      <c r="H937" s="67">
        <f>33.6309* CHOOSE(CONTROL!$C$26, $C$13, 100%, $E$13)</f>
        <v>33.630899999999997</v>
      </c>
      <c r="I937" s="67">
        <f>33.6376 * CHOOSE(CONTROL!$C$26, $C$13, 100%, $E$13)</f>
        <v>33.637599999999999</v>
      </c>
      <c r="J937" s="67">
        <f>17.9441 * CHOOSE(CONTROL!$C$26, $C$13, 100%, $E$13)</f>
        <v>17.944099999999999</v>
      </c>
      <c r="K937" s="67">
        <f>17.9508 * CHOOSE(CONTROL!$C$26, $C$13, 100%, $E$13)</f>
        <v>17.950800000000001</v>
      </c>
    </row>
    <row r="938" spans="1:11" ht="15">
      <c r="A938" s="13">
        <v>69672</v>
      </c>
      <c r="B938" s="66">
        <f>16.0099 * CHOOSE(CONTROL!$C$26, $C$13, 100%, $E$13)</f>
        <v>16.009899999999998</v>
      </c>
      <c r="C938" s="66">
        <f>16.0099 * CHOOSE(CONTROL!$C$26, $C$13, 100%, $E$13)</f>
        <v>16.009899999999998</v>
      </c>
      <c r="D938" s="66">
        <f>16.0137 * CHOOSE(CONTROL!$C$26, $C$13, 100%, $E$13)</f>
        <v>16.0137</v>
      </c>
      <c r="E938" s="67">
        <f>18.0658 * CHOOSE(CONTROL!$C$26, $C$13, 100%, $E$13)</f>
        <v>18.065799999999999</v>
      </c>
      <c r="F938" s="67">
        <f>18.0658 * CHOOSE(CONTROL!$C$26, $C$13, 100%, $E$13)</f>
        <v>18.065799999999999</v>
      </c>
      <c r="G938" s="67">
        <f>18.0705 * CHOOSE(CONTROL!$C$26, $C$13, 100%, $E$13)</f>
        <v>18.070499999999999</v>
      </c>
      <c r="H938" s="67">
        <f>33.7009* CHOOSE(CONTROL!$C$26, $C$13, 100%, $E$13)</f>
        <v>33.700899999999997</v>
      </c>
      <c r="I938" s="67">
        <f>33.7057 * CHOOSE(CONTROL!$C$26, $C$13, 100%, $E$13)</f>
        <v>33.7057</v>
      </c>
      <c r="J938" s="67">
        <f>18.0658 * CHOOSE(CONTROL!$C$26, $C$13, 100%, $E$13)</f>
        <v>18.065799999999999</v>
      </c>
      <c r="K938" s="67">
        <f>18.0705 * CHOOSE(CONTROL!$C$26, $C$13, 100%, $E$13)</f>
        <v>18.070499999999999</v>
      </c>
    </row>
    <row r="939" spans="1:11" ht="15">
      <c r="A939" s="13">
        <v>69703</v>
      </c>
      <c r="B939" s="66">
        <f>16.0129 * CHOOSE(CONTROL!$C$26, $C$13, 100%, $E$13)</f>
        <v>16.012899999999998</v>
      </c>
      <c r="C939" s="66">
        <f>16.0129 * CHOOSE(CONTROL!$C$26, $C$13, 100%, $E$13)</f>
        <v>16.012899999999998</v>
      </c>
      <c r="D939" s="66">
        <f>16.0168 * CHOOSE(CONTROL!$C$26, $C$13, 100%, $E$13)</f>
        <v>16.0168</v>
      </c>
      <c r="E939" s="67">
        <f>18.1354 * CHOOSE(CONTROL!$C$26, $C$13, 100%, $E$13)</f>
        <v>18.135400000000001</v>
      </c>
      <c r="F939" s="67">
        <f>18.1354 * CHOOSE(CONTROL!$C$26, $C$13, 100%, $E$13)</f>
        <v>18.135400000000001</v>
      </c>
      <c r="G939" s="67">
        <f>18.1402 * CHOOSE(CONTROL!$C$26, $C$13, 100%, $E$13)</f>
        <v>18.1402</v>
      </c>
      <c r="H939" s="67">
        <f>33.7711* CHOOSE(CONTROL!$C$26, $C$13, 100%, $E$13)</f>
        <v>33.771099999999997</v>
      </c>
      <c r="I939" s="67">
        <f>33.7759 * CHOOSE(CONTROL!$C$26, $C$13, 100%, $E$13)</f>
        <v>33.7759</v>
      </c>
      <c r="J939" s="67">
        <f>18.1354 * CHOOSE(CONTROL!$C$26, $C$13, 100%, $E$13)</f>
        <v>18.135400000000001</v>
      </c>
      <c r="K939" s="67">
        <f>18.1402 * CHOOSE(CONTROL!$C$26, $C$13, 100%, $E$13)</f>
        <v>18.1402</v>
      </c>
    </row>
    <row r="940" spans="1:11" ht="15">
      <c r="A940" s="13">
        <v>69733</v>
      </c>
      <c r="B940" s="66">
        <f>16.0129 * CHOOSE(CONTROL!$C$26, $C$13, 100%, $E$13)</f>
        <v>16.012899999999998</v>
      </c>
      <c r="C940" s="66">
        <f>16.0129 * CHOOSE(CONTROL!$C$26, $C$13, 100%, $E$13)</f>
        <v>16.012899999999998</v>
      </c>
      <c r="D940" s="66">
        <f>16.0168 * CHOOSE(CONTROL!$C$26, $C$13, 100%, $E$13)</f>
        <v>16.0168</v>
      </c>
      <c r="E940" s="67">
        <f>17.9666 * CHOOSE(CONTROL!$C$26, $C$13, 100%, $E$13)</f>
        <v>17.9666</v>
      </c>
      <c r="F940" s="67">
        <f>17.9666 * CHOOSE(CONTROL!$C$26, $C$13, 100%, $E$13)</f>
        <v>17.9666</v>
      </c>
      <c r="G940" s="67">
        <f>17.9713 * CHOOSE(CONTROL!$C$26, $C$13, 100%, $E$13)</f>
        <v>17.971299999999999</v>
      </c>
      <c r="H940" s="67">
        <f>33.8415* CHOOSE(CONTROL!$C$26, $C$13, 100%, $E$13)</f>
        <v>33.841500000000003</v>
      </c>
      <c r="I940" s="67">
        <f>33.8463 * CHOOSE(CONTROL!$C$26, $C$13, 100%, $E$13)</f>
        <v>33.846299999999999</v>
      </c>
      <c r="J940" s="67">
        <f>17.9666 * CHOOSE(CONTROL!$C$26, $C$13, 100%, $E$13)</f>
        <v>17.9666</v>
      </c>
      <c r="K940" s="67">
        <f>17.9713 * CHOOSE(CONTROL!$C$26, $C$13, 100%, $E$13)</f>
        <v>17.971299999999999</v>
      </c>
    </row>
    <row r="941" spans="1:11" ht="15">
      <c r="A941" s="13">
        <v>69764</v>
      </c>
      <c r="B941" s="66">
        <f>15.9633 * CHOOSE(CONTROL!$C$26, $C$13, 100%, $E$13)</f>
        <v>15.9633</v>
      </c>
      <c r="C941" s="66">
        <f>15.9633 * CHOOSE(CONTROL!$C$26, $C$13, 100%, $E$13)</f>
        <v>15.9633</v>
      </c>
      <c r="D941" s="66">
        <f>15.9672 * CHOOSE(CONTROL!$C$26, $C$13, 100%, $E$13)</f>
        <v>15.9672</v>
      </c>
      <c r="E941" s="67">
        <f>18.0508 * CHOOSE(CONTROL!$C$26, $C$13, 100%, $E$13)</f>
        <v>18.050799999999999</v>
      </c>
      <c r="F941" s="67">
        <f>18.0508 * CHOOSE(CONTROL!$C$26, $C$13, 100%, $E$13)</f>
        <v>18.050799999999999</v>
      </c>
      <c r="G941" s="67">
        <f>18.0555 * CHOOSE(CONTROL!$C$26, $C$13, 100%, $E$13)</f>
        <v>18.055499999999999</v>
      </c>
      <c r="H941" s="67">
        <f>33.5581* CHOOSE(CONTROL!$C$26, $C$13, 100%, $E$13)</f>
        <v>33.558100000000003</v>
      </c>
      <c r="I941" s="67">
        <f>33.5629 * CHOOSE(CONTROL!$C$26, $C$13, 100%, $E$13)</f>
        <v>33.562899999999999</v>
      </c>
      <c r="J941" s="67">
        <f>18.0508 * CHOOSE(CONTROL!$C$26, $C$13, 100%, $E$13)</f>
        <v>18.050799999999999</v>
      </c>
      <c r="K941" s="67">
        <f>18.0555 * CHOOSE(CONTROL!$C$26, $C$13, 100%, $E$13)</f>
        <v>18.055499999999999</v>
      </c>
    </row>
    <row r="942" spans="1:11" ht="15">
      <c r="A942" s="13">
        <v>69795</v>
      </c>
      <c r="B942" s="66">
        <f>15.9603 * CHOOSE(CONTROL!$C$26, $C$13, 100%, $E$13)</f>
        <v>15.9603</v>
      </c>
      <c r="C942" s="66">
        <f>15.9603 * CHOOSE(CONTROL!$C$26, $C$13, 100%, $E$13)</f>
        <v>15.9603</v>
      </c>
      <c r="D942" s="66">
        <f>15.9641 * CHOOSE(CONTROL!$C$26, $C$13, 100%, $E$13)</f>
        <v>15.9641</v>
      </c>
      <c r="E942" s="67">
        <f>17.7245 * CHOOSE(CONTROL!$C$26, $C$13, 100%, $E$13)</f>
        <v>17.724499999999999</v>
      </c>
      <c r="F942" s="67">
        <f>17.7245 * CHOOSE(CONTROL!$C$26, $C$13, 100%, $E$13)</f>
        <v>17.724499999999999</v>
      </c>
      <c r="G942" s="67">
        <f>17.7293 * CHOOSE(CONTROL!$C$26, $C$13, 100%, $E$13)</f>
        <v>17.729299999999999</v>
      </c>
      <c r="H942" s="67">
        <f>33.628* CHOOSE(CONTROL!$C$26, $C$13, 100%, $E$13)</f>
        <v>33.628</v>
      </c>
      <c r="I942" s="67">
        <f>33.6328 * CHOOSE(CONTROL!$C$26, $C$13, 100%, $E$13)</f>
        <v>33.632800000000003</v>
      </c>
      <c r="J942" s="67">
        <f>17.7245 * CHOOSE(CONTROL!$C$26, $C$13, 100%, $E$13)</f>
        <v>17.724499999999999</v>
      </c>
      <c r="K942" s="67">
        <f>17.7293 * CHOOSE(CONTROL!$C$26, $C$13, 100%, $E$13)</f>
        <v>17.729299999999999</v>
      </c>
    </row>
    <row r="943" spans="1:11" ht="15">
      <c r="A943" s="13">
        <v>69823</v>
      </c>
      <c r="B943" s="66">
        <f>15.9572 * CHOOSE(CONTROL!$C$26, $C$13, 100%, $E$13)</f>
        <v>15.9572</v>
      </c>
      <c r="C943" s="66">
        <f>15.9572 * CHOOSE(CONTROL!$C$26, $C$13, 100%, $E$13)</f>
        <v>15.9572</v>
      </c>
      <c r="D943" s="66">
        <f>15.9611 * CHOOSE(CONTROL!$C$26, $C$13, 100%, $E$13)</f>
        <v>15.9611</v>
      </c>
      <c r="E943" s="67">
        <f>17.9779 * CHOOSE(CONTROL!$C$26, $C$13, 100%, $E$13)</f>
        <v>17.977900000000002</v>
      </c>
      <c r="F943" s="67">
        <f>17.9779 * CHOOSE(CONTROL!$C$26, $C$13, 100%, $E$13)</f>
        <v>17.977900000000002</v>
      </c>
      <c r="G943" s="67">
        <f>17.9827 * CHOOSE(CONTROL!$C$26, $C$13, 100%, $E$13)</f>
        <v>17.982700000000001</v>
      </c>
      <c r="H943" s="67">
        <f>33.6981* CHOOSE(CONTROL!$C$26, $C$13, 100%, $E$13)</f>
        <v>33.698099999999997</v>
      </c>
      <c r="I943" s="67">
        <f>33.7029 * CHOOSE(CONTROL!$C$26, $C$13, 100%, $E$13)</f>
        <v>33.7029</v>
      </c>
      <c r="J943" s="67">
        <f>17.9779 * CHOOSE(CONTROL!$C$26, $C$13, 100%, $E$13)</f>
        <v>17.977900000000002</v>
      </c>
      <c r="K943" s="67">
        <f>17.9827 * CHOOSE(CONTROL!$C$26, $C$13, 100%, $E$13)</f>
        <v>17.982700000000001</v>
      </c>
    </row>
    <row r="944" spans="1:11" ht="15">
      <c r="A944" s="13">
        <v>69854</v>
      </c>
      <c r="B944" s="66">
        <f>15.9649 * CHOOSE(CONTROL!$C$26, $C$13, 100%, $E$13)</f>
        <v>15.9649</v>
      </c>
      <c r="C944" s="66">
        <f>15.9649 * CHOOSE(CONTROL!$C$26, $C$13, 100%, $E$13)</f>
        <v>15.9649</v>
      </c>
      <c r="D944" s="66">
        <f>15.9687 * CHOOSE(CONTROL!$C$26, $C$13, 100%, $E$13)</f>
        <v>15.9687</v>
      </c>
      <c r="E944" s="67">
        <f>18.2481 * CHOOSE(CONTROL!$C$26, $C$13, 100%, $E$13)</f>
        <v>18.248100000000001</v>
      </c>
      <c r="F944" s="67">
        <f>18.2481 * CHOOSE(CONTROL!$C$26, $C$13, 100%, $E$13)</f>
        <v>18.248100000000001</v>
      </c>
      <c r="G944" s="67">
        <f>18.2529 * CHOOSE(CONTROL!$C$26, $C$13, 100%, $E$13)</f>
        <v>18.2529</v>
      </c>
      <c r="H944" s="67">
        <f>33.7683* CHOOSE(CONTROL!$C$26, $C$13, 100%, $E$13)</f>
        <v>33.768300000000004</v>
      </c>
      <c r="I944" s="67">
        <f>33.7731 * CHOOSE(CONTROL!$C$26, $C$13, 100%, $E$13)</f>
        <v>33.773099999999999</v>
      </c>
      <c r="J944" s="67">
        <f>18.2481 * CHOOSE(CONTROL!$C$26, $C$13, 100%, $E$13)</f>
        <v>18.248100000000001</v>
      </c>
      <c r="K944" s="67">
        <f>18.2529 * CHOOSE(CONTROL!$C$26, $C$13, 100%, $E$13)</f>
        <v>18.2529</v>
      </c>
    </row>
    <row r="945" spans="1:11" ht="15">
      <c r="A945" s="13">
        <v>69884</v>
      </c>
      <c r="B945" s="66">
        <f>15.9649 * CHOOSE(CONTROL!$C$26, $C$13, 100%, $E$13)</f>
        <v>15.9649</v>
      </c>
      <c r="C945" s="66">
        <f>15.9649 * CHOOSE(CONTROL!$C$26, $C$13, 100%, $E$13)</f>
        <v>15.9649</v>
      </c>
      <c r="D945" s="66">
        <f>15.9704 * CHOOSE(CONTROL!$C$26, $C$13, 100%, $E$13)</f>
        <v>15.9704</v>
      </c>
      <c r="E945" s="67">
        <f>18.351 * CHOOSE(CONTROL!$C$26, $C$13, 100%, $E$13)</f>
        <v>18.350999999999999</v>
      </c>
      <c r="F945" s="67">
        <f>18.351 * CHOOSE(CONTROL!$C$26, $C$13, 100%, $E$13)</f>
        <v>18.350999999999999</v>
      </c>
      <c r="G945" s="67">
        <f>18.3577 * CHOOSE(CONTROL!$C$26, $C$13, 100%, $E$13)</f>
        <v>18.357700000000001</v>
      </c>
      <c r="H945" s="67">
        <f>33.8386* CHOOSE(CONTROL!$C$26, $C$13, 100%, $E$13)</f>
        <v>33.8386</v>
      </c>
      <c r="I945" s="67">
        <f>33.8454 * CHOOSE(CONTROL!$C$26, $C$13, 100%, $E$13)</f>
        <v>33.845399999999998</v>
      </c>
      <c r="J945" s="67">
        <f>18.351 * CHOOSE(CONTROL!$C$26, $C$13, 100%, $E$13)</f>
        <v>18.350999999999999</v>
      </c>
      <c r="K945" s="67">
        <f>18.3577 * CHOOSE(CONTROL!$C$26, $C$13, 100%, $E$13)</f>
        <v>18.357700000000001</v>
      </c>
    </row>
    <row r="946" spans="1:11" ht="15">
      <c r="A946" s="13">
        <v>69915</v>
      </c>
      <c r="B946" s="66">
        <f>15.971 * CHOOSE(CONTROL!$C$26, $C$13, 100%, $E$13)</f>
        <v>15.971</v>
      </c>
      <c r="C946" s="66">
        <f>15.971 * CHOOSE(CONTROL!$C$26, $C$13, 100%, $E$13)</f>
        <v>15.971</v>
      </c>
      <c r="D946" s="66">
        <f>15.9765 * CHOOSE(CONTROL!$C$26, $C$13, 100%, $E$13)</f>
        <v>15.9765</v>
      </c>
      <c r="E946" s="67">
        <f>18.2523 * CHOOSE(CONTROL!$C$26, $C$13, 100%, $E$13)</f>
        <v>18.252300000000002</v>
      </c>
      <c r="F946" s="67">
        <f>18.2523 * CHOOSE(CONTROL!$C$26, $C$13, 100%, $E$13)</f>
        <v>18.252300000000002</v>
      </c>
      <c r="G946" s="67">
        <f>18.2591 * CHOOSE(CONTROL!$C$26, $C$13, 100%, $E$13)</f>
        <v>18.2591</v>
      </c>
      <c r="H946" s="67">
        <f>33.9091* CHOOSE(CONTROL!$C$26, $C$13, 100%, $E$13)</f>
        <v>33.909100000000002</v>
      </c>
      <c r="I946" s="67">
        <f>33.9159 * CHOOSE(CONTROL!$C$26, $C$13, 100%, $E$13)</f>
        <v>33.915900000000001</v>
      </c>
      <c r="J946" s="67">
        <f>18.2523 * CHOOSE(CONTROL!$C$26, $C$13, 100%, $E$13)</f>
        <v>18.252300000000002</v>
      </c>
      <c r="K946" s="67">
        <f>18.2591 * CHOOSE(CONTROL!$C$26, $C$13, 100%, $E$13)</f>
        <v>18.2591</v>
      </c>
    </row>
    <row r="947" spans="1:11" ht="15">
      <c r="A947" s="13">
        <v>69945</v>
      </c>
      <c r="B947" s="66">
        <f>16.2119 * CHOOSE(CONTROL!$C$26, $C$13, 100%, $E$13)</f>
        <v>16.2119</v>
      </c>
      <c r="C947" s="66">
        <f>16.2119 * CHOOSE(CONTROL!$C$26, $C$13, 100%, $E$13)</f>
        <v>16.2119</v>
      </c>
      <c r="D947" s="66">
        <f>16.2174 * CHOOSE(CONTROL!$C$26, $C$13, 100%, $E$13)</f>
        <v>16.217400000000001</v>
      </c>
      <c r="E947" s="67">
        <f>18.5411 * CHOOSE(CONTROL!$C$26, $C$13, 100%, $E$13)</f>
        <v>18.5411</v>
      </c>
      <c r="F947" s="67">
        <f>18.5411 * CHOOSE(CONTROL!$C$26, $C$13, 100%, $E$13)</f>
        <v>18.5411</v>
      </c>
      <c r="G947" s="67">
        <f>18.5478 * CHOOSE(CONTROL!$C$26, $C$13, 100%, $E$13)</f>
        <v>18.547799999999999</v>
      </c>
      <c r="H947" s="67">
        <f>33.9798* CHOOSE(CONTROL!$C$26, $C$13, 100%, $E$13)</f>
        <v>33.979799999999997</v>
      </c>
      <c r="I947" s="67">
        <f>33.9865 * CHOOSE(CONTROL!$C$26, $C$13, 100%, $E$13)</f>
        <v>33.986499999999999</v>
      </c>
      <c r="J947" s="67">
        <f>18.5411 * CHOOSE(CONTROL!$C$26, $C$13, 100%, $E$13)</f>
        <v>18.5411</v>
      </c>
      <c r="K947" s="67">
        <f>18.5478 * CHOOSE(CONTROL!$C$26, $C$13, 100%, $E$13)</f>
        <v>18.547799999999999</v>
      </c>
    </row>
    <row r="948" spans="1:11" ht="15">
      <c r="A948" s="13">
        <v>69976</v>
      </c>
      <c r="B948" s="66">
        <f>16.2185 * CHOOSE(CONTROL!$C$26, $C$13, 100%, $E$13)</f>
        <v>16.218499999999999</v>
      </c>
      <c r="C948" s="66">
        <f>16.2185 * CHOOSE(CONTROL!$C$26, $C$13, 100%, $E$13)</f>
        <v>16.218499999999999</v>
      </c>
      <c r="D948" s="66">
        <f>16.224 * CHOOSE(CONTROL!$C$26, $C$13, 100%, $E$13)</f>
        <v>16.224</v>
      </c>
      <c r="E948" s="67">
        <f>18.237 * CHOOSE(CONTROL!$C$26, $C$13, 100%, $E$13)</f>
        <v>18.236999999999998</v>
      </c>
      <c r="F948" s="67">
        <f>18.237 * CHOOSE(CONTROL!$C$26, $C$13, 100%, $E$13)</f>
        <v>18.236999999999998</v>
      </c>
      <c r="G948" s="67">
        <f>18.2438 * CHOOSE(CONTROL!$C$26, $C$13, 100%, $E$13)</f>
        <v>18.2438</v>
      </c>
      <c r="H948" s="67">
        <f>34.0506* CHOOSE(CONTROL!$C$26, $C$13, 100%, $E$13)</f>
        <v>34.050600000000003</v>
      </c>
      <c r="I948" s="67">
        <f>34.0573 * CHOOSE(CONTROL!$C$26, $C$13, 100%, $E$13)</f>
        <v>34.057299999999998</v>
      </c>
      <c r="J948" s="67">
        <f>18.237 * CHOOSE(CONTROL!$C$26, $C$13, 100%, $E$13)</f>
        <v>18.236999999999998</v>
      </c>
      <c r="K948" s="67">
        <f>18.2438 * CHOOSE(CONTROL!$C$26, $C$13, 100%, $E$13)</f>
        <v>18.2438</v>
      </c>
    </row>
    <row r="949" spans="1:11" ht="15">
      <c r="A949" s="13">
        <v>70007</v>
      </c>
      <c r="B949" s="66">
        <f>16.2155 * CHOOSE(CONTROL!$C$26, $C$13, 100%, $E$13)</f>
        <v>16.215499999999999</v>
      </c>
      <c r="C949" s="66">
        <f>16.2155 * CHOOSE(CONTROL!$C$26, $C$13, 100%, $E$13)</f>
        <v>16.215499999999999</v>
      </c>
      <c r="D949" s="66">
        <f>16.221 * CHOOSE(CONTROL!$C$26, $C$13, 100%, $E$13)</f>
        <v>16.221</v>
      </c>
      <c r="E949" s="67">
        <f>18.2006 * CHOOSE(CONTROL!$C$26, $C$13, 100%, $E$13)</f>
        <v>18.200600000000001</v>
      </c>
      <c r="F949" s="67">
        <f>18.2006 * CHOOSE(CONTROL!$C$26, $C$13, 100%, $E$13)</f>
        <v>18.200600000000001</v>
      </c>
      <c r="G949" s="67">
        <f>18.2074 * CHOOSE(CONTROL!$C$26, $C$13, 100%, $E$13)</f>
        <v>18.2074</v>
      </c>
      <c r="H949" s="67">
        <f>34.1215* CHOOSE(CONTROL!$C$26, $C$13, 100%, $E$13)</f>
        <v>34.121499999999997</v>
      </c>
      <c r="I949" s="67">
        <f>34.1282 * CHOOSE(CONTROL!$C$26, $C$13, 100%, $E$13)</f>
        <v>34.1282</v>
      </c>
      <c r="J949" s="67">
        <f>18.2006 * CHOOSE(CONTROL!$C$26, $C$13, 100%, $E$13)</f>
        <v>18.200600000000001</v>
      </c>
      <c r="K949" s="67">
        <f>18.2074 * CHOOSE(CONTROL!$C$26, $C$13, 100%, $E$13)</f>
        <v>18.2074</v>
      </c>
    </row>
    <row r="950" spans="1:11" ht="15">
      <c r="A950" s="13">
        <v>70037</v>
      </c>
      <c r="B950" s="66">
        <f>16.2498 * CHOOSE(CONTROL!$C$26, $C$13, 100%, $E$13)</f>
        <v>16.2498</v>
      </c>
      <c r="C950" s="66">
        <f>16.2498 * CHOOSE(CONTROL!$C$26, $C$13, 100%, $E$13)</f>
        <v>16.2498</v>
      </c>
      <c r="D950" s="66">
        <f>16.2537 * CHOOSE(CONTROL!$C$26, $C$13, 100%, $E$13)</f>
        <v>16.253699999999998</v>
      </c>
      <c r="E950" s="67">
        <f>18.3244 * CHOOSE(CONTROL!$C$26, $C$13, 100%, $E$13)</f>
        <v>18.324400000000001</v>
      </c>
      <c r="F950" s="67">
        <f>18.3244 * CHOOSE(CONTROL!$C$26, $C$13, 100%, $E$13)</f>
        <v>18.324400000000001</v>
      </c>
      <c r="G950" s="67">
        <f>18.3292 * CHOOSE(CONTROL!$C$26, $C$13, 100%, $E$13)</f>
        <v>18.3292</v>
      </c>
      <c r="H950" s="67">
        <f>34.1926* CHOOSE(CONTROL!$C$26, $C$13, 100%, $E$13)</f>
        <v>34.192599999999999</v>
      </c>
      <c r="I950" s="67">
        <f>34.1974 * CHOOSE(CONTROL!$C$26, $C$13, 100%, $E$13)</f>
        <v>34.197400000000002</v>
      </c>
      <c r="J950" s="67">
        <f>18.3244 * CHOOSE(CONTROL!$C$26, $C$13, 100%, $E$13)</f>
        <v>18.324400000000001</v>
      </c>
      <c r="K950" s="67">
        <f>18.3292 * CHOOSE(CONTROL!$C$26, $C$13, 100%, $E$13)</f>
        <v>18.3292</v>
      </c>
    </row>
    <row r="951" spans="1:11" ht="15">
      <c r="A951" s="13">
        <v>70068</v>
      </c>
      <c r="B951" s="66">
        <f>16.2529 * CHOOSE(CONTROL!$C$26, $C$13, 100%, $E$13)</f>
        <v>16.2529</v>
      </c>
      <c r="C951" s="66">
        <f>16.2529 * CHOOSE(CONTROL!$C$26, $C$13, 100%, $E$13)</f>
        <v>16.2529</v>
      </c>
      <c r="D951" s="66">
        <f>16.2567 * CHOOSE(CONTROL!$C$26, $C$13, 100%, $E$13)</f>
        <v>16.256699999999999</v>
      </c>
      <c r="E951" s="67">
        <f>18.3951 * CHOOSE(CONTROL!$C$26, $C$13, 100%, $E$13)</f>
        <v>18.395099999999999</v>
      </c>
      <c r="F951" s="67">
        <f>18.3951 * CHOOSE(CONTROL!$C$26, $C$13, 100%, $E$13)</f>
        <v>18.395099999999999</v>
      </c>
      <c r="G951" s="67">
        <f>18.3999 * CHOOSE(CONTROL!$C$26, $C$13, 100%, $E$13)</f>
        <v>18.399899999999999</v>
      </c>
      <c r="H951" s="67">
        <f>34.2638* CHOOSE(CONTROL!$C$26, $C$13, 100%, $E$13)</f>
        <v>34.263800000000003</v>
      </c>
      <c r="I951" s="67">
        <f>34.2686 * CHOOSE(CONTROL!$C$26, $C$13, 100%, $E$13)</f>
        <v>34.268599999999999</v>
      </c>
      <c r="J951" s="67">
        <f>18.3951 * CHOOSE(CONTROL!$C$26, $C$13, 100%, $E$13)</f>
        <v>18.395099999999999</v>
      </c>
      <c r="K951" s="67">
        <f>18.3999 * CHOOSE(CONTROL!$C$26, $C$13, 100%, $E$13)</f>
        <v>18.399899999999999</v>
      </c>
    </row>
    <row r="952" spans="1:11" ht="15">
      <c r="A952" s="13">
        <v>70098</v>
      </c>
      <c r="B952" s="66">
        <f>16.2529 * CHOOSE(CONTROL!$C$26, $C$13, 100%, $E$13)</f>
        <v>16.2529</v>
      </c>
      <c r="C952" s="66">
        <f>16.2529 * CHOOSE(CONTROL!$C$26, $C$13, 100%, $E$13)</f>
        <v>16.2529</v>
      </c>
      <c r="D952" s="66">
        <f>16.2567 * CHOOSE(CONTROL!$C$26, $C$13, 100%, $E$13)</f>
        <v>16.256699999999999</v>
      </c>
      <c r="E952" s="67">
        <f>18.2236 * CHOOSE(CONTROL!$C$26, $C$13, 100%, $E$13)</f>
        <v>18.223600000000001</v>
      </c>
      <c r="F952" s="67">
        <f>18.2236 * CHOOSE(CONTROL!$C$26, $C$13, 100%, $E$13)</f>
        <v>18.223600000000001</v>
      </c>
      <c r="G952" s="67">
        <f>18.2284 * CHOOSE(CONTROL!$C$26, $C$13, 100%, $E$13)</f>
        <v>18.228400000000001</v>
      </c>
      <c r="H952" s="67">
        <f>34.3352* CHOOSE(CONTROL!$C$26, $C$13, 100%, $E$13)</f>
        <v>34.3352</v>
      </c>
      <c r="I952" s="67">
        <f>34.34 * CHOOSE(CONTROL!$C$26, $C$13, 100%, $E$13)</f>
        <v>34.340000000000003</v>
      </c>
      <c r="J952" s="67">
        <f>18.2236 * CHOOSE(CONTROL!$C$26, $C$13, 100%, $E$13)</f>
        <v>18.223600000000001</v>
      </c>
      <c r="K952" s="67">
        <f>18.2284 * CHOOSE(CONTROL!$C$26, $C$13, 100%, $E$13)</f>
        <v>18.228400000000001</v>
      </c>
    </row>
    <row r="953" spans="1:11" ht="15">
      <c r="A953" s="13">
        <v>70129</v>
      </c>
      <c r="B953" s="66">
        <f>16.1989 * CHOOSE(CONTROL!$C$26, $C$13, 100%, $E$13)</f>
        <v>16.198899999999998</v>
      </c>
      <c r="C953" s="66">
        <f>16.1989 * CHOOSE(CONTROL!$C$26, $C$13, 100%, $E$13)</f>
        <v>16.198899999999998</v>
      </c>
      <c r="D953" s="66">
        <f>16.2027 * CHOOSE(CONTROL!$C$26, $C$13, 100%, $E$13)</f>
        <v>16.2027</v>
      </c>
      <c r="E953" s="67">
        <f>18.3055 * CHOOSE(CONTROL!$C$26, $C$13, 100%, $E$13)</f>
        <v>18.305499999999999</v>
      </c>
      <c r="F953" s="67">
        <f>18.3055 * CHOOSE(CONTROL!$C$26, $C$13, 100%, $E$13)</f>
        <v>18.305499999999999</v>
      </c>
      <c r="G953" s="67">
        <f>18.3103 * CHOOSE(CONTROL!$C$26, $C$13, 100%, $E$13)</f>
        <v>18.310300000000002</v>
      </c>
      <c r="H953" s="67">
        <f>34.0407* CHOOSE(CONTROL!$C$26, $C$13, 100%, $E$13)</f>
        <v>34.040700000000001</v>
      </c>
      <c r="I953" s="67">
        <f>34.0454 * CHOOSE(CONTROL!$C$26, $C$13, 100%, $E$13)</f>
        <v>34.045400000000001</v>
      </c>
      <c r="J953" s="67">
        <f>18.3055 * CHOOSE(CONTROL!$C$26, $C$13, 100%, $E$13)</f>
        <v>18.305499999999999</v>
      </c>
      <c r="K953" s="67">
        <f>18.3103 * CHOOSE(CONTROL!$C$26, $C$13, 100%, $E$13)</f>
        <v>18.310300000000002</v>
      </c>
    </row>
    <row r="954" spans="1:11" ht="15">
      <c r="A954" s="13">
        <v>70160</v>
      </c>
      <c r="B954" s="66">
        <f>16.1958 * CHOOSE(CONTROL!$C$26, $C$13, 100%, $E$13)</f>
        <v>16.195799999999998</v>
      </c>
      <c r="C954" s="66">
        <f>16.1958 * CHOOSE(CONTROL!$C$26, $C$13, 100%, $E$13)</f>
        <v>16.195799999999998</v>
      </c>
      <c r="D954" s="66">
        <f>16.1997 * CHOOSE(CONTROL!$C$26, $C$13, 100%, $E$13)</f>
        <v>16.1997</v>
      </c>
      <c r="E954" s="67">
        <f>17.9743 * CHOOSE(CONTROL!$C$26, $C$13, 100%, $E$13)</f>
        <v>17.974299999999999</v>
      </c>
      <c r="F954" s="67">
        <f>17.9743 * CHOOSE(CONTROL!$C$26, $C$13, 100%, $E$13)</f>
        <v>17.974299999999999</v>
      </c>
      <c r="G954" s="67">
        <f>17.9791 * CHOOSE(CONTROL!$C$26, $C$13, 100%, $E$13)</f>
        <v>17.979099999999999</v>
      </c>
      <c r="H954" s="67">
        <f>34.1116* CHOOSE(CONTROL!$C$26, $C$13, 100%, $E$13)</f>
        <v>34.111600000000003</v>
      </c>
      <c r="I954" s="67">
        <f>34.1163 * CHOOSE(CONTROL!$C$26, $C$13, 100%, $E$13)</f>
        <v>34.116300000000003</v>
      </c>
      <c r="J954" s="67">
        <f>17.9743 * CHOOSE(CONTROL!$C$26, $C$13, 100%, $E$13)</f>
        <v>17.974299999999999</v>
      </c>
      <c r="K954" s="67">
        <f>17.9791 * CHOOSE(CONTROL!$C$26, $C$13, 100%, $E$13)</f>
        <v>17.979099999999999</v>
      </c>
    </row>
    <row r="955" spans="1:11" ht="15">
      <c r="A955" s="13">
        <v>70189</v>
      </c>
      <c r="B955" s="66">
        <f>16.1928 * CHOOSE(CONTROL!$C$26, $C$13, 100%, $E$13)</f>
        <v>16.192799999999998</v>
      </c>
      <c r="C955" s="66">
        <f>16.1928 * CHOOSE(CONTROL!$C$26, $C$13, 100%, $E$13)</f>
        <v>16.192799999999998</v>
      </c>
      <c r="D955" s="66">
        <f>16.1967 * CHOOSE(CONTROL!$C$26, $C$13, 100%, $E$13)</f>
        <v>16.1967</v>
      </c>
      <c r="E955" s="67">
        <f>18.2316 * CHOOSE(CONTROL!$C$26, $C$13, 100%, $E$13)</f>
        <v>18.2316</v>
      </c>
      <c r="F955" s="67">
        <f>18.2316 * CHOOSE(CONTROL!$C$26, $C$13, 100%, $E$13)</f>
        <v>18.2316</v>
      </c>
      <c r="G955" s="67">
        <f>18.2364 * CHOOSE(CONTROL!$C$26, $C$13, 100%, $E$13)</f>
        <v>18.2364</v>
      </c>
      <c r="H955" s="67">
        <f>34.1826* CHOOSE(CONTROL!$C$26, $C$13, 100%, $E$13)</f>
        <v>34.182600000000001</v>
      </c>
      <c r="I955" s="67">
        <f>34.1874 * CHOOSE(CONTROL!$C$26, $C$13, 100%, $E$13)</f>
        <v>34.187399999999997</v>
      </c>
      <c r="J955" s="67">
        <f>18.2316 * CHOOSE(CONTROL!$C$26, $C$13, 100%, $E$13)</f>
        <v>18.2316</v>
      </c>
      <c r="K955" s="67">
        <f>18.2364 * CHOOSE(CONTROL!$C$26, $C$13, 100%, $E$13)</f>
        <v>18.2364</v>
      </c>
    </row>
    <row r="956" spans="1:11" ht="15">
      <c r="A956" s="13">
        <v>70220</v>
      </c>
      <c r="B956" s="66">
        <f>16.2006 * CHOOSE(CONTROL!$C$26, $C$13, 100%, $E$13)</f>
        <v>16.200600000000001</v>
      </c>
      <c r="C956" s="66">
        <f>16.2006 * CHOOSE(CONTROL!$C$26, $C$13, 100%, $E$13)</f>
        <v>16.200600000000001</v>
      </c>
      <c r="D956" s="66">
        <f>16.2045 * CHOOSE(CONTROL!$C$26, $C$13, 100%, $E$13)</f>
        <v>16.204499999999999</v>
      </c>
      <c r="E956" s="67">
        <f>18.5059 * CHOOSE(CONTROL!$C$26, $C$13, 100%, $E$13)</f>
        <v>18.5059</v>
      </c>
      <c r="F956" s="67">
        <f>18.5059 * CHOOSE(CONTROL!$C$26, $C$13, 100%, $E$13)</f>
        <v>18.5059</v>
      </c>
      <c r="G956" s="67">
        <f>18.5107 * CHOOSE(CONTROL!$C$26, $C$13, 100%, $E$13)</f>
        <v>18.5107</v>
      </c>
      <c r="H956" s="67">
        <f>34.2539* CHOOSE(CONTROL!$C$26, $C$13, 100%, $E$13)</f>
        <v>34.253900000000002</v>
      </c>
      <c r="I956" s="67">
        <f>34.2586 * CHOOSE(CONTROL!$C$26, $C$13, 100%, $E$13)</f>
        <v>34.258600000000001</v>
      </c>
      <c r="J956" s="67">
        <f>18.5059 * CHOOSE(CONTROL!$C$26, $C$13, 100%, $E$13)</f>
        <v>18.5059</v>
      </c>
      <c r="K956" s="67">
        <f>18.5107 * CHOOSE(CONTROL!$C$26, $C$13, 100%, $E$13)</f>
        <v>18.5107</v>
      </c>
    </row>
    <row r="957" spans="1:11" ht="15">
      <c r="A957" s="13">
        <v>70250</v>
      </c>
      <c r="B957" s="66">
        <f>16.2006 * CHOOSE(CONTROL!$C$26, $C$13, 100%, $E$13)</f>
        <v>16.200600000000001</v>
      </c>
      <c r="C957" s="66">
        <f>16.2006 * CHOOSE(CONTROL!$C$26, $C$13, 100%, $E$13)</f>
        <v>16.200600000000001</v>
      </c>
      <c r="D957" s="66">
        <f>16.2061 * CHOOSE(CONTROL!$C$26, $C$13, 100%, $E$13)</f>
        <v>16.206099999999999</v>
      </c>
      <c r="E957" s="67">
        <f>18.6104 * CHOOSE(CONTROL!$C$26, $C$13, 100%, $E$13)</f>
        <v>18.610399999999998</v>
      </c>
      <c r="F957" s="67">
        <f>18.6104 * CHOOSE(CONTROL!$C$26, $C$13, 100%, $E$13)</f>
        <v>18.610399999999998</v>
      </c>
      <c r="G957" s="67">
        <f>18.6171 * CHOOSE(CONTROL!$C$26, $C$13, 100%, $E$13)</f>
        <v>18.617100000000001</v>
      </c>
      <c r="H957" s="67">
        <f>34.3252* CHOOSE(CONTROL!$C$26, $C$13, 100%, $E$13)</f>
        <v>34.325200000000002</v>
      </c>
      <c r="I957" s="67">
        <f>34.332 * CHOOSE(CONTROL!$C$26, $C$13, 100%, $E$13)</f>
        <v>34.332000000000001</v>
      </c>
      <c r="J957" s="67">
        <f>18.6104 * CHOOSE(CONTROL!$C$26, $C$13, 100%, $E$13)</f>
        <v>18.610399999999998</v>
      </c>
      <c r="K957" s="67">
        <f>18.6171 * CHOOSE(CONTROL!$C$26, $C$13, 100%, $E$13)</f>
        <v>18.617100000000001</v>
      </c>
    </row>
    <row r="958" spans="1:11" ht="15">
      <c r="A958" s="13">
        <v>70281</v>
      </c>
      <c r="B958" s="66">
        <f>16.2067 * CHOOSE(CONTROL!$C$26, $C$13, 100%, $E$13)</f>
        <v>16.206700000000001</v>
      </c>
      <c r="C958" s="66">
        <f>16.2067 * CHOOSE(CONTROL!$C$26, $C$13, 100%, $E$13)</f>
        <v>16.206700000000001</v>
      </c>
      <c r="D958" s="66">
        <f>16.2122 * CHOOSE(CONTROL!$C$26, $C$13, 100%, $E$13)</f>
        <v>16.212199999999999</v>
      </c>
      <c r="E958" s="67">
        <f>18.5102 * CHOOSE(CONTROL!$C$26, $C$13, 100%, $E$13)</f>
        <v>18.510200000000001</v>
      </c>
      <c r="F958" s="67">
        <f>18.5102 * CHOOSE(CONTROL!$C$26, $C$13, 100%, $E$13)</f>
        <v>18.510200000000001</v>
      </c>
      <c r="G958" s="67">
        <f>18.5169 * CHOOSE(CONTROL!$C$26, $C$13, 100%, $E$13)</f>
        <v>18.5169</v>
      </c>
      <c r="H958" s="67">
        <f>34.3967* CHOOSE(CONTROL!$C$26, $C$13, 100%, $E$13)</f>
        <v>34.396700000000003</v>
      </c>
      <c r="I958" s="67">
        <f>34.4035 * CHOOSE(CONTROL!$C$26, $C$13, 100%, $E$13)</f>
        <v>34.403500000000001</v>
      </c>
      <c r="J958" s="67">
        <f>18.5102 * CHOOSE(CONTROL!$C$26, $C$13, 100%, $E$13)</f>
        <v>18.510200000000001</v>
      </c>
      <c r="K958" s="67">
        <f>18.5169 * CHOOSE(CONTROL!$C$26, $C$13, 100%, $E$13)</f>
        <v>18.5169</v>
      </c>
    </row>
    <row r="959" spans="1:11" ht="15">
      <c r="A959" s="13">
        <v>70311</v>
      </c>
      <c r="B959" s="66">
        <f>16.451 * CHOOSE(CONTROL!$C$26, $C$13, 100%, $E$13)</f>
        <v>16.451000000000001</v>
      </c>
      <c r="C959" s="66">
        <f>16.451 * CHOOSE(CONTROL!$C$26, $C$13, 100%, $E$13)</f>
        <v>16.451000000000001</v>
      </c>
      <c r="D959" s="66">
        <f>16.4565 * CHOOSE(CONTROL!$C$26, $C$13, 100%, $E$13)</f>
        <v>16.456499999999998</v>
      </c>
      <c r="E959" s="67">
        <f>18.8029 * CHOOSE(CONTROL!$C$26, $C$13, 100%, $E$13)</f>
        <v>18.802900000000001</v>
      </c>
      <c r="F959" s="67">
        <f>18.8029 * CHOOSE(CONTROL!$C$26, $C$13, 100%, $E$13)</f>
        <v>18.802900000000001</v>
      </c>
      <c r="G959" s="67">
        <f>18.8096 * CHOOSE(CONTROL!$C$26, $C$13, 100%, $E$13)</f>
        <v>18.8096</v>
      </c>
      <c r="H959" s="67">
        <f>34.4684* CHOOSE(CONTROL!$C$26, $C$13, 100%, $E$13)</f>
        <v>34.468400000000003</v>
      </c>
      <c r="I959" s="67">
        <f>34.4751 * CHOOSE(CONTROL!$C$26, $C$13, 100%, $E$13)</f>
        <v>34.475099999999998</v>
      </c>
      <c r="J959" s="67">
        <f>18.8029 * CHOOSE(CONTROL!$C$26, $C$13, 100%, $E$13)</f>
        <v>18.802900000000001</v>
      </c>
      <c r="K959" s="67">
        <f>18.8096 * CHOOSE(CONTROL!$C$26, $C$13, 100%, $E$13)</f>
        <v>18.8096</v>
      </c>
    </row>
    <row r="960" spans="1:11" ht="15">
      <c r="A960" s="13">
        <v>70342</v>
      </c>
      <c r="B960" s="66">
        <f>16.4577 * CHOOSE(CONTROL!$C$26, $C$13, 100%, $E$13)</f>
        <v>16.457699999999999</v>
      </c>
      <c r="C960" s="66">
        <f>16.4577 * CHOOSE(CONTROL!$C$26, $C$13, 100%, $E$13)</f>
        <v>16.457699999999999</v>
      </c>
      <c r="D960" s="66">
        <f>16.4632 * CHOOSE(CONTROL!$C$26, $C$13, 100%, $E$13)</f>
        <v>16.463200000000001</v>
      </c>
      <c r="E960" s="67">
        <f>18.4941 * CHOOSE(CONTROL!$C$26, $C$13, 100%, $E$13)</f>
        <v>18.4941</v>
      </c>
      <c r="F960" s="67">
        <f>18.4941 * CHOOSE(CONTROL!$C$26, $C$13, 100%, $E$13)</f>
        <v>18.4941</v>
      </c>
      <c r="G960" s="67">
        <f>18.5008 * CHOOSE(CONTROL!$C$26, $C$13, 100%, $E$13)</f>
        <v>18.500800000000002</v>
      </c>
      <c r="H960" s="67">
        <f>34.5402* CHOOSE(CONTROL!$C$26, $C$13, 100%, $E$13)</f>
        <v>34.540199999999999</v>
      </c>
      <c r="I960" s="67">
        <f>34.5469 * CHOOSE(CONTROL!$C$26, $C$13, 100%, $E$13)</f>
        <v>34.546900000000001</v>
      </c>
      <c r="J960" s="67">
        <f>18.4941 * CHOOSE(CONTROL!$C$26, $C$13, 100%, $E$13)</f>
        <v>18.4941</v>
      </c>
      <c r="K960" s="67">
        <f>18.5008 * CHOOSE(CONTROL!$C$26, $C$13, 100%, $E$13)</f>
        <v>18.500800000000002</v>
      </c>
    </row>
    <row r="961" spans="1:11" ht="15">
      <c r="A961" s="13">
        <v>70373</v>
      </c>
      <c r="B961" s="66">
        <f>16.4547 * CHOOSE(CONTROL!$C$26, $C$13, 100%, $E$13)</f>
        <v>16.454699999999999</v>
      </c>
      <c r="C961" s="66">
        <f>16.4547 * CHOOSE(CONTROL!$C$26, $C$13, 100%, $E$13)</f>
        <v>16.454699999999999</v>
      </c>
      <c r="D961" s="66">
        <f>16.4602 * CHOOSE(CONTROL!$C$26, $C$13, 100%, $E$13)</f>
        <v>16.4602</v>
      </c>
      <c r="E961" s="67">
        <f>18.4572 * CHOOSE(CONTROL!$C$26, $C$13, 100%, $E$13)</f>
        <v>18.4572</v>
      </c>
      <c r="F961" s="67">
        <f>18.4572 * CHOOSE(CONTROL!$C$26, $C$13, 100%, $E$13)</f>
        <v>18.4572</v>
      </c>
      <c r="G961" s="67">
        <f>18.4639 * CHOOSE(CONTROL!$C$26, $C$13, 100%, $E$13)</f>
        <v>18.463899999999999</v>
      </c>
      <c r="H961" s="67">
        <f>34.6122* CHOOSE(CONTROL!$C$26, $C$13, 100%, $E$13)</f>
        <v>34.612200000000001</v>
      </c>
      <c r="I961" s="67">
        <f>34.6189 * CHOOSE(CONTROL!$C$26, $C$13, 100%, $E$13)</f>
        <v>34.618899999999996</v>
      </c>
      <c r="J961" s="67">
        <f>18.4572 * CHOOSE(CONTROL!$C$26, $C$13, 100%, $E$13)</f>
        <v>18.4572</v>
      </c>
      <c r="K961" s="67">
        <f>18.4639 * CHOOSE(CONTROL!$C$26, $C$13, 100%, $E$13)</f>
        <v>18.463899999999999</v>
      </c>
    </row>
    <row r="962" spans="1:11" ht="15">
      <c r="A962" s="13">
        <v>70403</v>
      </c>
      <c r="B962" s="66">
        <f>16.4898 * CHOOSE(CONTROL!$C$26, $C$13, 100%, $E$13)</f>
        <v>16.489799999999999</v>
      </c>
      <c r="C962" s="66">
        <f>16.4898 * CHOOSE(CONTROL!$C$26, $C$13, 100%, $E$13)</f>
        <v>16.489799999999999</v>
      </c>
      <c r="D962" s="66">
        <f>16.4936 * CHOOSE(CONTROL!$C$26, $C$13, 100%, $E$13)</f>
        <v>16.493600000000001</v>
      </c>
      <c r="E962" s="67">
        <f>18.583 * CHOOSE(CONTROL!$C$26, $C$13, 100%, $E$13)</f>
        <v>18.582999999999998</v>
      </c>
      <c r="F962" s="67">
        <f>18.583 * CHOOSE(CONTROL!$C$26, $C$13, 100%, $E$13)</f>
        <v>18.582999999999998</v>
      </c>
      <c r="G962" s="67">
        <f>18.5878 * CHOOSE(CONTROL!$C$26, $C$13, 100%, $E$13)</f>
        <v>18.587800000000001</v>
      </c>
      <c r="H962" s="67">
        <f>34.6843* CHOOSE(CONTROL!$C$26, $C$13, 100%, $E$13)</f>
        <v>34.6843</v>
      </c>
      <c r="I962" s="67">
        <f>34.689 * CHOOSE(CONTROL!$C$26, $C$13, 100%, $E$13)</f>
        <v>34.689</v>
      </c>
      <c r="J962" s="67">
        <f>18.583 * CHOOSE(CONTROL!$C$26, $C$13, 100%, $E$13)</f>
        <v>18.582999999999998</v>
      </c>
      <c r="K962" s="67">
        <f>18.5878 * CHOOSE(CONTROL!$C$26, $C$13, 100%, $E$13)</f>
        <v>18.587800000000001</v>
      </c>
    </row>
    <row r="963" spans="1:11" ht="15">
      <c r="A963" s="13">
        <v>70434</v>
      </c>
      <c r="B963" s="66">
        <f>16.4928 * CHOOSE(CONTROL!$C$26, $C$13, 100%, $E$13)</f>
        <v>16.492799999999999</v>
      </c>
      <c r="C963" s="66">
        <f>16.4928 * CHOOSE(CONTROL!$C$26, $C$13, 100%, $E$13)</f>
        <v>16.492799999999999</v>
      </c>
      <c r="D963" s="66">
        <f>16.4967 * CHOOSE(CONTROL!$C$26, $C$13, 100%, $E$13)</f>
        <v>16.496700000000001</v>
      </c>
      <c r="E963" s="67">
        <f>18.6548 * CHOOSE(CONTROL!$C$26, $C$13, 100%, $E$13)</f>
        <v>18.654800000000002</v>
      </c>
      <c r="F963" s="67">
        <f>18.6548 * CHOOSE(CONTROL!$C$26, $C$13, 100%, $E$13)</f>
        <v>18.654800000000002</v>
      </c>
      <c r="G963" s="67">
        <f>18.6596 * CHOOSE(CONTROL!$C$26, $C$13, 100%, $E$13)</f>
        <v>18.659600000000001</v>
      </c>
      <c r="H963" s="67">
        <f>34.7565* CHOOSE(CONTROL!$C$26, $C$13, 100%, $E$13)</f>
        <v>34.756500000000003</v>
      </c>
      <c r="I963" s="67">
        <f>34.7613 * CHOOSE(CONTROL!$C$26, $C$13, 100%, $E$13)</f>
        <v>34.761299999999999</v>
      </c>
      <c r="J963" s="67">
        <f>18.6548 * CHOOSE(CONTROL!$C$26, $C$13, 100%, $E$13)</f>
        <v>18.654800000000002</v>
      </c>
      <c r="K963" s="67">
        <f>18.6596 * CHOOSE(CONTROL!$C$26, $C$13, 100%, $E$13)</f>
        <v>18.659600000000001</v>
      </c>
    </row>
    <row r="964" spans="1:11" ht="15">
      <c r="A964" s="13">
        <v>70464</v>
      </c>
      <c r="B964" s="66">
        <f>16.4928 * CHOOSE(CONTROL!$C$26, $C$13, 100%, $E$13)</f>
        <v>16.492799999999999</v>
      </c>
      <c r="C964" s="66">
        <f>16.4928 * CHOOSE(CONTROL!$C$26, $C$13, 100%, $E$13)</f>
        <v>16.492799999999999</v>
      </c>
      <c r="D964" s="66">
        <f>16.4967 * CHOOSE(CONTROL!$C$26, $C$13, 100%, $E$13)</f>
        <v>16.496700000000001</v>
      </c>
      <c r="E964" s="67">
        <f>18.4807 * CHOOSE(CONTROL!$C$26, $C$13, 100%, $E$13)</f>
        <v>18.480699999999999</v>
      </c>
      <c r="F964" s="67">
        <f>18.4807 * CHOOSE(CONTROL!$C$26, $C$13, 100%, $E$13)</f>
        <v>18.480699999999999</v>
      </c>
      <c r="G964" s="67">
        <f>18.4855 * CHOOSE(CONTROL!$C$26, $C$13, 100%, $E$13)</f>
        <v>18.485499999999998</v>
      </c>
      <c r="H964" s="67">
        <f>34.8289* CHOOSE(CONTROL!$C$26, $C$13, 100%, $E$13)</f>
        <v>34.828899999999997</v>
      </c>
      <c r="I964" s="67">
        <f>34.8337 * CHOOSE(CONTROL!$C$26, $C$13, 100%, $E$13)</f>
        <v>34.8337</v>
      </c>
      <c r="J964" s="67">
        <f>18.4807 * CHOOSE(CONTROL!$C$26, $C$13, 100%, $E$13)</f>
        <v>18.480699999999999</v>
      </c>
      <c r="K964" s="67">
        <f>18.4855 * CHOOSE(CONTROL!$C$26, $C$13, 100%, $E$13)</f>
        <v>18.485499999999998</v>
      </c>
    </row>
    <row r="965" spans="1:11" ht="15">
      <c r="A965" s="13">
        <v>70495</v>
      </c>
      <c r="B965" s="66">
        <f>16.4344 * CHOOSE(CONTROL!$C$26, $C$13, 100%, $E$13)</f>
        <v>16.4344</v>
      </c>
      <c r="C965" s="66">
        <f>16.4344 * CHOOSE(CONTROL!$C$26, $C$13, 100%, $E$13)</f>
        <v>16.4344</v>
      </c>
      <c r="D965" s="66">
        <f>16.4383 * CHOOSE(CONTROL!$C$26, $C$13, 100%, $E$13)</f>
        <v>16.438300000000002</v>
      </c>
      <c r="E965" s="67">
        <f>18.5602 * CHOOSE(CONTROL!$C$26, $C$13, 100%, $E$13)</f>
        <v>18.560199999999998</v>
      </c>
      <c r="F965" s="67">
        <f>18.5602 * CHOOSE(CONTROL!$C$26, $C$13, 100%, $E$13)</f>
        <v>18.560199999999998</v>
      </c>
      <c r="G965" s="67">
        <f>18.565 * CHOOSE(CONTROL!$C$26, $C$13, 100%, $E$13)</f>
        <v>18.565000000000001</v>
      </c>
      <c r="H965" s="67">
        <f>34.5232* CHOOSE(CONTROL!$C$26, $C$13, 100%, $E$13)</f>
        <v>34.523200000000003</v>
      </c>
      <c r="I965" s="67">
        <f>34.528 * CHOOSE(CONTROL!$C$26, $C$13, 100%, $E$13)</f>
        <v>34.527999999999999</v>
      </c>
      <c r="J965" s="67">
        <f>18.5602 * CHOOSE(CONTROL!$C$26, $C$13, 100%, $E$13)</f>
        <v>18.560199999999998</v>
      </c>
      <c r="K965" s="67">
        <f>18.565 * CHOOSE(CONTROL!$C$26, $C$13, 100%, $E$13)</f>
        <v>18.565000000000001</v>
      </c>
    </row>
    <row r="966" spans="1:11" ht="15">
      <c r="A966" s="13">
        <v>70526</v>
      </c>
      <c r="B966" s="66">
        <f>16.4314 * CHOOSE(CONTROL!$C$26, $C$13, 100%, $E$13)</f>
        <v>16.4314</v>
      </c>
      <c r="C966" s="66">
        <f>16.4314 * CHOOSE(CONTROL!$C$26, $C$13, 100%, $E$13)</f>
        <v>16.4314</v>
      </c>
      <c r="D966" s="66">
        <f>16.4353 * CHOOSE(CONTROL!$C$26, $C$13, 100%, $E$13)</f>
        <v>16.435300000000002</v>
      </c>
      <c r="E966" s="67">
        <f>18.2241 * CHOOSE(CONTROL!$C$26, $C$13, 100%, $E$13)</f>
        <v>18.2241</v>
      </c>
      <c r="F966" s="67">
        <f>18.2241 * CHOOSE(CONTROL!$C$26, $C$13, 100%, $E$13)</f>
        <v>18.2241</v>
      </c>
      <c r="G966" s="67">
        <f>18.2289 * CHOOSE(CONTROL!$C$26, $C$13, 100%, $E$13)</f>
        <v>18.228899999999999</v>
      </c>
      <c r="H966" s="67">
        <f>34.5951* CHOOSE(CONTROL!$C$26, $C$13, 100%, $E$13)</f>
        <v>34.595100000000002</v>
      </c>
      <c r="I966" s="67">
        <f>34.5999 * CHOOSE(CONTROL!$C$26, $C$13, 100%, $E$13)</f>
        <v>34.599899999999998</v>
      </c>
      <c r="J966" s="67">
        <f>18.2241 * CHOOSE(CONTROL!$C$26, $C$13, 100%, $E$13)</f>
        <v>18.2241</v>
      </c>
      <c r="K966" s="67">
        <f>18.2289 * CHOOSE(CONTROL!$C$26, $C$13, 100%, $E$13)</f>
        <v>18.228899999999999</v>
      </c>
    </row>
    <row r="967" spans="1:11" ht="15">
      <c r="A967" s="13">
        <v>70554</v>
      </c>
      <c r="B967" s="66">
        <f>16.4284 * CHOOSE(CONTROL!$C$26, $C$13, 100%, $E$13)</f>
        <v>16.4284</v>
      </c>
      <c r="C967" s="66">
        <f>16.4284 * CHOOSE(CONTROL!$C$26, $C$13, 100%, $E$13)</f>
        <v>16.4284</v>
      </c>
      <c r="D967" s="66">
        <f>16.4322 * CHOOSE(CONTROL!$C$26, $C$13, 100%, $E$13)</f>
        <v>16.432200000000002</v>
      </c>
      <c r="E967" s="67">
        <f>18.4853 * CHOOSE(CONTROL!$C$26, $C$13, 100%, $E$13)</f>
        <v>18.485299999999999</v>
      </c>
      <c r="F967" s="67">
        <f>18.4853 * CHOOSE(CONTROL!$C$26, $C$13, 100%, $E$13)</f>
        <v>18.485299999999999</v>
      </c>
      <c r="G967" s="67">
        <f>18.49 * CHOOSE(CONTROL!$C$26, $C$13, 100%, $E$13)</f>
        <v>18.489999999999998</v>
      </c>
      <c r="H967" s="67">
        <f>34.6672* CHOOSE(CONTROL!$C$26, $C$13, 100%, $E$13)</f>
        <v>34.667200000000001</v>
      </c>
      <c r="I967" s="67">
        <f>34.672 * CHOOSE(CONTROL!$C$26, $C$13, 100%, $E$13)</f>
        <v>34.671999999999997</v>
      </c>
      <c r="J967" s="67">
        <f>18.4853 * CHOOSE(CONTROL!$C$26, $C$13, 100%, $E$13)</f>
        <v>18.485299999999999</v>
      </c>
      <c r="K967" s="67">
        <f>18.49 * CHOOSE(CONTROL!$C$26, $C$13, 100%, $E$13)</f>
        <v>18.489999999999998</v>
      </c>
    </row>
    <row r="968" spans="1:11" ht="15">
      <c r="A968" s="13">
        <v>70585</v>
      </c>
      <c r="B968" s="66">
        <f>16.4364 * CHOOSE(CONTROL!$C$26, $C$13, 100%, $E$13)</f>
        <v>16.436399999999999</v>
      </c>
      <c r="C968" s="66">
        <f>16.4364 * CHOOSE(CONTROL!$C$26, $C$13, 100%, $E$13)</f>
        <v>16.436399999999999</v>
      </c>
      <c r="D968" s="66">
        <f>16.4403 * CHOOSE(CONTROL!$C$26, $C$13, 100%, $E$13)</f>
        <v>16.440300000000001</v>
      </c>
      <c r="E968" s="67">
        <f>18.7638 * CHOOSE(CONTROL!$C$26, $C$13, 100%, $E$13)</f>
        <v>18.7638</v>
      </c>
      <c r="F968" s="67">
        <f>18.7638 * CHOOSE(CONTROL!$C$26, $C$13, 100%, $E$13)</f>
        <v>18.7638</v>
      </c>
      <c r="G968" s="67">
        <f>18.7686 * CHOOSE(CONTROL!$C$26, $C$13, 100%, $E$13)</f>
        <v>18.768599999999999</v>
      </c>
      <c r="H968" s="67">
        <f>34.7394* CHOOSE(CONTROL!$C$26, $C$13, 100%, $E$13)</f>
        <v>34.739400000000003</v>
      </c>
      <c r="I968" s="67">
        <f>34.7442 * CHOOSE(CONTROL!$C$26, $C$13, 100%, $E$13)</f>
        <v>34.744199999999999</v>
      </c>
      <c r="J968" s="67">
        <f>18.7638 * CHOOSE(CONTROL!$C$26, $C$13, 100%, $E$13)</f>
        <v>18.7638</v>
      </c>
      <c r="K968" s="67">
        <f>18.7686 * CHOOSE(CONTROL!$C$26, $C$13, 100%, $E$13)</f>
        <v>18.768599999999999</v>
      </c>
    </row>
    <row r="969" spans="1:11" ht="15">
      <c r="A969" s="13">
        <v>70615</v>
      </c>
      <c r="B969" s="66">
        <f>16.4364 * CHOOSE(CONTROL!$C$26, $C$13, 100%, $E$13)</f>
        <v>16.436399999999999</v>
      </c>
      <c r="C969" s="66">
        <f>16.4364 * CHOOSE(CONTROL!$C$26, $C$13, 100%, $E$13)</f>
        <v>16.436399999999999</v>
      </c>
      <c r="D969" s="66">
        <f>16.4419 * CHOOSE(CONTROL!$C$26, $C$13, 100%, $E$13)</f>
        <v>16.4419</v>
      </c>
      <c r="E969" s="67">
        <f>18.8698 * CHOOSE(CONTROL!$C$26, $C$13, 100%, $E$13)</f>
        <v>18.869800000000001</v>
      </c>
      <c r="F969" s="67">
        <f>18.8698 * CHOOSE(CONTROL!$C$26, $C$13, 100%, $E$13)</f>
        <v>18.869800000000001</v>
      </c>
      <c r="G969" s="67">
        <f>18.8766 * CHOOSE(CONTROL!$C$26, $C$13, 100%, $E$13)</f>
        <v>18.8766</v>
      </c>
      <c r="H969" s="67">
        <f>34.8118* CHOOSE(CONTROL!$C$26, $C$13, 100%, $E$13)</f>
        <v>34.811799999999998</v>
      </c>
      <c r="I969" s="67">
        <f>34.8185 * CHOOSE(CONTROL!$C$26, $C$13, 100%, $E$13)</f>
        <v>34.8185</v>
      </c>
      <c r="J969" s="67">
        <f>18.8698 * CHOOSE(CONTROL!$C$26, $C$13, 100%, $E$13)</f>
        <v>18.869800000000001</v>
      </c>
      <c r="K969" s="67">
        <f>18.8766 * CHOOSE(CONTROL!$C$26, $C$13, 100%, $E$13)</f>
        <v>18.8766</v>
      </c>
    </row>
    <row r="970" spans="1:11" ht="15">
      <c r="A970" s="13">
        <v>70646</v>
      </c>
      <c r="B970" s="66">
        <f>16.4425 * CHOOSE(CONTROL!$C$26, $C$13, 100%, $E$13)</f>
        <v>16.442499999999999</v>
      </c>
      <c r="C970" s="66">
        <f>16.4425 * CHOOSE(CONTROL!$C$26, $C$13, 100%, $E$13)</f>
        <v>16.442499999999999</v>
      </c>
      <c r="D970" s="66">
        <f>16.448 * CHOOSE(CONTROL!$C$26, $C$13, 100%, $E$13)</f>
        <v>16.448</v>
      </c>
      <c r="E970" s="67">
        <f>18.768 * CHOOSE(CONTROL!$C$26, $C$13, 100%, $E$13)</f>
        <v>18.768000000000001</v>
      </c>
      <c r="F970" s="67">
        <f>18.768 * CHOOSE(CONTROL!$C$26, $C$13, 100%, $E$13)</f>
        <v>18.768000000000001</v>
      </c>
      <c r="G970" s="67">
        <f>18.7748 * CHOOSE(CONTROL!$C$26, $C$13, 100%, $E$13)</f>
        <v>18.774799999999999</v>
      </c>
      <c r="H970" s="67">
        <f>34.8843* CHOOSE(CONTROL!$C$26, $C$13, 100%, $E$13)</f>
        <v>34.884300000000003</v>
      </c>
      <c r="I970" s="67">
        <f>34.8911 * CHOOSE(CONTROL!$C$26, $C$13, 100%, $E$13)</f>
        <v>34.891100000000002</v>
      </c>
      <c r="J970" s="67">
        <f>18.768 * CHOOSE(CONTROL!$C$26, $C$13, 100%, $E$13)</f>
        <v>18.768000000000001</v>
      </c>
      <c r="K970" s="67">
        <f>18.7748 * CHOOSE(CONTROL!$C$26, $C$13, 100%, $E$13)</f>
        <v>18.774799999999999</v>
      </c>
    </row>
    <row r="971" spans="1:11" ht="15">
      <c r="A971" s="13">
        <v>70676</v>
      </c>
      <c r="B971" s="66">
        <f>16.6902 * CHOOSE(CONTROL!$C$26, $C$13, 100%, $E$13)</f>
        <v>16.690200000000001</v>
      </c>
      <c r="C971" s="66">
        <f>16.6902 * CHOOSE(CONTROL!$C$26, $C$13, 100%, $E$13)</f>
        <v>16.690200000000001</v>
      </c>
      <c r="D971" s="66">
        <f>16.6957 * CHOOSE(CONTROL!$C$26, $C$13, 100%, $E$13)</f>
        <v>16.695699999999999</v>
      </c>
      <c r="E971" s="67">
        <f>19.0646 * CHOOSE(CONTROL!$C$26, $C$13, 100%, $E$13)</f>
        <v>19.064599999999999</v>
      </c>
      <c r="F971" s="67">
        <f>19.0646 * CHOOSE(CONTROL!$C$26, $C$13, 100%, $E$13)</f>
        <v>19.064599999999999</v>
      </c>
      <c r="G971" s="67">
        <f>19.0714 * CHOOSE(CONTROL!$C$26, $C$13, 100%, $E$13)</f>
        <v>19.071400000000001</v>
      </c>
      <c r="H971" s="67">
        <f>34.957* CHOOSE(CONTROL!$C$26, $C$13, 100%, $E$13)</f>
        <v>34.957000000000001</v>
      </c>
      <c r="I971" s="67">
        <f>34.9637 * CHOOSE(CONTROL!$C$26, $C$13, 100%, $E$13)</f>
        <v>34.963700000000003</v>
      </c>
      <c r="J971" s="67">
        <f>19.0646 * CHOOSE(CONTROL!$C$26, $C$13, 100%, $E$13)</f>
        <v>19.064599999999999</v>
      </c>
      <c r="K971" s="67">
        <f>19.0714 * CHOOSE(CONTROL!$C$26, $C$13, 100%, $E$13)</f>
        <v>19.071400000000001</v>
      </c>
    </row>
    <row r="972" spans="1:11" ht="15">
      <c r="A972" s="13">
        <v>70707</v>
      </c>
      <c r="B972" s="66">
        <f>16.6969 * CHOOSE(CONTROL!$C$26, $C$13, 100%, $E$13)</f>
        <v>16.696899999999999</v>
      </c>
      <c r="C972" s="66">
        <f>16.6969 * CHOOSE(CONTROL!$C$26, $C$13, 100%, $E$13)</f>
        <v>16.696899999999999</v>
      </c>
      <c r="D972" s="66">
        <f>16.7024 * CHOOSE(CONTROL!$C$26, $C$13, 100%, $E$13)</f>
        <v>16.702400000000001</v>
      </c>
      <c r="E972" s="67">
        <f>18.7512 * CHOOSE(CONTROL!$C$26, $C$13, 100%, $E$13)</f>
        <v>18.751200000000001</v>
      </c>
      <c r="F972" s="67">
        <f>18.7512 * CHOOSE(CONTROL!$C$26, $C$13, 100%, $E$13)</f>
        <v>18.751200000000001</v>
      </c>
      <c r="G972" s="67">
        <f>18.7579 * CHOOSE(CONTROL!$C$26, $C$13, 100%, $E$13)</f>
        <v>18.757899999999999</v>
      </c>
      <c r="H972" s="67">
        <f>35.0298* CHOOSE(CONTROL!$C$26, $C$13, 100%, $E$13)</f>
        <v>35.029800000000002</v>
      </c>
      <c r="I972" s="67">
        <f>35.0366 * CHOOSE(CONTROL!$C$26, $C$13, 100%, $E$13)</f>
        <v>35.0366</v>
      </c>
      <c r="J972" s="67">
        <f>18.7512 * CHOOSE(CONTROL!$C$26, $C$13, 100%, $E$13)</f>
        <v>18.751200000000001</v>
      </c>
      <c r="K972" s="67">
        <f>18.7579 * CHOOSE(CONTROL!$C$26, $C$13, 100%, $E$13)</f>
        <v>18.757899999999999</v>
      </c>
    </row>
    <row r="973" spans="1:11" ht="15">
      <c r="A973" s="13">
        <v>70738</v>
      </c>
      <c r="B973" s="66">
        <f>16.6939 * CHOOSE(CONTROL!$C$26, $C$13, 100%, $E$13)</f>
        <v>16.693899999999999</v>
      </c>
      <c r="C973" s="66">
        <f>16.6939 * CHOOSE(CONTROL!$C$26, $C$13, 100%, $E$13)</f>
        <v>16.693899999999999</v>
      </c>
      <c r="D973" s="66">
        <f>16.6994 * CHOOSE(CONTROL!$C$26, $C$13, 100%, $E$13)</f>
        <v>16.699400000000001</v>
      </c>
      <c r="E973" s="67">
        <f>18.7137 * CHOOSE(CONTROL!$C$26, $C$13, 100%, $E$13)</f>
        <v>18.713699999999999</v>
      </c>
      <c r="F973" s="67">
        <f>18.7137 * CHOOSE(CONTROL!$C$26, $C$13, 100%, $E$13)</f>
        <v>18.713699999999999</v>
      </c>
      <c r="G973" s="67">
        <f>18.7205 * CHOOSE(CONTROL!$C$26, $C$13, 100%, $E$13)</f>
        <v>18.720500000000001</v>
      </c>
      <c r="H973" s="67">
        <f>35.1028* CHOOSE(CONTROL!$C$26, $C$13, 100%, $E$13)</f>
        <v>35.102800000000002</v>
      </c>
      <c r="I973" s="67">
        <f>35.1095 * CHOOSE(CONTROL!$C$26, $C$13, 100%, $E$13)</f>
        <v>35.109499999999997</v>
      </c>
      <c r="J973" s="67">
        <f>18.7137 * CHOOSE(CONTROL!$C$26, $C$13, 100%, $E$13)</f>
        <v>18.713699999999999</v>
      </c>
      <c r="K973" s="67">
        <f>18.7205 * CHOOSE(CONTROL!$C$26, $C$13, 100%, $E$13)</f>
        <v>18.720500000000001</v>
      </c>
    </row>
    <row r="974" spans="1:11" ht="15">
      <c r="A974" s="13">
        <v>70768</v>
      </c>
      <c r="B974" s="66">
        <f>16.7297 * CHOOSE(CONTROL!$C$26, $C$13, 100%, $E$13)</f>
        <v>16.729700000000001</v>
      </c>
      <c r="C974" s="66">
        <f>16.7297 * CHOOSE(CONTROL!$C$26, $C$13, 100%, $E$13)</f>
        <v>16.729700000000001</v>
      </c>
      <c r="D974" s="66">
        <f>16.7336 * CHOOSE(CONTROL!$C$26, $C$13, 100%, $E$13)</f>
        <v>16.733599999999999</v>
      </c>
      <c r="E974" s="67">
        <f>18.8417 * CHOOSE(CONTROL!$C$26, $C$13, 100%, $E$13)</f>
        <v>18.841699999999999</v>
      </c>
      <c r="F974" s="67">
        <f>18.8417 * CHOOSE(CONTROL!$C$26, $C$13, 100%, $E$13)</f>
        <v>18.841699999999999</v>
      </c>
      <c r="G974" s="67">
        <f>18.8464 * CHOOSE(CONTROL!$C$26, $C$13, 100%, $E$13)</f>
        <v>18.846399999999999</v>
      </c>
      <c r="H974" s="67">
        <f>35.1759* CHOOSE(CONTROL!$C$26, $C$13, 100%, $E$13)</f>
        <v>35.175899999999999</v>
      </c>
      <c r="I974" s="67">
        <f>35.1807 * CHOOSE(CONTROL!$C$26, $C$13, 100%, $E$13)</f>
        <v>35.180700000000002</v>
      </c>
      <c r="J974" s="67">
        <f>18.8417 * CHOOSE(CONTROL!$C$26, $C$13, 100%, $E$13)</f>
        <v>18.841699999999999</v>
      </c>
      <c r="K974" s="67">
        <f>18.8464 * CHOOSE(CONTROL!$C$26, $C$13, 100%, $E$13)</f>
        <v>18.846399999999999</v>
      </c>
    </row>
    <row r="975" spans="1:11" ht="15">
      <c r="A975" s="13">
        <v>70799</v>
      </c>
      <c r="B975" s="66">
        <f>16.7327 * CHOOSE(CONTROL!$C$26, $C$13, 100%, $E$13)</f>
        <v>16.732700000000001</v>
      </c>
      <c r="C975" s="66">
        <f>16.7327 * CHOOSE(CONTROL!$C$26, $C$13, 100%, $E$13)</f>
        <v>16.732700000000001</v>
      </c>
      <c r="D975" s="66">
        <f>16.7366 * CHOOSE(CONTROL!$C$26, $C$13, 100%, $E$13)</f>
        <v>16.736599999999999</v>
      </c>
      <c r="E975" s="67">
        <f>18.9145 * CHOOSE(CONTROL!$C$26, $C$13, 100%, $E$13)</f>
        <v>18.9145</v>
      </c>
      <c r="F975" s="67">
        <f>18.9145 * CHOOSE(CONTROL!$C$26, $C$13, 100%, $E$13)</f>
        <v>18.9145</v>
      </c>
      <c r="G975" s="67">
        <f>18.9193 * CHOOSE(CONTROL!$C$26, $C$13, 100%, $E$13)</f>
        <v>18.9193</v>
      </c>
      <c r="H975" s="67">
        <f>35.2492* CHOOSE(CONTROL!$C$26, $C$13, 100%, $E$13)</f>
        <v>35.249200000000002</v>
      </c>
      <c r="I975" s="67">
        <f>35.254 * CHOOSE(CONTROL!$C$26, $C$13, 100%, $E$13)</f>
        <v>35.253999999999998</v>
      </c>
      <c r="J975" s="67">
        <f>18.9145 * CHOOSE(CONTROL!$C$26, $C$13, 100%, $E$13)</f>
        <v>18.9145</v>
      </c>
      <c r="K975" s="67">
        <f>18.9193 * CHOOSE(CONTROL!$C$26, $C$13, 100%, $E$13)</f>
        <v>18.9193</v>
      </c>
    </row>
    <row r="976" spans="1:11" ht="15">
      <c r="A976" s="13">
        <v>70829</v>
      </c>
      <c r="B976" s="66">
        <f>16.7327 * CHOOSE(CONTROL!$C$26, $C$13, 100%, $E$13)</f>
        <v>16.732700000000001</v>
      </c>
      <c r="C976" s="66">
        <f>16.7327 * CHOOSE(CONTROL!$C$26, $C$13, 100%, $E$13)</f>
        <v>16.732700000000001</v>
      </c>
      <c r="D976" s="66">
        <f>16.7366 * CHOOSE(CONTROL!$C$26, $C$13, 100%, $E$13)</f>
        <v>16.736599999999999</v>
      </c>
      <c r="E976" s="67">
        <f>18.7378 * CHOOSE(CONTROL!$C$26, $C$13, 100%, $E$13)</f>
        <v>18.7378</v>
      </c>
      <c r="F976" s="67">
        <f>18.7378 * CHOOSE(CONTROL!$C$26, $C$13, 100%, $E$13)</f>
        <v>18.7378</v>
      </c>
      <c r="G976" s="67">
        <f>18.7425 * CHOOSE(CONTROL!$C$26, $C$13, 100%, $E$13)</f>
        <v>18.7425</v>
      </c>
      <c r="H976" s="67">
        <f>35.3227* CHOOSE(CONTROL!$C$26, $C$13, 100%, $E$13)</f>
        <v>35.322699999999998</v>
      </c>
      <c r="I976" s="67">
        <f>35.3274 * CHOOSE(CONTROL!$C$26, $C$13, 100%, $E$13)</f>
        <v>35.327399999999997</v>
      </c>
      <c r="J976" s="67">
        <f>18.7378 * CHOOSE(CONTROL!$C$26, $C$13, 100%, $E$13)</f>
        <v>18.7378</v>
      </c>
      <c r="K976" s="67">
        <f>18.7425 * CHOOSE(CONTROL!$C$26, $C$13, 100%, $E$13)</f>
        <v>18.7425</v>
      </c>
    </row>
    <row r="977" spans="1:11" ht="15">
      <c r="A977" s="13">
        <v>70860</v>
      </c>
      <c r="B977" s="66">
        <f>16.67 * CHOOSE(CONTROL!$C$26, $C$13, 100%, $E$13)</f>
        <v>16.670000000000002</v>
      </c>
      <c r="C977" s="66">
        <f>16.67 * CHOOSE(CONTROL!$C$26, $C$13, 100%, $E$13)</f>
        <v>16.670000000000002</v>
      </c>
      <c r="D977" s="66">
        <f>16.6739 * CHOOSE(CONTROL!$C$26, $C$13, 100%, $E$13)</f>
        <v>16.6739</v>
      </c>
      <c r="E977" s="67">
        <f>18.8149 * CHOOSE(CONTROL!$C$26, $C$13, 100%, $E$13)</f>
        <v>18.814900000000002</v>
      </c>
      <c r="F977" s="67">
        <f>18.8149 * CHOOSE(CONTROL!$C$26, $C$13, 100%, $E$13)</f>
        <v>18.814900000000002</v>
      </c>
      <c r="G977" s="67">
        <f>18.8197 * CHOOSE(CONTROL!$C$26, $C$13, 100%, $E$13)</f>
        <v>18.819700000000001</v>
      </c>
      <c r="H977" s="67">
        <f>35.0058* CHOOSE(CONTROL!$C$26, $C$13, 100%, $E$13)</f>
        <v>35.005800000000001</v>
      </c>
      <c r="I977" s="67">
        <f>35.0105 * CHOOSE(CONTROL!$C$26, $C$13, 100%, $E$13)</f>
        <v>35.0105</v>
      </c>
      <c r="J977" s="67">
        <f>18.8149 * CHOOSE(CONTROL!$C$26, $C$13, 100%, $E$13)</f>
        <v>18.814900000000002</v>
      </c>
      <c r="K977" s="67">
        <f>18.8197 * CHOOSE(CONTROL!$C$26, $C$13, 100%, $E$13)</f>
        <v>18.819700000000001</v>
      </c>
    </row>
    <row r="978" spans="1:11" ht="15">
      <c r="A978" s="13">
        <v>70891</v>
      </c>
      <c r="B978" s="66">
        <f>16.667 * CHOOSE(CONTROL!$C$26, $C$13, 100%, $E$13)</f>
        <v>16.667000000000002</v>
      </c>
      <c r="C978" s="66">
        <f>16.667 * CHOOSE(CONTROL!$C$26, $C$13, 100%, $E$13)</f>
        <v>16.667000000000002</v>
      </c>
      <c r="D978" s="66">
        <f>16.6708 * CHOOSE(CONTROL!$C$26, $C$13, 100%, $E$13)</f>
        <v>16.6708</v>
      </c>
      <c r="E978" s="67">
        <f>18.4739 * CHOOSE(CONTROL!$C$26, $C$13, 100%, $E$13)</f>
        <v>18.4739</v>
      </c>
      <c r="F978" s="67">
        <f>18.4739 * CHOOSE(CONTROL!$C$26, $C$13, 100%, $E$13)</f>
        <v>18.4739</v>
      </c>
      <c r="G978" s="67">
        <f>18.4787 * CHOOSE(CONTROL!$C$26, $C$13, 100%, $E$13)</f>
        <v>18.4787</v>
      </c>
      <c r="H978" s="67">
        <f>35.0787* CHOOSE(CONTROL!$C$26, $C$13, 100%, $E$13)</f>
        <v>35.078699999999998</v>
      </c>
      <c r="I978" s="67">
        <f>35.0835 * CHOOSE(CONTROL!$C$26, $C$13, 100%, $E$13)</f>
        <v>35.083500000000001</v>
      </c>
      <c r="J978" s="67">
        <f>18.4739 * CHOOSE(CONTROL!$C$26, $C$13, 100%, $E$13)</f>
        <v>18.4739</v>
      </c>
      <c r="K978" s="67">
        <f>18.4787 * CHOOSE(CONTROL!$C$26, $C$13, 100%, $E$13)</f>
        <v>18.4787</v>
      </c>
    </row>
    <row r="979" spans="1:11" ht="15">
      <c r="A979" s="13">
        <v>70919</v>
      </c>
      <c r="B979" s="66">
        <f>16.6639 * CHOOSE(CONTROL!$C$26, $C$13, 100%, $E$13)</f>
        <v>16.663900000000002</v>
      </c>
      <c r="C979" s="66">
        <f>16.6639 * CHOOSE(CONTROL!$C$26, $C$13, 100%, $E$13)</f>
        <v>16.663900000000002</v>
      </c>
      <c r="D979" s="66">
        <f>16.6678 * CHOOSE(CONTROL!$C$26, $C$13, 100%, $E$13)</f>
        <v>16.6678</v>
      </c>
      <c r="E979" s="67">
        <f>18.739 * CHOOSE(CONTROL!$C$26, $C$13, 100%, $E$13)</f>
        <v>18.739000000000001</v>
      </c>
      <c r="F979" s="67">
        <f>18.739 * CHOOSE(CONTROL!$C$26, $C$13, 100%, $E$13)</f>
        <v>18.739000000000001</v>
      </c>
      <c r="G979" s="67">
        <f>18.7437 * CHOOSE(CONTROL!$C$26, $C$13, 100%, $E$13)</f>
        <v>18.7437</v>
      </c>
      <c r="H979" s="67">
        <f>35.1518* CHOOSE(CONTROL!$C$26, $C$13, 100%, $E$13)</f>
        <v>35.151800000000001</v>
      </c>
      <c r="I979" s="67">
        <f>35.1565 * CHOOSE(CONTROL!$C$26, $C$13, 100%, $E$13)</f>
        <v>35.156500000000001</v>
      </c>
      <c r="J979" s="67">
        <f>18.739 * CHOOSE(CONTROL!$C$26, $C$13, 100%, $E$13)</f>
        <v>18.739000000000001</v>
      </c>
      <c r="K979" s="67">
        <f>18.7437 * CHOOSE(CONTROL!$C$26, $C$13, 100%, $E$13)</f>
        <v>18.7437</v>
      </c>
    </row>
    <row r="980" spans="1:11" ht="15">
      <c r="A980" s="13">
        <v>70950</v>
      </c>
      <c r="B980" s="66">
        <f>16.6722 * CHOOSE(CONTROL!$C$26, $C$13, 100%, $E$13)</f>
        <v>16.6722</v>
      </c>
      <c r="C980" s="66">
        <f>16.6722 * CHOOSE(CONTROL!$C$26, $C$13, 100%, $E$13)</f>
        <v>16.6722</v>
      </c>
      <c r="D980" s="66">
        <f>16.676 * CHOOSE(CONTROL!$C$26, $C$13, 100%, $E$13)</f>
        <v>16.675999999999998</v>
      </c>
      <c r="E980" s="67">
        <f>19.0217 * CHOOSE(CONTROL!$C$26, $C$13, 100%, $E$13)</f>
        <v>19.021699999999999</v>
      </c>
      <c r="F980" s="67">
        <f>19.0217 * CHOOSE(CONTROL!$C$26, $C$13, 100%, $E$13)</f>
        <v>19.021699999999999</v>
      </c>
      <c r="G980" s="67">
        <f>19.0264 * CHOOSE(CONTROL!$C$26, $C$13, 100%, $E$13)</f>
        <v>19.026399999999999</v>
      </c>
      <c r="H980" s="67">
        <f>35.225* CHOOSE(CONTROL!$C$26, $C$13, 100%, $E$13)</f>
        <v>35.225000000000001</v>
      </c>
      <c r="I980" s="67">
        <f>35.2298 * CHOOSE(CONTROL!$C$26, $C$13, 100%, $E$13)</f>
        <v>35.229799999999997</v>
      </c>
      <c r="J980" s="67">
        <f>19.0217 * CHOOSE(CONTROL!$C$26, $C$13, 100%, $E$13)</f>
        <v>19.021699999999999</v>
      </c>
      <c r="K980" s="67">
        <f>19.0264 * CHOOSE(CONTROL!$C$26, $C$13, 100%, $E$13)</f>
        <v>19.026399999999999</v>
      </c>
    </row>
    <row r="981" spans="1:11" ht="15">
      <c r="A981" s="13">
        <v>70980</v>
      </c>
      <c r="B981" s="66">
        <f>16.6722 * CHOOSE(CONTROL!$C$26, $C$13, 100%, $E$13)</f>
        <v>16.6722</v>
      </c>
      <c r="C981" s="66">
        <f>16.6722 * CHOOSE(CONTROL!$C$26, $C$13, 100%, $E$13)</f>
        <v>16.6722</v>
      </c>
      <c r="D981" s="66">
        <f>16.6777 * CHOOSE(CONTROL!$C$26, $C$13, 100%, $E$13)</f>
        <v>16.677700000000002</v>
      </c>
      <c r="E981" s="67">
        <f>19.1293 * CHOOSE(CONTROL!$C$26, $C$13, 100%, $E$13)</f>
        <v>19.129300000000001</v>
      </c>
      <c r="F981" s="67">
        <f>19.1293 * CHOOSE(CONTROL!$C$26, $C$13, 100%, $E$13)</f>
        <v>19.129300000000001</v>
      </c>
      <c r="G981" s="67">
        <f>19.136 * CHOOSE(CONTROL!$C$26, $C$13, 100%, $E$13)</f>
        <v>19.135999999999999</v>
      </c>
      <c r="H981" s="67">
        <f>35.2984* CHOOSE(CONTROL!$C$26, $C$13, 100%, $E$13)</f>
        <v>35.298400000000001</v>
      </c>
      <c r="I981" s="67">
        <f>35.3051 * CHOOSE(CONTROL!$C$26, $C$13, 100%, $E$13)</f>
        <v>35.305100000000003</v>
      </c>
      <c r="J981" s="67">
        <f>19.1293 * CHOOSE(CONTROL!$C$26, $C$13, 100%, $E$13)</f>
        <v>19.129300000000001</v>
      </c>
      <c r="K981" s="67">
        <f>19.136 * CHOOSE(CONTROL!$C$26, $C$13, 100%, $E$13)</f>
        <v>19.135999999999999</v>
      </c>
    </row>
    <row r="982" spans="1:11" ht="15">
      <c r="A982" s="13">
        <v>71011</v>
      </c>
      <c r="B982" s="66">
        <f>16.6782 * CHOOSE(CONTROL!$C$26, $C$13, 100%, $E$13)</f>
        <v>16.6782</v>
      </c>
      <c r="C982" s="66">
        <f>16.6782 * CHOOSE(CONTROL!$C$26, $C$13, 100%, $E$13)</f>
        <v>16.6782</v>
      </c>
      <c r="D982" s="66">
        <f>16.6838 * CHOOSE(CONTROL!$C$26, $C$13, 100%, $E$13)</f>
        <v>16.683800000000002</v>
      </c>
      <c r="E982" s="67">
        <f>19.0259 * CHOOSE(CONTROL!$C$26, $C$13, 100%, $E$13)</f>
        <v>19.0259</v>
      </c>
      <c r="F982" s="67">
        <f>19.0259 * CHOOSE(CONTROL!$C$26, $C$13, 100%, $E$13)</f>
        <v>19.0259</v>
      </c>
      <c r="G982" s="67">
        <f>19.0326 * CHOOSE(CONTROL!$C$26, $C$13, 100%, $E$13)</f>
        <v>19.032599999999999</v>
      </c>
      <c r="H982" s="67">
        <f>35.3719* CHOOSE(CONTROL!$C$26, $C$13, 100%, $E$13)</f>
        <v>35.371899999999997</v>
      </c>
      <c r="I982" s="67">
        <f>35.3787 * CHOOSE(CONTROL!$C$26, $C$13, 100%, $E$13)</f>
        <v>35.378700000000002</v>
      </c>
      <c r="J982" s="67">
        <f>19.0259 * CHOOSE(CONTROL!$C$26, $C$13, 100%, $E$13)</f>
        <v>19.0259</v>
      </c>
      <c r="K982" s="67">
        <f>19.0326 * CHOOSE(CONTROL!$C$26, $C$13, 100%, $E$13)</f>
        <v>19.032599999999999</v>
      </c>
    </row>
    <row r="983" spans="1:11" ht="15">
      <c r="A983" s="13">
        <v>71041</v>
      </c>
      <c r="B983" s="66">
        <f>16.9294 * CHOOSE(CONTROL!$C$26, $C$13, 100%, $E$13)</f>
        <v>16.929400000000001</v>
      </c>
      <c r="C983" s="66">
        <f>16.9294 * CHOOSE(CONTROL!$C$26, $C$13, 100%, $E$13)</f>
        <v>16.929400000000001</v>
      </c>
      <c r="D983" s="66">
        <f>16.9349 * CHOOSE(CONTROL!$C$26, $C$13, 100%, $E$13)</f>
        <v>16.934899999999999</v>
      </c>
      <c r="E983" s="67">
        <f>19.3264 * CHOOSE(CONTROL!$C$26, $C$13, 100%, $E$13)</f>
        <v>19.3264</v>
      </c>
      <c r="F983" s="67">
        <f>19.3264 * CHOOSE(CONTROL!$C$26, $C$13, 100%, $E$13)</f>
        <v>19.3264</v>
      </c>
      <c r="G983" s="67">
        <f>19.3331 * CHOOSE(CONTROL!$C$26, $C$13, 100%, $E$13)</f>
        <v>19.333100000000002</v>
      </c>
      <c r="H983" s="67">
        <f>35.4456* CHOOSE(CONTROL!$C$26, $C$13, 100%, $E$13)</f>
        <v>35.445599999999999</v>
      </c>
      <c r="I983" s="67">
        <f>35.4524 * CHOOSE(CONTROL!$C$26, $C$13, 100%, $E$13)</f>
        <v>35.452399999999997</v>
      </c>
      <c r="J983" s="67">
        <f>19.3264 * CHOOSE(CONTROL!$C$26, $C$13, 100%, $E$13)</f>
        <v>19.3264</v>
      </c>
      <c r="K983" s="67">
        <f>19.3331 * CHOOSE(CONTROL!$C$26, $C$13, 100%, $E$13)</f>
        <v>19.333100000000002</v>
      </c>
    </row>
    <row r="984" spans="1:11" ht="15">
      <c r="A984" s="13">
        <v>71072</v>
      </c>
      <c r="B984" s="66">
        <f>16.9361 * CHOOSE(CONTROL!$C$26, $C$13, 100%, $E$13)</f>
        <v>16.9361</v>
      </c>
      <c r="C984" s="66">
        <f>16.9361 * CHOOSE(CONTROL!$C$26, $C$13, 100%, $E$13)</f>
        <v>16.9361</v>
      </c>
      <c r="D984" s="66">
        <f>16.9416 * CHOOSE(CONTROL!$C$26, $C$13, 100%, $E$13)</f>
        <v>16.941600000000001</v>
      </c>
      <c r="E984" s="67">
        <f>19.0083 * CHOOSE(CONTROL!$C$26, $C$13, 100%, $E$13)</f>
        <v>19.008299999999998</v>
      </c>
      <c r="F984" s="67">
        <f>19.0083 * CHOOSE(CONTROL!$C$26, $C$13, 100%, $E$13)</f>
        <v>19.008299999999998</v>
      </c>
      <c r="G984" s="67">
        <f>19.015 * CHOOSE(CONTROL!$C$26, $C$13, 100%, $E$13)</f>
        <v>19.015000000000001</v>
      </c>
      <c r="H984" s="67">
        <f>35.5195* CHOOSE(CONTROL!$C$26, $C$13, 100%, $E$13)</f>
        <v>35.519500000000001</v>
      </c>
      <c r="I984" s="67">
        <f>35.5262 * CHOOSE(CONTROL!$C$26, $C$13, 100%, $E$13)</f>
        <v>35.526200000000003</v>
      </c>
      <c r="J984" s="67">
        <f>19.0083 * CHOOSE(CONTROL!$C$26, $C$13, 100%, $E$13)</f>
        <v>19.008299999999998</v>
      </c>
      <c r="K984" s="67">
        <f>19.015 * CHOOSE(CONTROL!$C$26, $C$13, 100%, $E$13)</f>
        <v>19.015000000000001</v>
      </c>
    </row>
    <row r="985" spans="1:11" ht="15">
      <c r="A985" s="13">
        <v>71103</v>
      </c>
      <c r="B985" s="66">
        <f>16.933 * CHOOSE(CONTROL!$C$26, $C$13, 100%, $E$13)</f>
        <v>16.933</v>
      </c>
      <c r="C985" s="66">
        <f>16.933 * CHOOSE(CONTROL!$C$26, $C$13, 100%, $E$13)</f>
        <v>16.933</v>
      </c>
      <c r="D985" s="66">
        <f>16.9385 * CHOOSE(CONTROL!$C$26, $C$13, 100%, $E$13)</f>
        <v>16.938500000000001</v>
      </c>
      <c r="E985" s="67">
        <f>18.9703 * CHOOSE(CONTROL!$C$26, $C$13, 100%, $E$13)</f>
        <v>18.970300000000002</v>
      </c>
      <c r="F985" s="67">
        <f>18.9703 * CHOOSE(CONTROL!$C$26, $C$13, 100%, $E$13)</f>
        <v>18.970300000000002</v>
      </c>
      <c r="G985" s="67">
        <f>18.977 * CHOOSE(CONTROL!$C$26, $C$13, 100%, $E$13)</f>
        <v>18.977</v>
      </c>
      <c r="H985" s="67">
        <f>35.5935* CHOOSE(CONTROL!$C$26, $C$13, 100%, $E$13)</f>
        <v>35.593499999999999</v>
      </c>
      <c r="I985" s="67">
        <f>35.6002 * CHOOSE(CONTROL!$C$26, $C$13, 100%, $E$13)</f>
        <v>35.600200000000001</v>
      </c>
      <c r="J985" s="67">
        <f>18.9703 * CHOOSE(CONTROL!$C$26, $C$13, 100%, $E$13)</f>
        <v>18.970300000000002</v>
      </c>
      <c r="K985" s="67">
        <f>18.977 * CHOOSE(CONTROL!$C$26, $C$13, 100%, $E$13)</f>
        <v>18.977</v>
      </c>
    </row>
    <row r="986" spans="1:11" ht="15">
      <c r="A986" s="13">
        <v>71133</v>
      </c>
      <c r="B986" s="66">
        <f>16.9696 * CHOOSE(CONTROL!$C$26, $C$13, 100%, $E$13)</f>
        <v>16.9696</v>
      </c>
      <c r="C986" s="66">
        <f>16.9696 * CHOOSE(CONTROL!$C$26, $C$13, 100%, $E$13)</f>
        <v>16.9696</v>
      </c>
      <c r="D986" s="66">
        <f>16.9735 * CHOOSE(CONTROL!$C$26, $C$13, 100%, $E$13)</f>
        <v>16.973500000000001</v>
      </c>
      <c r="E986" s="67">
        <f>19.1003 * CHOOSE(CONTROL!$C$26, $C$13, 100%, $E$13)</f>
        <v>19.100300000000001</v>
      </c>
      <c r="F986" s="67">
        <f>19.1003 * CHOOSE(CONTROL!$C$26, $C$13, 100%, $E$13)</f>
        <v>19.100300000000001</v>
      </c>
      <c r="G986" s="67">
        <f>19.1051 * CHOOSE(CONTROL!$C$26, $C$13, 100%, $E$13)</f>
        <v>19.1051</v>
      </c>
      <c r="H986" s="67">
        <f>35.6676* CHOOSE(CONTROL!$C$26, $C$13, 100%, $E$13)</f>
        <v>35.6676</v>
      </c>
      <c r="I986" s="67">
        <f>35.6724 * CHOOSE(CONTROL!$C$26, $C$13, 100%, $E$13)</f>
        <v>35.672400000000003</v>
      </c>
      <c r="J986" s="67">
        <f>19.1003 * CHOOSE(CONTROL!$C$26, $C$13, 100%, $E$13)</f>
        <v>19.100300000000001</v>
      </c>
      <c r="K986" s="67">
        <f>19.1051 * CHOOSE(CONTROL!$C$26, $C$13, 100%, $E$13)</f>
        <v>19.1051</v>
      </c>
    </row>
    <row r="987" spans="1:11" ht="15">
      <c r="A987" s="13">
        <v>71164</v>
      </c>
      <c r="B987" s="66">
        <f>16.9727 * CHOOSE(CONTROL!$C$26, $C$13, 100%, $E$13)</f>
        <v>16.9727</v>
      </c>
      <c r="C987" s="66">
        <f>16.9727 * CHOOSE(CONTROL!$C$26, $C$13, 100%, $E$13)</f>
        <v>16.9727</v>
      </c>
      <c r="D987" s="66">
        <f>16.9765 * CHOOSE(CONTROL!$C$26, $C$13, 100%, $E$13)</f>
        <v>16.976500000000001</v>
      </c>
      <c r="E987" s="67">
        <f>19.1742 * CHOOSE(CONTROL!$C$26, $C$13, 100%, $E$13)</f>
        <v>19.174199999999999</v>
      </c>
      <c r="F987" s="67">
        <f>19.1742 * CHOOSE(CONTROL!$C$26, $C$13, 100%, $E$13)</f>
        <v>19.174199999999999</v>
      </c>
      <c r="G987" s="67">
        <f>19.1789 * CHOOSE(CONTROL!$C$26, $C$13, 100%, $E$13)</f>
        <v>19.178899999999999</v>
      </c>
      <c r="H987" s="67">
        <f>35.7419* CHOOSE(CONTROL!$C$26, $C$13, 100%, $E$13)</f>
        <v>35.741900000000001</v>
      </c>
      <c r="I987" s="67">
        <f>35.7467 * CHOOSE(CONTROL!$C$26, $C$13, 100%, $E$13)</f>
        <v>35.746699999999997</v>
      </c>
      <c r="J987" s="67">
        <f>19.1742 * CHOOSE(CONTROL!$C$26, $C$13, 100%, $E$13)</f>
        <v>19.174199999999999</v>
      </c>
      <c r="K987" s="67">
        <f>19.1789 * CHOOSE(CONTROL!$C$26, $C$13, 100%, $E$13)</f>
        <v>19.178899999999999</v>
      </c>
    </row>
    <row r="988" spans="1:11" ht="15">
      <c r="A988" s="13">
        <v>71194</v>
      </c>
      <c r="B988" s="66">
        <f>16.9727 * CHOOSE(CONTROL!$C$26, $C$13, 100%, $E$13)</f>
        <v>16.9727</v>
      </c>
      <c r="C988" s="66">
        <f>16.9727 * CHOOSE(CONTROL!$C$26, $C$13, 100%, $E$13)</f>
        <v>16.9727</v>
      </c>
      <c r="D988" s="66">
        <f>16.9765 * CHOOSE(CONTROL!$C$26, $C$13, 100%, $E$13)</f>
        <v>16.976500000000001</v>
      </c>
      <c r="E988" s="67">
        <f>18.9948 * CHOOSE(CONTROL!$C$26, $C$13, 100%, $E$13)</f>
        <v>18.994800000000001</v>
      </c>
      <c r="F988" s="67">
        <f>18.9948 * CHOOSE(CONTROL!$C$26, $C$13, 100%, $E$13)</f>
        <v>18.994800000000001</v>
      </c>
      <c r="G988" s="67">
        <f>18.9996 * CHOOSE(CONTROL!$C$26, $C$13, 100%, $E$13)</f>
        <v>18.999600000000001</v>
      </c>
      <c r="H988" s="67">
        <f>35.8164* CHOOSE(CONTROL!$C$26, $C$13, 100%, $E$13)</f>
        <v>35.816400000000002</v>
      </c>
      <c r="I988" s="67">
        <f>35.8211 * CHOOSE(CONTROL!$C$26, $C$13, 100%, $E$13)</f>
        <v>35.821100000000001</v>
      </c>
      <c r="J988" s="67">
        <f>18.9948 * CHOOSE(CONTROL!$C$26, $C$13, 100%, $E$13)</f>
        <v>18.994800000000001</v>
      </c>
      <c r="K988" s="67">
        <f>18.9996 * CHOOSE(CONTROL!$C$26, $C$13, 100%, $E$13)</f>
        <v>18.999600000000001</v>
      </c>
    </row>
    <row r="989" spans="1:11" ht="15">
      <c r="A989" s="13">
        <v>71225</v>
      </c>
      <c r="B989" s="66">
        <f>16.9056 * CHOOSE(CONTROL!$C$26, $C$13, 100%, $E$13)</f>
        <v>16.9056</v>
      </c>
      <c r="C989" s="66">
        <f>16.9056 * CHOOSE(CONTROL!$C$26, $C$13, 100%, $E$13)</f>
        <v>16.9056</v>
      </c>
      <c r="D989" s="66">
        <f>16.9095 * CHOOSE(CONTROL!$C$26, $C$13, 100%, $E$13)</f>
        <v>16.909500000000001</v>
      </c>
      <c r="E989" s="67">
        <f>19.0697 * CHOOSE(CONTROL!$C$26, $C$13, 100%, $E$13)</f>
        <v>19.069700000000001</v>
      </c>
      <c r="F989" s="67">
        <f>19.0697 * CHOOSE(CONTROL!$C$26, $C$13, 100%, $E$13)</f>
        <v>19.069700000000001</v>
      </c>
      <c r="G989" s="67">
        <f>19.0744 * CHOOSE(CONTROL!$C$26, $C$13, 100%, $E$13)</f>
        <v>19.074400000000001</v>
      </c>
      <c r="H989" s="67">
        <f>35.4883* CHOOSE(CONTROL!$C$26, $C$13, 100%, $E$13)</f>
        <v>35.488300000000002</v>
      </c>
      <c r="I989" s="67">
        <f>35.4931 * CHOOSE(CONTROL!$C$26, $C$13, 100%, $E$13)</f>
        <v>35.493099999999998</v>
      </c>
      <c r="J989" s="67">
        <f>19.0697 * CHOOSE(CONTROL!$C$26, $C$13, 100%, $E$13)</f>
        <v>19.069700000000001</v>
      </c>
      <c r="K989" s="67">
        <f>19.0744 * CHOOSE(CONTROL!$C$26, $C$13, 100%, $E$13)</f>
        <v>19.074400000000001</v>
      </c>
    </row>
    <row r="990" spans="1:11" ht="15">
      <c r="A990" s="13">
        <v>71256</v>
      </c>
      <c r="B990" s="66">
        <f>16.9025 * CHOOSE(CONTROL!$C$26, $C$13, 100%, $E$13)</f>
        <v>16.9025</v>
      </c>
      <c r="C990" s="66">
        <f>16.9025 * CHOOSE(CONTROL!$C$26, $C$13, 100%, $E$13)</f>
        <v>16.9025</v>
      </c>
      <c r="D990" s="66">
        <f>16.9064 * CHOOSE(CONTROL!$C$26, $C$13, 100%, $E$13)</f>
        <v>16.906400000000001</v>
      </c>
      <c r="E990" s="67">
        <f>18.7237 * CHOOSE(CONTROL!$C$26, $C$13, 100%, $E$13)</f>
        <v>18.723700000000001</v>
      </c>
      <c r="F990" s="67">
        <f>18.7237 * CHOOSE(CONTROL!$C$26, $C$13, 100%, $E$13)</f>
        <v>18.723700000000001</v>
      </c>
      <c r="G990" s="67">
        <f>18.7284 * CHOOSE(CONTROL!$C$26, $C$13, 100%, $E$13)</f>
        <v>18.728400000000001</v>
      </c>
      <c r="H990" s="67">
        <f>35.5622* CHOOSE(CONTROL!$C$26, $C$13, 100%, $E$13)</f>
        <v>35.562199999999997</v>
      </c>
      <c r="I990" s="67">
        <f>35.567 * CHOOSE(CONTROL!$C$26, $C$13, 100%, $E$13)</f>
        <v>35.567</v>
      </c>
      <c r="J990" s="67">
        <f>18.7237 * CHOOSE(CONTROL!$C$26, $C$13, 100%, $E$13)</f>
        <v>18.723700000000001</v>
      </c>
      <c r="K990" s="67">
        <f>18.7284 * CHOOSE(CONTROL!$C$26, $C$13, 100%, $E$13)</f>
        <v>18.728400000000001</v>
      </c>
    </row>
    <row r="991" spans="1:11" ht="15">
      <c r="A991" s="13">
        <v>71284</v>
      </c>
      <c r="B991" s="66">
        <f>16.8995 * CHOOSE(CONTROL!$C$26, $C$13, 100%, $E$13)</f>
        <v>16.8995</v>
      </c>
      <c r="C991" s="66">
        <f>16.8995 * CHOOSE(CONTROL!$C$26, $C$13, 100%, $E$13)</f>
        <v>16.8995</v>
      </c>
      <c r="D991" s="66">
        <f>16.9034 * CHOOSE(CONTROL!$C$26, $C$13, 100%, $E$13)</f>
        <v>16.903400000000001</v>
      </c>
      <c r="E991" s="67">
        <f>18.9926 * CHOOSE(CONTROL!$C$26, $C$13, 100%, $E$13)</f>
        <v>18.992599999999999</v>
      </c>
      <c r="F991" s="67">
        <f>18.9926 * CHOOSE(CONTROL!$C$26, $C$13, 100%, $E$13)</f>
        <v>18.992599999999999</v>
      </c>
      <c r="G991" s="67">
        <f>18.9974 * CHOOSE(CONTROL!$C$26, $C$13, 100%, $E$13)</f>
        <v>18.997399999999999</v>
      </c>
      <c r="H991" s="67">
        <f>35.6363* CHOOSE(CONTROL!$C$26, $C$13, 100%, $E$13)</f>
        <v>35.636299999999999</v>
      </c>
      <c r="I991" s="67">
        <f>35.6411 * CHOOSE(CONTROL!$C$26, $C$13, 100%, $E$13)</f>
        <v>35.641100000000002</v>
      </c>
      <c r="J991" s="67">
        <f>18.9926 * CHOOSE(CONTROL!$C$26, $C$13, 100%, $E$13)</f>
        <v>18.992599999999999</v>
      </c>
      <c r="K991" s="67">
        <f>18.9974 * CHOOSE(CONTROL!$C$26, $C$13, 100%, $E$13)</f>
        <v>18.997399999999999</v>
      </c>
    </row>
    <row r="992" spans="1:11" ht="15">
      <c r="A992" s="13">
        <v>71315</v>
      </c>
      <c r="B992" s="66">
        <f>16.9079 * CHOOSE(CONTROL!$C$26, $C$13, 100%, $E$13)</f>
        <v>16.907900000000001</v>
      </c>
      <c r="C992" s="66">
        <f>16.9079 * CHOOSE(CONTROL!$C$26, $C$13, 100%, $E$13)</f>
        <v>16.907900000000001</v>
      </c>
      <c r="D992" s="66">
        <f>16.9118 * CHOOSE(CONTROL!$C$26, $C$13, 100%, $E$13)</f>
        <v>16.911799999999999</v>
      </c>
      <c r="E992" s="67">
        <f>19.2795 * CHOOSE(CONTROL!$C$26, $C$13, 100%, $E$13)</f>
        <v>19.279499999999999</v>
      </c>
      <c r="F992" s="67">
        <f>19.2795 * CHOOSE(CONTROL!$C$26, $C$13, 100%, $E$13)</f>
        <v>19.279499999999999</v>
      </c>
      <c r="G992" s="67">
        <f>19.2843 * CHOOSE(CONTROL!$C$26, $C$13, 100%, $E$13)</f>
        <v>19.284300000000002</v>
      </c>
      <c r="H992" s="67">
        <f>35.7106* CHOOSE(CONTROL!$C$26, $C$13, 100%, $E$13)</f>
        <v>35.710599999999999</v>
      </c>
      <c r="I992" s="67">
        <f>35.7153 * CHOOSE(CONTROL!$C$26, $C$13, 100%, $E$13)</f>
        <v>35.715299999999999</v>
      </c>
      <c r="J992" s="67">
        <f>19.2795 * CHOOSE(CONTROL!$C$26, $C$13, 100%, $E$13)</f>
        <v>19.279499999999999</v>
      </c>
      <c r="K992" s="67">
        <f>19.2843 * CHOOSE(CONTROL!$C$26, $C$13, 100%, $E$13)</f>
        <v>19.284300000000002</v>
      </c>
    </row>
    <row r="993" spans="1:11" ht="15">
      <c r="A993" s="13">
        <v>71345</v>
      </c>
      <c r="B993" s="66">
        <f>16.9079 * CHOOSE(CONTROL!$C$26, $C$13, 100%, $E$13)</f>
        <v>16.907900000000001</v>
      </c>
      <c r="C993" s="66">
        <f>16.9079 * CHOOSE(CONTROL!$C$26, $C$13, 100%, $E$13)</f>
        <v>16.907900000000001</v>
      </c>
      <c r="D993" s="66">
        <f>16.9134 * CHOOSE(CONTROL!$C$26, $C$13, 100%, $E$13)</f>
        <v>16.913399999999999</v>
      </c>
      <c r="E993" s="67">
        <f>19.3887 * CHOOSE(CONTROL!$C$26, $C$13, 100%, $E$13)</f>
        <v>19.3887</v>
      </c>
      <c r="F993" s="67">
        <f>19.3887 * CHOOSE(CONTROL!$C$26, $C$13, 100%, $E$13)</f>
        <v>19.3887</v>
      </c>
      <c r="G993" s="67">
        <f>19.3954 * CHOOSE(CONTROL!$C$26, $C$13, 100%, $E$13)</f>
        <v>19.395399999999999</v>
      </c>
      <c r="H993" s="67">
        <f>35.785* CHOOSE(CONTROL!$C$26, $C$13, 100%, $E$13)</f>
        <v>35.784999999999997</v>
      </c>
      <c r="I993" s="67">
        <f>35.7917 * CHOOSE(CONTROL!$C$26, $C$13, 100%, $E$13)</f>
        <v>35.791699999999999</v>
      </c>
      <c r="J993" s="67">
        <f>19.3887 * CHOOSE(CONTROL!$C$26, $C$13, 100%, $E$13)</f>
        <v>19.3887</v>
      </c>
      <c r="K993" s="67">
        <f>19.3954 * CHOOSE(CONTROL!$C$26, $C$13, 100%, $E$13)</f>
        <v>19.395399999999999</v>
      </c>
    </row>
    <row r="994" spans="1:11" ht="15">
      <c r="A994" s="13">
        <v>71376</v>
      </c>
      <c r="B994" s="66">
        <f>16.914 * CHOOSE(CONTROL!$C$26, $C$13, 100%, $E$13)</f>
        <v>16.914000000000001</v>
      </c>
      <c r="C994" s="66">
        <f>16.914 * CHOOSE(CONTROL!$C$26, $C$13, 100%, $E$13)</f>
        <v>16.914000000000001</v>
      </c>
      <c r="D994" s="66">
        <f>16.9195 * CHOOSE(CONTROL!$C$26, $C$13, 100%, $E$13)</f>
        <v>16.919499999999999</v>
      </c>
      <c r="E994" s="67">
        <f>19.2838 * CHOOSE(CONTROL!$C$26, $C$13, 100%, $E$13)</f>
        <v>19.283799999999999</v>
      </c>
      <c r="F994" s="67">
        <f>19.2838 * CHOOSE(CONTROL!$C$26, $C$13, 100%, $E$13)</f>
        <v>19.283799999999999</v>
      </c>
      <c r="G994" s="67">
        <f>19.2905 * CHOOSE(CONTROL!$C$26, $C$13, 100%, $E$13)</f>
        <v>19.290500000000002</v>
      </c>
      <c r="H994" s="67">
        <f>35.8595* CHOOSE(CONTROL!$C$26, $C$13, 100%, $E$13)</f>
        <v>35.859499999999997</v>
      </c>
      <c r="I994" s="67">
        <f>35.8663 * CHOOSE(CONTROL!$C$26, $C$13, 100%, $E$13)</f>
        <v>35.866300000000003</v>
      </c>
      <c r="J994" s="67">
        <f>19.2838 * CHOOSE(CONTROL!$C$26, $C$13, 100%, $E$13)</f>
        <v>19.283799999999999</v>
      </c>
      <c r="K994" s="67">
        <f>19.2905 * CHOOSE(CONTROL!$C$26, $C$13, 100%, $E$13)</f>
        <v>19.290500000000002</v>
      </c>
    </row>
    <row r="995" spans="1:11" ht="15">
      <c r="A995" s="13">
        <v>71406</v>
      </c>
      <c r="B995" s="66">
        <f>17.1686 * CHOOSE(CONTROL!$C$26, $C$13, 100%, $E$13)</f>
        <v>17.168600000000001</v>
      </c>
      <c r="C995" s="66">
        <f>17.1686 * CHOOSE(CONTROL!$C$26, $C$13, 100%, $E$13)</f>
        <v>17.168600000000001</v>
      </c>
      <c r="D995" s="66">
        <f>17.1741 * CHOOSE(CONTROL!$C$26, $C$13, 100%, $E$13)</f>
        <v>17.174099999999999</v>
      </c>
      <c r="E995" s="67">
        <f>19.5882 * CHOOSE(CONTROL!$C$26, $C$13, 100%, $E$13)</f>
        <v>19.588200000000001</v>
      </c>
      <c r="F995" s="67">
        <f>19.5882 * CHOOSE(CONTROL!$C$26, $C$13, 100%, $E$13)</f>
        <v>19.588200000000001</v>
      </c>
      <c r="G995" s="67">
        <f>19.5949 * CHOOSE(CONTROL!$C$26, $C$13, 100%, $E$13)</f>
        <v>19.594899999999999</v>
      </c>
      <c r="H995" s="67">
        <f>35.9342* CHOOSE(CONTROL!$C$26, $C$13, 100%, $E$13)</f>
        <v>35.934199999999997</v>
      </c>
      <c r="I995" s="67">
        <f>35.941 * CHOOSE(CONTROL!$C$26, $C$13, 100%, $E$13)</f>
        <v>35.941000000000003</v>
      </c>
      <c r="J995" s="67">
        <f>19.5882 * CHOOSE(CONTROL!$C$26, $C$13, 100%, $E$13)</f>
        <v>19.588200000000001</v>
      </c>
      <c r="K995" s="67">
        <f>19.5949 * CHOOSE(CONTROL!$C$26, $C$13, 100%, $E$13)</f>
        <v>19.594899999999999</v>
      </c>
    </row>
    <row r="996" spans="1:11" ht="15">
      <c r="A996" s="13">
        <v>71437</v>
      </c>
      <c r="B996" s="66">
        <f>17.1753 * CHOOSE(CONTROL!$C$26, $C$13, 100%, $E$13)</f>
        <v>17.1753</v>
      </c>
      <c r="C996" s="66">
        <f>17.1753 * CHOOSE(CONTROL!$C$26, $C$13, 100%, $E$13)</f>
        <v>17.1753</v>
      </c>
      <c r="D996" s="66">
        <f>17.1808 * CHOOSE(CONTROL!$C$26, $C$13, 100%, $E$13)</f>
        <v>17.180800000000001</v>
      </c>
      <c r="E996" s="67">
        <f>19.2653 * CHOOSE(CONTROL!$C$26, $C$13, 100%, $E$13)</f>
        <v>19.2653</v>
      </c>
      <c r="F996" s="67">
        <f>19.2653 * CHOOSE(CONTROL!$C$26, $C$13, 100%, $E$13)</f>
        <v>19.2653</v>
      </c>
      <c r="G996" s="67">
        <f>19.2721 * CHOOSE(CONTROL!$C$26, $C$13, 100%, $E$13)</f>
        <v>19.272099999999998</v>
      </c>
      <c r="H996" s="67">
        <f>36.0091* CHOOSE(CONTROL!$C$26, $C$13, 100%, $E$13)</f>
        <v>36.009099999999997</v>
      </c>
      <c r="I996" s="67">
        <f>36.0158 * CHOOSE(CONTROL!$C$26, $C$13, 100%, $E$13)</f>
        <v>36.015799999999999</v>
      </c>
      <c r="J996" s="67">
        <f>19.2653 * CHOOSE(CONTROL!$C$26, $C$13, 100%, $E$13)</f>
        <v>19.2653</v>
      </c>
      <c r="K996" s="67">
        <f>19.2721 * CHOOSE(CONTROL!$C$26, $C$13, 100%, $E$13)</f>
        <v>19.272099999999998</v>
      </c>
    </row>
    <row r="997" spans="1:11" ht="15">
      <c r="A997" s="13">
        <v>71468</v>
      </c>
      <c r="B997" s="66">
        <f>17.1722 * CHOOSE(CONTROL!$C$26, $C$13, 100%, $E$13)</f>
        <v>17.1722</v>
      </c>
      <c r="C997" s="66">
        <f>17.1722 * CHOOSE(CONTROL!$C$26, $C$13, 100%, $E$13)</f>
        <v>17.1722</v>
      </c>
      <c r="D997" s="66">
        <f>17.1777 * CHOOSE(CONTROL!$C$26, $C$13, 100%, $E$13)</f>
        <v>17.177700000000002</v>
      </c>
      <c r="E997" s="67">
        <f>19.2268 * CHOOSE(CONTROL!$C$26, $C$13, 100%, $E$13)</f>
        <v>19.226800000000001</v>
      </c>
      <c r="F997" s="67">
        <f>19.2268 * CHOOSE(CONTROL!$C$26, $C$13, 100%, $E$13)</f>
        <v>19.226800000000001</v>
      </c>
      <c r="G997" s="67">
        <f>19.2335 * CHOOSE(CONTROL!$C$26, $C$13, 100%, $E$13)</f>
        <v>19.233499999999999</v>
      </c>
      <c r="H997" s="67">
        <f>36.0841* CHOOSE(CONTROL!$C$26, $C$13, 100%, $E$13)</f>
        <v>36.084099999999999</v>
      </c>
      <c r="I997" s="67">
        <f>36.0908 * CHOOSE(CONTROL!$C$26, $C$13, 100%, $E$13)</f>
        <v>36.090800000000002</v>
      </c>
      <c r="J997" s="67">
        <f>19.2268 * CHOOSE(CONTROL!$C$26, $C$13, 100%, $E$13)</f>
        <v>19.226800000000001</v>
      </c>
      <c r="K997" s="67">
        <f>19.2335 * CHOOSE(CONTROL!$C$26, $C$13, 100%, $E$13)</f>
        <v>19.233499999999999</v>
      </c>
    </row>
    <row r="998" spans="1:11" ht="15">
      <c r="A998" s="13">
        <v>71498</v>
      </c>
      <c r="B998" s="66">
        <f>17.2096 * CHOOSE(CONTROL!$C$26, $C$13, 100%, $E$13)</f>
        <v>17.209599999999998</v>
      </c>
      <c r="C998" s="66">
        <f>17.2096 * CHOOSE(CONTROL!$C$26, $C$13, 100%, $E$13)</f>
        <v>17.209599999999998</v>
      </c>
      <c r="D998" s="66">
        <f>17.2134 * CHOOSE(CONTROL!$C$26, $C$13, 100%, $E$13)</f>
        <v>17.2134</v>
      </c>
      <c r="E998" s="67">
        <f>19.359 * CHOOSE(CONTROL!$C$26, $C$13, 100%, $E$13)</f>
        <v>19.359000000000002</v>
      </c>
      <c r="F998" s="67">
        <f>19.359 * CHOOSE(CONTROL!$C$26, $C$13, 100%, $E$13)</f>
        <v>19.359000000000002</v>
      </c>
      <c r="G998" s="67">
        <f>19.3637 * CHOOSE(CONTROL!$C$26, $C$13, 100%, $E$13)</f>
        <v>19.363700000000001</v>
      </c>
      <c r="H998" s="67">
        <f>36.1593* CHOOSE(CONTROL!$C$26, $C$13, 100%, $E$13)</f>
        <v>36.159300000000002</v>
      </c>
      <c r="I998" s="67">
        <f>36.164 * CHOOSE(CONTROL!$C$26, $C$13, 100%, $E$13)</f>
        <v>36.164000000000001</v>
      </c>
      <c r="J998" s="67">
        <f>19.359 * CHOOSE(CONTROL!$C$26, $C$13, 100%, $E$13)</f>
        <v>19.359000000000002</v>
      </c>
      <c r="K998" s="67">
        <f>19.3637 * CHOOSE(CONTROL!$C$26, $C$13, 100%, $E$13)</f>
        <v>19.363700000000001</v>
      </c>
    </row>
    <row r="999" spans="1:11" ht="15">
      <c r="A999" s="13">
        <v>71529</v>
      </c>
      <c r="B999" s="66">
        <f>17.2126 * CHOOSE(CONTROL!$C$26, $C$13, 100%, $E$13)</f>
        <v>17.212599999999998</v>
      </c>
      <c r="C999" s="66">
        <f>17.2126 * CHOOSE(CONTROL!$C$26, $C$13, 100%, $E$13)</f>
        <v>17.212599999999998</v>
      </c>
      <c r="D999" s="66">
        <f>17.2165 * CHOOSE(CONTROL!$C$26, $C$13, 100%, $E$13)</f>
        <v>17.2165</v>
      </c>
      <c r="E999" s="67">
        <f>19.4339 * CHOOSE(CONTROL!$C$26, $C$13, 100%, $E$13)</f>
        <v>19.433900000000001</v>
      </c>
      <c r="F999" s="67">
        <f>19.4339 * CHOOSE(CONTROL!$C$26, $C$13, 100%, $E$13)</f>
        <v>19.433900000000001</v>
      </c>
      <c r="G999" s="67">
        <f>19.4386 * CHOOSE(CONTROL!$C$26, $C$13, 100%, $E$13)</f>
        <v>19.438600000000001</v>
      </c>
      <c r="H999" s="67">
        <f>36.2346* CHOOSE(CONTROL!$C$26, $C$13, 100%, $E$13)</f>
        <v>36.2346</v>
      </c>
      <c r="I999" s="67">
        <f>36.2394 * CHOOSE(CONTROL!$C$26, $C$13, 100%, $E$13)</f>
        <v>36.239400000000003</v>
      </c>
      <c r="J999" s="67">
        <f>19.4339 * CHOOSE(CONTROL!$C$26, $C$13, 100%, $E$13)</f>
        <v>19.433900000000001</v>
      </c>
      <c r="K999" s="67">
        <f>19.4386 * CHOOSE(CONTROL!$C$26, $C$13, 100%, $E$13)</f>
        <v>19.438600000000001</v>
      </c>
    </row>
    <row r="1000" spans="1:11" ht="15">
      <c r="A1000" s="13">
        <v>71559</v>
      </c>
      <c r="B1000" s="66">
        <f>17.2126 * CHOOSE(CONTROL!$C$26, $C$13, 100%, $E$13)</f>
        <v>17.212599999999998</v>
      </c>
      <c r="C1000" s="66">
        <f>17.2126 * CHOOSE(CONTROL!$C$26, $C$13, 100%, $E$13)</f>
        <v>17.212599999999998</v>
      </c>
      <c r="D1000" s="66">
        <f>17.2165 * CHOOSE(CONTROL!$C$26, $C$13, 100%, $E$13)</f>
        <v>17.2165</v>
      </c>
      <c r="E1000" s="67">
        <f>19.2519 * CHOOSE(CONTROL!$C$26, $C$13, 100%, $E$13)</f>
        <v>19.251899999999999</v>
      </c>
      <c r="F1000" s="67">
        <f>19.2519 * CHOOSE(CONTROL!$C$26, $C$13, 100%, $E$13)</f>
        <v>19.251899999999999</v>
      </c>
      <c r="G1000" s="67">
        <f>19.2567 * CHOOSE(CONTROL!$C$26, $C$13, 100%, $E$13)</f>
        <v>19.256699999999999</v>
      </c>
      <c r="H1000" s="67">
        <f>36.3101* CHOOSE(CONTROL!$C$26, $C$13, 100%, $E$13)</f>
        <v>36.310099999999998</v>
      </c>
      <c r="I1000" s="67">
        <f>36.3149 * CHOOSE(CONTROL!$C$26, $C$13, 100%, $E$13)</f>
        <v>36.314900000000002</v>
      </c>
      <c r="J1000" s="67">
        <f>19.2519 * CHOOSE(CONTROL!$C$26, $C$13, 100%, $E$13)</f>
        <v>19.251899999999999</v>
      </c>
      <c r="K1000" s="67">
        <f>19.2567 * CHOOSE(CONTROL!$C$26, $C$13, 100%, $E$13)</f>
        <v>19.256699999999999</v>
      </c>
    </row>
    <row r="1001" spans="1:11" ht="15">
      <c r="A1001" s="13">
        <v>71590</v>
      </c>
      <c r="B1001" s="66">
        <f>17.1412 * CHOOSE(CONTROL!$C$26, $C$13, 100%, $E$13)</f>
        <v>17.141200000000001</v>
      </c>
      <c r="C1001" s="66">
        <f>17.1412 * CHOOSE(CONTROL!$C$26, $C$13, 100%, $E$13)</f>
        <v>17.141200000000001</v>
      </c>
      <c r="D1001" s="66">
        <f>17.145 * CHOOSE(CONTROL!$C$26, $C$13, 100%, $E$13)</f>
        <v>17.145</v>
      </c>
      <c r="E1001" s="67">
        <f>19.3244 * CHOOSE(CONTROL!$C$26, $C$13, 100%, $E$13)</f>
        <v>19.324400000000001</v>
      </c>
      <c r="F1001" s="67">
        <f>19.3244 * CHOOSE(CONTROL!$C$26, $C$13, 100%, $E$13)</f>
        <v>19.324400000000001</v>
      </c>
      <c r="G1001" s="67">
        <f>19.3291 * CHOOSE(CONTROL!$C$26, $C$13, 100%, $E$13)</f>
        <v>19.3291</v>
      </c>
      <c r="H1001" s="67">
        <f>35.9708* CHOOSE(CONTROL!$C$26, $C$13, 100%, $E$13)</f>
        <v>35.970799999999997</v>
      </c>
      <c r="I1001" s="67">
        <f>35.9756 * CHOOSE(CONTROL!$C$26, $C$13, 100%, $E$13)</f>
        <v>35.9756</v>
      </c>
      <c r="J1001" s="67">
        <f>19.3244 * CHOOSE(CONTROL!$C$26, $C$13, 100%, $E$13)</f>
        <v>19.324400000000001</v>
      </c>
      <c r="K1001" s="67">
        <f>19.3291 * CHOOSE(CONTROL!$C$26, $C$13, 100%, $E$13)</f>
        <v>19.3291</v>
      </c>
    </row>
    <row r="1002" spans="1:11" ht="15">
      <c r="A1002" s="13">
        <v>71621</v>
      </c>
      <c r="B1002" s="66">
        <f>17.1381 * CHOOSE(CONTROL!$C$26, $C$13, 100%, $E$13)</f>
        <v>17.138100000000001</v>
      </c>
      <c r="C1002" s="66">
        <f>17.1381 * CHOOSE(CONTROL!$C$26, $C$13, 100%, $E$13)</f>
        <v>17.138100000000001</v>
      </c>
      <c r="D1002" s="66">
        <f>17.142 * CHOOSE(CONTROL!$C$26, $C$13, 100%, $E$13)</f>
        <v>17.141999999999999</v>
      </c>
      <c r="E1002" s="67">
        <f>18.9735 * CHOOSE(CONTROL!$C$26, $C$13, 100%, $E$13)</f>
        <v>18.973500000000001</v>
      </c>
      <c r="F1002" s="67">
        <f>18.9735 * CHOOSE(CONTROL!$C$26, $C$13, 100%, $E$13)</f>
        <v>18.973500000000001</v>
      </c>
      <c r="G1002" s="67">
        <f>18.9782 * CHOOSE(CONTROL!$C$26, $C$13, 100%, $E$13)</f>
        <v>18.978200000000001</v>
      </c>
      <c r="H1002" s="67">
        <f>36.0458* CHOOSE(CONTROL!$C$26, $C$13, 100%, $E$13)</f>
        <v>36.0458</v>
      </c>
      <c r="I1002" s="67">
        <f>36.0506 * CHOOSE(CONTROL!$C$26, $C$13, 100%, $E$13)</f>
        <v>36.050600000000003</v>
      </c>
      <c r="J1002" s="67">
        <f>18.9735 * CHOOSE(CONTROL!$C$26, $C$13, 100%, $E$13)</f>
        <v>18.973500000000001</v>
      </c>
      <c r="K1002" s="67">
        <f>18.9782 * CHOOSE(CONTROL!$C$26, $C$13, 100%, $E$13)</f>
        <v>18.978200000000001</v>
      </c>
    </row>
    <row r="1003" spans="1:11" ht="15">
      <c r="A1003" s="13">
        <v>71650</v>
      </c>
      <c r="B1003" s="66">
        <f>17.1351 * CHOOSE(CONTROL!$C$26, $C$13, 100%, $E$13)</f>
        <v>17.135100000000001</v>
      </c>
      <c r="C1003" s="66">
        <f>17.1351 * CHOOSE(CONTROL!$C$26, $C$13, 100%, $E$13)</f>
        <v>17.135100000000001</v>
      </c>
      <c r="D1003" s="66">
        <f>17.1389 * CHOOSE(CONTROL!$C$26, $C$13, 100%, $E$13)</f>
        <v>17.1389</v>
      </c>
      <c r="E1003" s="67">
        <f>19.2463 * CHOOSE(CONTROL!$C$26, $C$13, 100%, $E$13)</f>
        <v>19.246300000000002</v>
      </c>
      <c r="F1003" s="67">
        <f>19.2463 * CHOOSE(CONTROL!$C$26, $C$13, 100%, $E$13)</f>
        <v>19.246300000000002</v>
      </c>
      <c r="G1003" s="67">
        <f>19.2511 * CHOOSE(CONTROL!$C$26, $C$13, 100%, $E$13)</f>
        <v>19.251100000000001</v>
      </c>
      <c r="H1003" s="67">
        <f>36.1209* CHOOSE(CONTROL!$C$26, $C$13, 100%, $E$13)</f>
        <v>36.120899999999999</v>
      </c>
      <c r="I1003" s="67">
        <f>36.1257 * CHOOSE(CONTROL!$C$26, $C$13, 100%, $E$13)</f>
        <v>36.125700000000002</v>
      </c>
      <c r="J1003" s="67">
        <f>19.2463 * CHOOSE(CONTROL!$C$26, $C$13, 100%, $E$13)</f>
        <v>19.246300000000002</v>
      </c>
      <c r="K1003" s="67">
        <f>19.2511 * CHOOSE(CONTROL!$C$26, $C$13, 100%, $E$13)</f>
        <v>19.251100000000001</v>
      </c>
    </row>
    <row r="1004" spans="1:11" ht="15">
      <c r="A1004" s="13">
        <v>71681</v>
      </c>
      <c r="B1004" s="66">
        <f>17.1437 * CHOOSE(CONTROL!$C$26, $C$13, 100%, $E$13)</f>
        <v>17.143699999999999</v>
      </c>
      <c r="C1004" s="66">
        <f>17.1437 * CHOOSE(CONTROL!$C$26, $C$13, 100%, $E$13)</f>
        <v>17.143699999999999</v>
      </c>
      <c r="D1004" s="66">
        <f>17.1476 * CHOOSE(CONTROL!$C$26, $C$13, 100%, $E$13)</f>
        <v>17.147600000000001</v>
      </c>
      <c r="E1004" s="67">
        <f>19.5374 * CHOOSE(CONTROL!$C$26, $C$13, 100%, $E$13)</f>
        <v>19.537400000000002</v>
      </c>
      <c r="F1004" s="67">
        <f>19.5374 * CHOOSE(CONTROL!$C$26, $C$13, 100%, $E$13)</f>
        <v>19.537400000000002</v>
      </c>
      <c r="G1004" s="67">
        <f>19.5422 * CHOOSE(CONTROL!$C$26, $C$13, 100%, $E$13)</f>
        <v>19.542200000000001</v>
      </c>
      <c r="H1004" s="67">
        <f>36.1961* CHOOSE(CONTROL!$C$26, $C$13, 100%, $E$13)</f>
        <v>36.196100000000001</v>
      </c>
      <c r="I1004" s="67">
        <f>36.2009 * CHOOSE(CONTROL!$C$26, $C$13, 100%, $E$13)</f>
        <v>36.200899999999997</v>
      </c>
      <c r="J1004" s="67">
        <f>19.5374 * CHOOSE(CONTROL!$C$26, $C$13, 100%, $E$13)</f>
        <v>19.537400000000002</v>
      </c>
      <c r="K1004" s="67">
        <f>19.5422 * CHOOSE(CONTROL!$C$26, $C$13, 100%, $E$13)</f>
        <v>19.542200000000001</v>
      </c>
    </row>
    <row r="1005" spans="1:11" ht="15">
      <c r="A1005" s="13">
        <v>71711</v>
      </c>
      <c r="B1005" s="66">
        <f>17.1437 * CHOOSE(CONTROL!$C$26, $C$13, 100%, $E$13)</f>
        <v>17.143699999999999</v>
      </c>
      <c r="C1005" s="66">
        <f>17.1437 * CHOOSE(CONTROL!$C$26, $C$13, 100%, $E$13)</f>
        <v>17.143699999999999</v>
      </c>
      <c r="D1005" s="66">
        <f>17.1492 * CHOOSE(CONTROL!$C$26, $C$13, 100%, $E$13)</f>
        <v>17.1492</v>
      </c>
      <c r="E1005" s="67">
        <f>19.6481 * CHOOSE(CONTROL!$C$26, $C$13, 100%, $E$13)</f>
        <v>19.648099999999999</v>
      </c>
      <c r="F1005" s="67">
        <f>19.6481 * CHOOSE(CONTROL!$C$26, $C$13, 100%, $E$13)</f>
        <v>19.648099999999999</v>
      </c>
      <c r="G1005" s="67">
        <f>19.6549 * CHOOSE(CONTROL!$C$26, $C$13, 100%, $E$13)</f>
        <v>19.654900000000001</v>
      </c>
      <c r="H1005" s="67">
        <f>36.2715* CHOOSE(CONTROL!$C$26, $C$13, 100%, $E$13)</f>
        <v>36.271500000000003</v>
      </c>
      <c r="I1005" s="67">
        <f>36.2783 * CHOOSE(CONTROL!$C$26, $C$13, 100%, $E$13)</f>
        <v>36.278300000000002</v>
      </c>
      <c r="J1005" s="67">
        <f>19.6481 * CHOOSE(CONTROL!$C$26, $C$13, 100%, $E$13)</f>
        <v>19.648099999999999</v>
      </c>
      <c r="K1005" s="67">
        <f>19.6549 * CHOOSE(CONTROL!$C$26, $C$13, 100%, $E$13)</f>
        <v>19.654900000000001</v>
      </c>
    </row>
    <row r="1006" spans="1:11" ht="15">
      <c r="A1006" s="13">
        <v>71742</v>
      </c>
      <c r="B1006" s="66">
        <f>17.1498 * CHOOSE(CONTROL!$C$26, $C$13, 100%, $E$13)</f>
        <v>17.149799999999999</v>
      </c>
      <c r="C1006" s="66">
        <f>17.1498 * CHOOSE(CONTROL!$C$26, $C$13, 100%, $E$13)</f>
        <v>17.149799999999999</v>
      </c>
      <c r="D1006" s="66">
        <f>17.1553 * CHOOSE(CONTROL!$C$26, $C$13, 100%, $E$13)</f>
        <v>17.1553</v>
      </c>
      <c r="E1006" s="67">
        <f>19.5416 * CHOOSE(CONTROL!$C$26, $C$13, 100%, $E$13)</f>
        <v>19.541599999999999</v>
      </c>
      <c r="F1006" s="67">
        <f>19.5416 * CHOOSE(CONTROL!$C$26, $C$13, 100%, $E$13)</f>
        <v>19.541599999999999</v>
      </c>
      <c r="G1006" s="67">
        <f>19.5484 * CHOOSE(CONTROL!$C$26, $C$13, 100%, $E$13)</f>
        <v>19.548400000000001</v>
      </c>
      <c r="H1006" s="67">
        <f>36.3471* CHOOSE(CONTROL!$C$26, $C$13, 100%, $E$13)</f>
        <v>36.347099999999998</v>
      </c>
      <c r="I1006" s="67">
        <f>36.3538 * CHOOSE(CONTROL!$C$26, $C$13, 100%, $E$13)</f>
        <v>36.3538</v>
      </c>
      <c r="J1006" s="67">
        <f>19.5416 * CHOOSE(CONTROL!$C$26, $C$13, 100%, $E$13)</f>
        <v>19.541599999999999</v>
      </c>
      <c r="K1006" s="67">
        <f>19.5484 * CHOOSE(CONTROL!$C$26, $C$13, 100%, $E$13)</f>
        <v>19.548400000000001</v>
      </c>
    </row>
    <row r="1007" spans="1:11" ht="15">
      <c r="A1007" s="13">
        <v>71772</v>
      </c>
      <c r="B1007" s="66">
        <f>17.4078 * CHOOSE(CONTROL!$C$26, $C$13, 100%, $E$13)</f>
        <v>17.407800000000002</v>
      </c>
      <c r="C1007" s="66">
        <f>17.4078 * CHOOSE(CONTROL!$C$26, $C$13, 100%, $E$13)</f>
        <v>17.407800000000002</v>
      </c>
      <c r="D1007" s="66">
        <f>17.4133 * CHOOSE(CONTROL!$C$26, $C$13, 100%, $E$13)</f>
        <v>17.4133</v>
      </c>
      <c r="E1007" s="67">
        <f>19.8499 * CHOOSE(CONTROL!$C$26, $C$13, 100%, $E$13)</f>
        <v>19.849900000000002</v>
      </c>
      <c r="F1007" s="67">
        <f>19.8499 * CHOOSE(CONTROL!$C$26, $C$13, 100%, $E$13)</f>
        <v>19.849900000000002</v>
      </c>
      <c r="G1007" s="67">
        <f>19.8567 * CHOOSE(CONTROL!$C$26, $C$13, 100%, $E$13)</f>
        <v>19.8567</v>
      </c>
      <c r="H1007" s="67">
        <f>36.4228* CHOOSE(CONTROL!$C$26, $C$13, 100%, $E$13)</f>
        <v>36.422800000000002</v>
      </c>
      <c r="I1007" s="67">
        <f>36.4296 * CHOOSE(CONTROL!$C$26, $C$13, 100%, $E$13)</f>
        <v>36.429600000000001</v>
      </c>
      <c r="J1007" s="67">
        <f>19.8499 * CHOOSE(CONTROL!$C$26, $C$13, 100%, $E$13)</f>
        <v>19.849900000000002</v>
      </c>
      <c r="K1007" s="67">
        <f>19.8567 * CHOOSE(CONTROL!$C$26, $C$13, 100%, $E$13)</f>
        <v>19.8567</v>
      </c>
    </row>
    <row r="1008" spans="1:11" ht="15">
      <c r="A1008" s="13">
        <v>71803</v>
      </c>
      <c r="B1008" s="66">
        <f>17.4144 * CHOOSE(CONTROL!$C$26, $C$13, 100%, $E$13)</f>
        <v>17.414400000000001</v>
      </c>
      <c r="C1008" s="66">
        <f>17.4144 * CHOOSE(CONTROL!$C$26, $C$13, 100%, $E$13)</f>
        <v>17.414400000000001</v>
      </c>
      <c r="D1008" s="66">
        <f>17.4199 * CHOOSE(CONTROL!$C$26, $C$13, 100%, $E$13)</f>
        <v>17.419899999999998</v>
      </c>
      <c r="E1008" s="67">
        <f>19.5224 * CHOOSE(CONTROL!$C$26, $C$13, 100%, $E$13)</f>
        <v>19.522400000000001</v>
      </c>
      <c r="F1008" s="67">
        <f>19.5224 * CHOOSE(CONTROL!$C$26, $C$13, 100%, $E$13)</f>
        <v>19.522400000000001</v>
      </c>
      <c r="G1008" s="67">
        <f>19.5291 * CHOOSE(CONTROL!$C$26, $C$13, 100%, $E$13)</f>
        <v>19.5291</v>
      </c>
      <c r="H1008" s="67">
        <f>36.4987* CHOOSE(CONTROL!$C$26, $C$13, 100%, $E$13)</f>
        <v>36.498699999999999</v>
      </c>
      <c r="I1008" s="67">
        <f>36.5055 * CHOOSE(CONTROL!$C$26, $C$13, 100%, $E$13)</f>
        <v>36.505499999999998</v>
      </c>
      <c r="J1008" s="67">
        <f>19.5224 * CHOOSE(CONTROL!$C$26, $C$13, 100%, $E$13)</f>
        <v>19.522400000000001</v>
      </c>
      <c r="K1008" s="67">
        <f>19.5291 * CHOOSE(CONTROL!$C$26, $C$13, 100%, $E$13)</f>
        <v>19.5291</v>
      </c>
    </row>
    <row r="1009" spans="1:11" ht="15">
      <c r="A1009" s="13">
        <v>71834</v>
      </c>
      <c r="B1009" s="66">
        <f>17.4114 * CHOOSE(CONTROL!$C$26, $C$13, 100%, $E$13)</f>
        <v>17.4114</v>
      </c>
      <c r="C1009" s="66">
        <f>17.4114 * CHOOSE(CONTROL!$C$26, $C$13, 100%, $E$13)</f>
        <v>17.4114</v>
      </c>
      <c r="D1009" s="66">
        <f>17.4169 * CHOOSE(CONTROL!$C$26, $C$13, 100%, $E$13)</f>
        <v>17.416899999999998</v>
      </c>
      <c r="E1009" s="67">
        <f>19.4834 * CHOOSE(CONTROL!$C$26, $C$13, 100%, $E$13)</f>
        <v>19.4834</v>
      </c>
      <c r="F1009" s="67">
        <f>19.4834 * CHOOSE(CONTROL!$C$26, $C$13, 100%, $E$13)</f>
        <v>19.4834</v>
      </c>
      <c r="G1009" s="67">
        <f>19.4901 * CHOOSE(CONTROL!$C$26, $C$13, 100%, $E$13)</f>
        <v>19.490100000000002</v>
      </c>
      <c r="H1009" s="67">
        <f>36.5748* CHOOSE(CONTROL!$C$26, $C$13, 100%, $E$13)</f>
        <v>36.574800000000003</v>
      </c>
      <c r="I1009" s="67">
        <f>36.5815 * CHOOSE(CONTROL!$C$26, $C$13, 100%, $E$13)</f>
        <v>36.581499999999998</v>
      </c>
      <c r="J1009" s="67">
        <f>19.4834 * CHOOSE(CONTROL!$C$26, $C$13, 100%, $E$13)</f>
        <v>19.4834</v>
      </c>
      <c r="K1009" s="67">
        <f>19.4901 * CHOOSE(CONTROL!$C$26, $C$13, 100%, $E$13)</f>
        <v>19.490100000000002</v>
      </c>
    </row>
    <row r="1010" spans="1:11" ht="15">
      <c r="A1010" s="13">
        <v>71864</v>
      </c>
      <c r="B1010" s="66">
        <f>17.4495 * CHOOSE(CONTROL!$C$26, $C$13, 100%, $E$13)</f>
        <v>17.4495</v>
      </c>
      <c r="C1010" s="66">
        <f>17.4495 * CHOOSE(CONTROL!$C$26, $C$13, 100%, $E$13)</f>
        <v>17.4495</v>
      </c>
      <c r="D1010" s="66">
        <f>17.4534 * CHOOSE(CONTROL!$C$26, $C$13, 100%, $E$13)</f>
        <v>17.453399999999998</v>
      </c>
      <c r="E1010" s="67">
        <f>19.6176 * CHOOSE(CONTROL!$C$26, $C$13, 100%, $E$13)</f>
        <v>19.617599999999999</v>
      </c>
      <c r="F1010" s="67">
        <f>19.6176 * CHOOSE(CONTROL!$C$26, $C$13, 100%, $E$13)</f>
        <v>19.617599999999999</v>
      </c>
      <c r="G1010" s="67">
        <f>19.6224 * CHOOSE(CONTROL!$C$26, $C$13, 100%, $E$13)</f>
        <v>19.622399999999999</v>
      </c>
      <c r="H1010" s="67">
        <f>36.6509* CHOOSE(CONTROL!$C$26, $C$13, 100%, $E$13)</f>
        <v>36.6509</v>
      </c>
      <c r="I1010" s="67">
        <f>36.6557 * CHOOSE(CONTROL!$C$26, $C$13, 100%, $E$13)</f>
        <v>36.655700000000003</v>
      </c>
      <c r="J1010" s="67">
        <f>19.6176 * CHOOSE(CONTROL!$C$26, $C$13, 100%, $E$13)</f>
        <v>19.617599999999999</v>
      </c>
      <c r="K1010" s="67">
        <f>19.6224 * CHOOSE(CONTROL!$C$26, $C$13, 100%, $E$13)</f>
        <v>19.622399999999999</v>
      </c>
    </row>
    <row r="1011" spans="1:11" ht="15">
      <c r="A1011" s="13">
        <v>71895</v>
      </c>
      <c r="B1011" s="66">
        <f>17.4526 * CHOOSE(CONTROL!$C$26, $C$13, 100%, $E$13)</f>
        <v>17.4526</v>
      </c>
      <c r="C1011" s="66">
        <f>17.4526 * CHOOSE(CONTROL!$C$26, $C$13, 100%, $E$13)</f>
        <v>17.4526</v>
      </c>
      <c r="D1011" s="66">
        <f>17.4564 * CHOOSE(CONTROL!$C$26, $C$13, 100%, $E$13)</f>
        <v>17.456399999999999</v>
      </c>
      <c r="E1011" s="67">
        <f>19.6935 * CHOOSE(CONTROL!$C$26, $C$13, 100%, $E$13)</f>
        <v>19.6935</v>
      </c>
      <c r="F1011" s="67">
        <f>19.6935 * CHOOSE(CONTROL!$C$26, $C$13, 100%, $E$13)</f>
        <v>19.6935</v>
      </c>
      <c r="G1011" s="67">
        <f>19.6983 * CHOOSE(CONTROL!$C$26, $C$13, 100%, $E$13)</f>
        <v>19.6983</v>
      </c>
      <c r="H1011" s="67">
        <f>36.7273* CHOOSE(CONTROL!$C$26, $C$13, 100%, $E$13)</f>
        <v>36.7273</v>
      </c>
      <c r="I1011" s="67">
        <f>36.7321 * CHOOSE(CONTROL!$C$26, $C$13, 100%, $E$13)</f>
        <v>36.732100000000003</v>
      </c>
      <c r="J1011" s="67">
        <f>19.6935 * CHOOSE(CONTROL!$C$26, $C$13, 100%, $E$13)</f>
        <v>19.6935</v>
      </c>
      <c r="K1011" s="67">
        <f>19.6983 * CHOOSE(CONTROL!$C$26, $C$13, 100%, $E$13)</f>
        <v>19.6983</v>
      </c>
    </row>
    <row r="1012" spans="1:11" ht="15">
      <c r="A1012" s="13">
        <v>71925</v>
      </c>
      <c r="B1012" s="66">
        <f>17.4526 * CHOOSE(CONTROL!$C$26, $C$13, 100%, $E$13)</f>
        <v>17.4526</v>
      </c>
      <c r="C1012" s="66">
        <f>17.4526 * CHOOSE(CONTROL!$C$26, $C$13, 100%, $E$13)</f>
        <v>17.4526</v>
      </c>
      <c r="D1012" s="66">
        <f>17.4564 * CHOOSE(CONTROL!$C$26, $C$13, 100%, $E$13)</f>
        <v>17.456399999999999</v>
      </c>
      <c r="E1012" s="67">
        <f>19.509 * CHOOSE(CONTROL!$C$26, $C$13, 100%, $E$13)</f>
        <v>19.509</v>
      </c>
      <c r="F1012" s="67">
        <f>19.509 * CHOOSE(CONTROL!$C$26, $C$13, 100%, $E$13)</f>
        <v>19.509</v>
      </c>
      <c r="G1012" s="67">
        <f>19.5137 * CHOOSE(CONTROL!$C$26, $C$13, 100%, $E$13)</f>
        <v>19.5137</v>
      </c>
      <c r="H1012" s="67">
        <f>36.8038* CHOOSE(CONTROL!$C$26, $C$13, 100%, $E$13)</f>
        <v>36.803800000000003</v>
      </c>
      <c r="I1012" s="67">
        <f>36.8086 * CHOOSE(CONTROL!$C$26, $C$13, 100%, $E$13)</f>
        <v>36.808599999999998</v>
      </c>
      <c r="J1012" s="67">
        <f>19.509 * CHOOSE(CONTROL!$C$26, $C$13, 100%, $E$13)</f>
        <v>19.509</v>
      </c>
      <c r="K1012" s="67">
        <f>19.5137 * CHOOSE(CONTROL!$C$26, $C$13, 100%, $E$13)</f>
        <v>19.5137</v>
      </c>
    </row>
    <row r="1013" spans="1:11" ht="15">
      <c r="A1013" s="13">
        <v>71956</v>
      </c>
      <c r="B1013" s="66">
        <f>17.3767 * CHOOSE(CONTROL!$C$26, $C$13, 100%, $E$13)</f>
        <v>17.3767</v>
      </c>
      <c r="C1013" s="66">
        <f>17.3767 * CHOOSE(CONTROL!$C$26, $C$13, 100%, $E$13)</f>
        <v>17.3767</v>
      </c>
      <c r="D1013" s="66">
        <f>17.3806 * CHOOSE(CONTROL!$C$26, $C$13, 100%, $E$13)</f>
        <v>17.380600000000001</v>
      </c>
      <c r="E1013" s="67">
        <f>19.5791 * CHOOSE(CONTROL!$C$26, $C$13, 100%, $E$13)</f>
        <v>19.5791</v>
      </c>
      <c r="F1013" s="67">
        <f>19.5791 * CHOOSE(CONTROL!$C$26, $C$13, 100%, $E$13)</f>
        <v>19.5791</v>
      </c>
      <c r="G1013" s="67">
        <f>19.5839 * CHOOSE(CONTROL!$C$26, $C$13, 100%, $E$13)</f>
        <v>19.5839</v>
      </c>
      <c r="H1013" s="67">
        <f>36.4534* CHOOSE(CONTROL!$C$26, $C$13, 100%, $E$13)</f>
        <v>36.453400000000002</v>
      </c>
      <c r="I1013" s="67">
        <f>36.4582 * CHOOSE(CONTROL!$C$26, $C$13, 100%, $E$13)</f>
        <v>36.458199999999998</v>
      </c>
      <c r="J1013" s="67">
        <f>19.5791 * CHOOSE(CONTROL!$C$26, $C$13, 100%, $E$13)</f>
        <v>19.5791</v>
      </c>
      <c r="K1013" s="67">
        <f>19.5839 * CHOOSE(CONTROL!$C$26, $C$13, 100%, $E$13)</f>
        <v>19.5839</v>
      </c>
    </row>
    <row r="1014" spans="1:11" ht="15">
      <c r="A1014" s="13">
        <v>71987</v>
      </c>
      <c r="B1014" s="66">
        <f>17.3737 * CHOOSE(CONTROL!$C$26, $C$13, 100%, $E$13)</f>
        <v>17.373699999999999</v>
      </c>
      <c r="C1014" s="66">
        <f>17.3737 * CHOOSE(CONTROL!$C$26, $C$13, 100%, $E$13)</f>
        <v>17.373699999999999</v>
      </c>
      <c r="D1014" s="66">
        <f>17.3776 * CHOOSE(CONTROL!$C$26, $C$13, 100%, $E$13)</f>
        <v>17.377600000000001</v>
      </c>
      <c r="E1014" s="67">
        <f>19.2233 * CHOOSE(CONTROL!$C$26, $C$13, 100%, $E$13)</f>
        <v>19.223299999999998</v>
      </c>
      <c r="F1014" s="67">
        <f>19.2233 * CHOOSE(CONTROL!$C$26, $C$13, 100%, $E$13)</f>
        <v>19.223299999999998</v>
      </c>
      <c r="G1014" s="67">
        <f>19.228 * CHOOSE(CONTROL!$C$26, $C$13, 100%, $E$13)</f>
        <v>19.228000000000002</v>
      </c>
      <c r="H1014" s="67">
        <f>36.5293* CHOOSE(CONTROL!$C$26, $C$13, 100%, $E$13)</f>
        <v>36.529299999999999</v>
      </c>
      <c r="I1014" s="67">
        <f>36.5341 * CHOOSE(CONTROL!$C$26, $C$13, 100%, $E$13)</f>
        <v>36.534100000000002</v>
      </c>
      <c r="J1014" s="67">
        <f>19.2233 * CHOOSE(CONTROL!$C$26, $C$13, 100%, $E$13)</f>
        <v>19.223299999999998</v>
      </c>
      <c r="K1014" s="67">
        <f>19.228 * CHOOSE(CONTROL!$C$26, $C$13, 100%, $E$13)</f>
        <v>19.228000000000002</v>
      </c>
    </row>
    <row r="1015" spans="1:11" ht="15">
      <c r="A1015" s="13">
        <v>72015</v>
      </c>
      <c r="B1015" s="66">
        <f>17.3706 * CHOOSE(CONTROL!$C$26, $C$13, 100%, $E$13)</f>
        <v>17.3706</v>
      </c>
      <c r="C1015" s="66">
        <f>17.3706 * CHOOSE(CONTROL!$C$26, $C$13, 100%, $E$13)</f>
        <v>17.3706</v>
      </c>
      <c r="D1015" s="66">
        <f>17.3745 * CHOOSE(CONTROL!$C$26, $C$13, 100%, $E$13)</f>
        <v>17.374500000000001</v>
      </c>
      <c r="E1015" s="67">
        <f>19.5 * CHOOSE(CONTROL!$C$26, $C$13, 100%, $E$13)</f>
        <v>19.5</v>
      </c>
      <c r="F1015" s="67">
        <f>19.5 * CHOOSE(CONTROL!$C$26, $C$13, 100%, $E$13)</f>
        <v>19.5</v>
      </c>
      <c r="G1015" s="67">
        <f>19.5048 * CHOOSE(CONTROL!$C$26, $C$13, 100%, $E$13)</f>
        <v>19.504799999999999</v>
      </c>
      <c r="H1015" s="67">
        <f>36.6054* CHOOSE(CONTROL!$C$26, $C$13, 100%, $E$13)</f>
        <v>36.605400000000003</v>
      </c>
      <c r="I1015" s="67">
        <f>36.6102 * CHOOSE(CONTROL!$C$26, $C$13, 100%, $E$13)</f>
        <v>36.610199999999999</v>
      </c>
      <c r="J1015" s="67">
        <f>19.5 * CHOOSE(CONTROL!$C$26, $C$13, 100%, $E$13)</f>
        <v>19.5</v>
      </c>
      <c r="K1015" s="67">
        <f>19.5048 * CHOOSE(CONTROL!$C$26, $C$13, 100%, $E$13)</f>
        <v>19.504799999999999</v>
      </c>
    </row>
    <row r="1016" spans="1:11" ht="15">
      <c r="A1016" s="13">
        <v>72046</v>
      </c>
      <c r="B1016" s="66">
        <f>17.3795 * CHOOSE(CONTROL!$C$26, $C$13, 100%, $E$13)</f>
        <v>17.3795</v>
      </c>
      <c r="C1016" s="66">
        <f>17.3795 * CHOOSE(CONTROL!$C$26, $C$13, 100%, $E$13)</f>
        <v>17.3795</v>
      </c>
      <c r="D1016" s="66">
        <f>17.3833 * CHOOSE(CONTROL!$C$26, $C$13, 100%, $E$13)</f>
        <v>17.383299999999998</v>
      </c>
      <c r="E1016" s="67">
        <f>19.7952 * CHOOSE(CONTROL!$C$26, $C$13, 100%, $E$13)</f>
        <v>19.795200000000001</v>
      </c>
      <c r="F1016" s="67">
        <f>19.7952 * CHOOSE(CONTROL!$C$26, $C$13, 100%, $E$13)</f>
        <v>19.795200000000001</v>
      </c>
      <c r="G1016" s="67">
        <f>19.8 * CHOOSE(CONTROL!$C$26, $C$13, 100%, $E$13)</f>
        <v>19.8</v>
      </c>
      <c r="H1016" s="67">
        <f>36.6817* CHOOSE(CONTROL!$C$26, $C$13, 100%, $E$13)</f>
        <v>36.681699999999999</v>
      </c>
      <c r="I1016" s="67">
        <f>36.6865 * CHOOSE(CONTROL!$C$26, $C$13, 100%, $E$13)</f>
        <v>36.686500000000002</v>
      </c>
      <c r="J1016" s="67">
        <f>19.7952 * CHOOSE(CONTROL!$C$26, $C$13, 100%, $E$13)</f>
        <v>19.795200000000001</v>
      </c>
      <c r="K1016" s="67">
        <f>19.8 * CHOOSE(CONTROL!$C$26, $C$13, 100%, $E$13)</f>
        <v>19.8</v>
      </c>
    </row>
    <row r="1017" spans="1:11" ht="15">
      <c r="A1017" s="13">
        <v>72076</v>
      </c>
      <c r="B1017" s="66">
        <f>17.3795 * CHOOSE(CONTROL!$C$26, $C$13, 100%, $E$13)</f>
        <v>17.3795</v>
      </c>
      <c r="C1017" s="66">
        <f>17.3795 * CHOOSE(CONTROL!$C$26, $C$13, 100%, $E$13)</f>
        <v>17.3795</v>
      </c>
      <c r="D1017" s="66">
        <f>17.385 * CHOOSE(CONTROL!$C$26, $C$13, 100%, $E$13)</f>
        <v>17.385000000000002</v>
      </c>
      <c r="E1017" s="67">
        <f>19.9075 * CHOOSE(CONTROL!$C$26, $C$13, 100%, $E$13)</f>
        <v>19.907499999999999</v>
      </c>
      <c r="F1017" s="67">
        <f>19.9075 * CHOOSE(CONTROL!$C$26, $C$13, 100%, $E$13)</f>
        <v>19.907499999999999</v>
      </c>
      <c r="G1017" s="67">
        <f>19.9143 * CHOOSE(CONTROL!$C$26, $C$13, 100%, $E$13)</f>
        <v>19.914300000000001</v>
      </c>
      <c r="H1017" s="67">
        <f>36.7581* CHOOSE(CONTROL!$C$26, $C$13, 100%, $E$13)</f>
        <v>36.758099999999999</v>
      </c>
      <c r="I1017" s="67">
        <f>36.7649 * CHOOSE(CONTROL!$C$26, $C$13, 100%, $E$13)</f>
        <v>36.764899999999997</v>
      </c>
      <c r="J1017" s="67">
        <f>19.9075 * CHOOSE(CONTROL!$C$26, $C$13, 100%, $E$13)</f>
        <v>19.907499999999999</v>
      </c>
      <c r="K1017" s="67">
        <f>19.9143 * CHOOSE(CONTROL!$C$26, $C$13, 100%, $E$13)</f>
        <v>19.914300000000001</v>
      </c>
    </row>
    <row r="1018" spans="1:11" ht="15">
      <c r="A1018" s="13">
        <v>72107</v>
      </c>
      <c r="B1018" s="66">
        <f>17.3855 * CHOOSE(CONTROL!$C$26, $C$13, 100%, $E$13)</f>
        <v>17.3855</v>
      </c>
      <c r="C1018" s="66">
        <f>17.3855 * CHOOSE(CONTROL!$C$26, $C$13, 100%, $E$13)</f>
        <v>17.3855</v>
      </c>
      <c r="D1018" s="66">
        <f>17.3911 * CHOOSE(CONTROL!$C$26, $C$13, 100%, $E$13)</f>
        <v>17.391100000000002</v>
      </c>
      <c r="E1018" s="67">
        <f>19.7995 * CHOOSE(CONTROL!$C$26, $C$13, 100%, $E$13)</f>
        <v>19.799499999999998</v>
      </c>
      <c r="F1018" s="67">
        <f>19.7995 * CHOOSE(CONTROL!$C$26, $C$13, 100%, $E$13)</f>
        <v>19.799499999999998</v>
      </c>
      <c r="G1018" s="67">
        <f>19.8062 * CHOOSE(CONTROL!$C$26, $C$13, 100%, $E$13)</f>
        <v>19.8062</v>
      </c>
      <c r="H1018" s="67">
        <f>36.8347* CHOOSE(CONTROL!$C$26, $C$13, 100%, $E$13)</f>
        <v>36.834699999999998</v>
      </c>
      <c r="I1018" s="67">
        <f>36.8414 * CHOOSE(CONTROL!$C$26, $C$13, 100%, $E$13)</f>
        <v>36.8414</v>
      </c>
      <c r="J1018" s="67">
        <f>19.7995 * CHOOSE(CONTROL!$C$26, $C$13, 100%, $E$13)</f>
        <v>19.799499999999998</v>
      </c>
      <c r="K1018" s="67">
        <f>19.8062 * CHOOSE(CONTROL!$C$26, $C$13, 100%, $E$13)</f>
        <v>19.8062</v>
      </c>
    </row>
    <row r="1019" spans="1:11" ht="15">
      <c r="A1019" s="13">
        <v>72137</v>
      </c>
      <c r="B1019" s="66">
        <f>17.6469 * CHOOSE(CONTROL!$C$26, $C$13, 100%, $E$13)</f>
        <v>17.646899999999999</v>
      </c>
      <c r="C1019" s="66">
        <f>17.6469 * CHOOSE(CONTROL!$C$26, $C$13, 100%, $E$13)</f>
        <v>17.646899999999999</v>
      </c>
      <c r="D1019" s="66">
        <f>17.6524 * CHOOSE(CONTROL!$C$26, $C$13, 100%, $E$13)</f>
        <v>17.6524</v>
      </c>
      <c r="E1019" s="67">
        <f>20.1117 * CHOOSE(CONTROL!$C$26, $C$13, 100%, $E$13)</f>
        <v>20.111699999999999</v>
      </c>
      <c r="F1019" s="67">
        <f>20.1117 * CHOOSE(CONTROL!$C$26, $C$13, 100%, $E$13)</f>
        <v>20.111699999999999</v>
      </c>
      <c r="G1019" s="67">
        <f>20.1185 * CHOOSE(CONTROL!$C$26, $C$13, 100%, $E$13)</f>
        <v>20.118500000000001</v>
      </c>
      <c r="H1019" s="67">
        <f>36.9114* CHOOSE(CONTROL!$C$26, $C$13, 100%, $E$13)</f>
        <v>36.9114</v>
      </c>
      <c r="I1019" s="67">
        <f>36.9182 * CHOOSE(CONTROL!$C$26, $C$13, 100%, $E$13)</f>
        <v>36.918199999999999</v>
      </c>
      <c r="J1019" s="67">
        <f>20.1117 * CHOOSE(CONTROL!$C$26, $C$13, 100%, $E$13)</f>
        <v>20.111699999999999</v>
      </c>
      <c r="K1019" s="67">
        <f>20.1185 * CHOOSE(CONTROL!$C$26, $C$13, 100%, $E$13)</f>
        <v>20.118500000000001</v>
      </c>
    </row>
    <row r="1020" spans="1:11" ht="15">
      <c r="A1020" s="13">
        <v>72168</v>
      </c>
      <c r="B1020" s="66">
        <f>17.6536 * CHOOSE(CONTROL!$C$26, $C$13, 100%, $E$13)</f>
        <v>17.653600000000001</v>
      </c>
      <c r="C1020" s="66">
        <f>17.6536 * CHOOSE(CONTROL!$C$26, $C$13, 100%, $E$13)</f>
        <v>17.653600000000001</v>
      </c>
      <c r="D1020" s="66">
        <f>17.6591 * CHOOSE(CONTROL!$C$26, $C$13, 100%, $E$13)</f>
        <v>17.659099999999999</v>
      </c>
      <c r="E1020" s="67">
        <f>19.7795 * CHOOSE(CONTROL!$C$26, $C$13, 100%, $E$13)</f>
        <v>19.779499999999999</v>
      </c>
      <c r="F1020" s="67">
        <f>19.7795 * CHOOSE(CONTROL!$C$26, $C$13, 100%, $E$13)</f>
        <v>19.779499999999999</v>
      </c>
      <c r="G1020" s="67">
        <f>19.7862 * CHOOSE(CONTROL!$C$26, $C$13, 100%, $E$13)</f>
        <v>19.786200000000001</v>
      </c>
      <c r="H1020" s="67">
        <f>36.9883* CHOOSE(CONTROL!$C$26, $C$13, 100%, $E$13)</f>
        <v>36.988300000000002</v>
      </c>
      <c r="I1020" s="67">
        <f>36.9951 * CHOOSE(CONTROL!$C$26, $C$13, 100%, $E$13)</f>
        <v>36.995100000000001</v>
      </c>
      <c r="J1020" s="67">
        <f>19.7795 * CHOOSE(CONTROL!$C$26, $C$13, 100%, $E$13)</f>
        <v>19.779499999999999</v>
      </c>
      <c r="K1020" s="67">
        <f>19.7862 * CHOOSE(CONTROL!$C$26, $C$13, 100%, $E$13)</f>
        <v>19.786200000000001</v>
      </c>
    </row>
    <row r="1021" spans="1:11" ht="15">
      <c r="A1021" s="13">
        <v>72199</v>
      </c>
      <c r="B1021" s="66">
        <f>17.6506 * CHOOSE(CONTROL!$C$26, $C$13, 100%, $E$13)</f>
        <v>17.650600000000001</v>
      </c>
      <c r="C1021" s="66">
        <f>17.6506 * CHOOSE(CONTROL!$C$26, $C$13, 100%, $E$13)</f>
        <v>17.650600000000001</v>
      </c>
      <c r="D1021" s="66">
        <f>17.6561 * CHOOSE(CONTROL!$C$26, $C$13, 100%, $E$13)</f>
        <v>17.656099999999999</v>
      </c>
      <c r="E1021" s="67">
        <f>19.7399 * CHOOSE(CONTROL!$C$26, $C$13, 100%, $E$13)</f>
        <v>19.739899999999999</v>
      </c>
      <c r="F1021" s="67">
        <f>19.7399 * CHOOSE(CONTROL!$C$26, $C$13, 100%, $E$13)</f>
        <v>19.739899999999999</v>
      </c>
      <c r="G1021" s="67">
        <f>19.7466 * CHOOSE(CONTROL!$C$26, $C$13, 100%, $E$13)</f>
        <v>19.746600000000001</v>
      </c>
      <c r="H1021" s="67">
        <f>37.0654* CHOOSE(CONTROL!$C$26, $C$13, 100%, $E$13)</f>
        <v>37.065399999999997</v>
      </c>
      <c r="I1021" s="67">
        <f>37.0721 * CHOOSE(CONTROL!$C$26, $C$13, 100%, $E$13)</f>
        <v>37.072099999999999</v>
      </c>
      <c r="J1021" s="67">
        <f>19.7399 * CHOOSE(CONTROL!$C$26, $C$13, 100%, $E$13)</f>
        <v>19.739899999999999</v>
      </c>
      <c r="K1021" s="67">
        <f>19.7466 * CHOOSE(CONTROL!$C$26, $C$13, 100%, $E$13)</f>
        <v>19.746600000000001</v>
      </c>
    </row>
    <row r="1022" spans="1:11" ht="15">
      <c r="A1022" s="13">
        <v>72229</v>
      </c>
      <c r="B1022" s="66">
        <f>17.6895 * CHOOSE(CONTROL!$C$26, $C$13, 100%, $E$13)</f>
        <v>17.689499999999999</v>
      </c>
      <c r="C1022" s="66">
        <f>17.6895 * CHOOSE(CONTROL!$C$26, $C$13, 100%, $E$13)</f>
        <v>17.689499999999999</v>
      </c>
      <c r="D1022" s="66">
        <f>17.6933 * CHOOSE(CONTROL!$C$26, $C$13, 100%, $E$13)</f>
        <v>17.693300000000001</v>
      </c>
      <c r="E1022" s="67">
        <f>19.8762 * CHOOSE(CONTROL!$C$26, $C$13, 100%, $E$13)</f>
        <v>19.876200000000001</v>
      </c>
      <c r="F1022" s="67">
        <f>19.8762 * CHOOSE(CONTROL!$C$26, $C$13, 100%, $E$13)</f>
        <v>19.876200000000001</v>
      </c>
      <c r="G1022" s="67">
        <f>19.881 * CHOOSE(CONTROL!$C$26, $C$13, 100%, $E$13)</f>
        <v>19.881</v>
      </c>
      <c r="H1022" s="67">
        <f>37.1426* CHOOSE(CONTROL!$C$26, $C$13, 100%, $E$13)</f>
        <v>37.142600000000002</v>
      </c>
      <c r="I1022" s="67">
        <f>37.1474 * CHOOSE(CONTROL!$C$26, $C$13, 100%, $E$13)</f>
        <v>37.147399999999998</v>
      </c>
      <c r="J1022" s="67">
        <f>19.8762 * CHOOSE(CONTROL!$C$26, $C$13, 100%, $E$13)</f>
        <v>19.876200000000001</v>
      </c>
      <c r="K1022" s="67">
        <f>19.881 * CHOOSE(CONTROL!$C$26, $C$13, 100%, $E$13)</f>
        <v>19.881</v>
      </c>
    </row>
    <row r="1023" spans="1:11" ht="15">
      <c r="A1023" s="13">
        <v>72260</v>
      </c>
      <c r="B1023" s="66">
        <f>17.6925 * CHOOSE(CONTROL!$C$26, $C$13, 100%, $E$13)</f>
        <v>17.692499999999999</v>
      </c>
      <c r="C1023" s="66">
        <f>17.6925 * CHOOSE(CONTROL!$C$26, $C$13, 100%, $E$13)</f>
        <v>17.692499999999999</v>
      </c>
      <c r="D1023" s="66">
        <f>17.6964 * CHOOSE(CONTROL!$C$26, $C$13, 100%, $E$13)</f>
        <v>17.696400000000001</v>
      </c>
      <c r="E1023" s="67">
        <f>19.9532 * CHOOSE(CONTROL!$C$26, $C$13, 100%, $E$13)</f>
        <v>19.953199999999999</v>
      </c>
      <c r="F1023" s="67">
        <f>19.9532 * CHOOSE(CONTROL!$C$26, $C$13, 100%, $E$13)</f>
        <v>19.953199999999999</v>
      </c>
      <c r="G1023" s="67">
        <f>19.958 * CHOOSE(CONTROL!$C$26, $C$13, 100%, $E$13)</f>
        <v>19.957999999999998</v>
      </c>
      <c r="H1023" s="67">
        <f>37.22* CHOOSE(CONTROL!$C$26, $C$13, 100%, $E$13)</f>
        <v>37.22</v>
      </c>
      <c r="I1023" s="67">
        <f>37.2248 * CHOOSE(CONTROL!$C$26, $C$13, 100%, $E$13)</f>
        <v>37.224800000000002</v>
      </c>
      <c r="J1023" s="67">
        <f>19.9532 * CHOOSE(CONTROL!$C$26, $C$13, 100%, $E$13)</f>
        <v>19.953199999999999</v>
      </c>
      <c r="K1023" s="67">
        <f>19.958 * CHOOSE(CONTROL!$C$26, $C$13, 100%, $E$13)</f>
        <v>19.957999999999998</v>
      </c>
    </row>
    <row r="1024" spans="1:11" ht="15">
      <c r="A1024" s="13">
        <v>72290</v>
      </c>
      <c r="B1024" s="66">
        <f>17.6925 * CHOOSE(CONTROL!$C$26, $C$13, 100%, $E$13)</f>
        <v>17.692499999999999</v>
      </c>
      <c r="C1024" s="66">
        <f>17.6925 * CHOOSE(CONTROL!$C$26, $C$13, 100%, $E$13)</f>
        <v>17.692499999999999</v>
      </c>
      <c r="D1024" s="66">
        <f>17.6964 * CHOOSE(CONTROL!$C$26, $C$13, 100%, $E$13)</f>
        <v>17.696400000000001</v>
      </c>
      <c r="E1024" s="67">
        <f>19.766 * CHOOSE(CONTROL!$C$26, $C$13, 100%, $E$13)</f>
        <v>19.765999999999998</v>
      </c>
      <c r="F1024" s="67">
        <f>19.766 * CHOOSE(CONTROL!$C$26, $C$13, 100%, $E$13)</f>
        <v>19.765999999999998</v>
      </c>
      <c r="G1024" s="67">
        <f>19.7708 * CHOOSE(CONTROL!$C$26, $C$13, 100%, $E$13)</f>
        <v>19.770800000000001</v>
      </c>
      <c r="H1024" s="67">
        <f>37.2975* CHOOSE(CONTROL!$C$26, $C$13, 100%, $E$13)</f>
        <v>37.297499999999999</v>
      </c>
      <c r="I1024" s="67">
        <f>37.3023 * CHOOSE(CONTROL!$C$26, $C$13, 100%, $E$13)</f>
        <v>37.302300000000002</v>
      </c>
      <c r="J1024" s="67">
        <f>19.766 * CHOOSE(CONTROL!$C$26, $C$13, 100%, $E$13)</f>
        <v>19.765999999999998</v>
      </c>
      <c r="K1024" s="67">
        <f>19.7708 * CHOOSE(CONTROL!$C$26, $C$13, 100%, $E$13)</f>
        <v>19.770800000000001</v>
      </c>
    </row>
    <row r="1025" spans="1:11" ht="15">
      <c r="A1025" s="13">
        <v>72321</v>
      </c>
      <c r="B1025" s="66">
        <f>17.6123 * CHOOSE(CONTROL!$C$26, $C$13, 100%, $E$13)</f>
        <v>17.612300000000001</v>
      </c>
      <c r="C1025" s="66">
        <f>17.6123 * CHOOSE(CONTROL!$C$26, $C$13, 100%, $E$13)</f>
        <v>17.612300000000001</v>
      </c>
      <c r="D1025" s="66">
        <f>17.6162 * CHOOSE(CONTROL!$C$26, $C$13, 100%, $E$13)</f>
        <v>17.616199999999999</v>
      </c>
      <c r="E1025" s="67">
        <f>19.8338 * CHOOSE(CONTROL!$C$26, $C$13, 100%, $E$13)</f>
        <v>19.8338</v>
      </c>
      <c r="F1025" s="67">
        <f>19.8338 * CHOOSE(CONTROL!$C$26, $C$13, 100%, $E$13)</f>
        <v>19.8338</v>
      </c>
      <c r="G1025" s="67">
        <f>19.8386 * CHOOSE(CONTROL!$C$26, $C$13, 100%, $E$13)</f>
        <v>19.8386</v>
      </c>
      <c r="H1025" s="67">
        <f>36.9359* CHOOSE(CONTROL!$C$26, $C$13, 100%, $E$13)</f>
        <v>36.935899999999997</v>
      </c>
      <c r="I1025" s="67">
        <f>36.9407 * CHOOSE(CONTROL!$C$26, $C$13, 100%, $E$13)</f>
        <v>36.9407</v>
      </c>
      <c r="J1025" s="67">
        <f>19.8338 * CHOOSE(CONTROL!$C$26, $C$13, 100%, $E$13)</f>
        <v>19.8338</v>
      </c>
      <c r="K1025" s="67">
        <f>19.8386 * CHOOSE(CONTROL!$C$26, $C$13, 100%, $E$13)</f>
        <v>19.8386</v>
      </c>
    </row>
    <row r="1026" spans="1:11" ht="15">
      <c r="A1026" s="13">
        <v>72352</v>
      </c>
      <c r="B1026" s="66">
        <f>17.6093 * CHOOSE(CONTROL!$C$26, $C$13, 100%, $E$13)</f>
        <v>17.609300000000001</v>
      </c>
      <c r="C1026" s="66">
        <f>17.6093 * CHOOSE(CONTROL!$C$26, $C$13, 100%, $E$13)</f>
        <v>17.609300000000001</v>
      </c>
      <c r="D1026" s="66">
        <f>17.6131 * CHOOSE(CONTROL!$C$26, $C$13, 100%, $E$13)</f>
        <v>17.613099999999999</v>
      </c>
      <c r="E1026" s="67">
        <f>19.473 * CHOOSE(CONTROL!$C$26, $C$13, 100%, $E$13)</f>
        <v>19.472999999999999</v>
      </c>
      <c r="F1026" s="67">
        <f>19.473 * CHOOSE(CONTROL!$C$26, $C$13, 100%, $E$13)</f>
        <v>19.472999999999999</v>
      </c>
      <c r="G1026" s="67">
        <f>19.4778 * CHOOSE(CONTROL!$C$26, $C$13, 100%, $E$13)</f>
        <v>19.477799999999998</v>
      </c>
      <c r="H1026" s="67">
        <f>37.0129* CHOOSE(CONTROL!$C$26, $C$13, 100%, $E$13)</f>
        <v>37.012900000000002</v>
      </c>
      <c r="I1026" s="67">
        <f>37.0177 * CHOOSE(CONTROL!$C$26, $C$13, 100%, $E$13)</f>
        <v>37.017699999999998</v>
      </c>
      <c r="J1026" s="67">
        <f>19.473 * CHOOSE(CONTROL!$C$26, $C$13, 100%, $E$13)</f>
        <v>19.472999999999999</v>
      </c>
      <c r="K1026" s="67">
        <f>19.4778 * CHOOSE(CONTROL!$C$26, $C$13, 100%, $E$13)</f>
        <v>19.477799999999998</v>
      </c>
    </row>
    <row r="1027" spans="1:11" ht="15">
      <c r="A1027" s="13">
        <v>72380</v>
      </c>
      <c r="B1027" s="66">
        <f>17.6062 * CHOOSE(CONTROL!$C$26, $C$13, 100%, $E$13)</f>
        <v>17.606200000000001</v>
      </c>
      <c r="C1027" s="66">
        <f>17.6062 * CHOOSE(CONTROL!$C$26, $C$13, 100%, $E$13)</f>
        <v>17.606200000000001</v>
      </c>
      <c r="D1027" s="66">
        <f>17.6101 * CHOOSE(CONTROL!$C$26, $C$13, 100%, $E$13)</f>
        <v>17.610099999999999</v>
      </c>
      <c r="E1027" s="67">
        <f>19.7537 * CHOOSE(CONTROL!$C$26, $C$13, 100%, $E$13)</f>
        <v>19.753699999999998</v>
      </c>
      <c r="F1027" s="67">
        <f>19.7537 * CHOOSE(CONTROL!$C$26, $C$13, 100%, $E$13)</f>
        <v>19.753699999999998</v>
      </c>
      <c r="G1027" s="67">
        <f>19.7584 * CHOOSE(CONTROL!$C$26, $C$13, 100%, $E$13)</f>
        <v>19.758400000000002</v>
      </c>
      <c r="H1027" s="67">
        <f>37.09* CHOOSE(CONTROL!$C$26, $C$13, 100%, $E$13)</f>
        <v>37.090000000000003</v>
      </c>
      <c r="I1027" s="67">
        <f>37.0948 * CHOOSE(CONTROL!$C$26, $C$13, 100%, $E$13)</f>
        <v>37.094799999999999</v>
      </c>
      <c r="J1027" s="67">
        <f>19.7537 * CHOOSE(CONTROL!$C$26, $C$13, 100%, $E$13)</f>
        <v>19.753699999999998</v>
      </c>
      <c r="K1027" s="67">
        <f>19.7584 * CHOOSE(CONTROL!$C$26, $C$13, 100%, $E$13)</f>
        <v>19.758400000000002</v>
      </c>
    </row>
    <row r="1028" spans="1:11" ht="15">
      <c r="A1028" s="13">
        <v>72411</v>
      </c>
      <c r="B1028" s="66">
        <f>17.6152 * CHOOSE(CONTROL!$C$26, $C$13, 100%, $E$13)</f>
        <v>17.615200000000002</v>
      </c>
      <c r="C1028" s="66">
        <f>17.6152 * CHOOSE(CONTROL!$C$26, $C$13, 100%, $E$13)</f>
        <v>17.615200000000002</v>
      </c>
      <c r="D1028" s="66">
        <f>17.6191 * CHOOSE(CONTROL!$C$26, $C$13, 100%, $E$13)</f>
        <v>17.6191</v>
      </c>
      <c r="E1028" s="67">
        <f>20.0531 * CHOOSE(CONTROL!$C$26, $C$13, 100%, $E$13)</f>
        <v>20.053100000000001</v>
      </c>
      <c r="F1028" s="67">
        <f>20.0531 * CHOOSE(CONTROL!$C$26, $C$13, 100%, $E$13)</f>
        <v>20.053100000000001</v>
      </c>
      <c r="G1028" s="67">
        <f>20.0579 * CHOOSE(CONTROL!$C$26, $C$13, 100%, $E$13)</f>
        <v>20.0579</v>
      </c>
      <c r="H1028" s="67">
        <f>37.1673* CHOOSE(CONTROL!$C$26, $C$13, 100%, $E$13)</f>
        <v>37.167299999999997</v>
      </c>
      <c r="I1028" s="67">
        <f>37.172 * CHOOSE(CONTROL!$C$26, $C$13, 100%, $E$13)</f>
        <v>37.171999999999997</v>
      </c>
      <c r="J1028" s="67">
        <f>20.0531 * CHOOSE(CONTROL!$C$26, $C$13, 100%, $E$13)</f>
        <v>20.053100000000001</v>
      </c>
      <c r="K1028" s="67">
        <f>20.0579 * CHOOSE(CONTROL!$C$26, $C$13, 100%, $E$13)</f>
        <v>20.0579</v>
      </c>
    </row>
    <row r="1029" spans="1:11" ht="15">
      <c r="A1029" s="13">
        <v>72441</v>
      </c>
      <c r="B1029" s="66">
        <f>17.6152 * CHOOSE(CONTROL!$C$26, $C$13, 100%, $E$13)</f>
        <v>17.615200000000002</v>
      </c>
      <c r="C1029" s="66">
        <f>17.6152 * CHOOSE(CONTROL!$C$26, $C$13, 100%, $E$13)</f>
        <v>17.615200000000002</v>
      </c>
      <c r="D1029" s="66">
        <f>17.6207 * CHOOSE(CONTROL!$C$26, $C$13, 100%, $E$13)</f>
        <v>17.620699999999999</v>
      </c>
      <c r="E1029" s="67">
        <f>20.167 * CHOOSE(CONTROL!$C$26, $C$13, 100%, $E$13)</f>
        <v>20.167000000000002</v>
      </c>
      <c r="F1029" s="67">
        <f>20.167 * CHOOSE(CONTROL!$C$26, $C$13, 100%, $E$13)</f>
        <v>20.167000000000002</v>
      </c>
      <c r="G1029" s="67">
        <f>20.1737 * CHOOSE(CONTROL!$C$26, $C$13, 100%, $E$13)</f>
        <v>20.1737</v>
      </c>
      <c r="H1029" s="67">
        <f>37.2447* CHOOSE(CONTROL!$C$26, $C$13, 100%, $E$13)</f>
        <v>37.244700000000002</v>
      </c>
      <c r="I1029" s="67">
        <f>37.2514 * CHOOSE(CONTROL!$C$26, $C$13, 100%, $E$13)</f>
        <v>37.251399999999997</v>
      </c>
      <c r="J1029" s="67">
        <f>20.167 * CHOOSE(CONTROL!$C$26, $C$13, 100%, $E$13)</f>
        <v>20.167000000000002</v>
      </c>
      <c r="K1029" s="67">
        <f>20.1737 * CHOOSE(CONTROL!$C$26, $C$13, 100%, $E$13)</f>
        <v>20.1737</v>
      </c>
    </row>
    <row r="1030" spans="1:11" ht="15">
      <c r="A1030" s="13">
        <v>72472</v>
      </c>
      <c r="B1030" s="66">
        <f>17.6213 * CHOOSE(CONTROL!$C$26, $C$13, 100%, $E$13)</f>
        <v>17.621300000000002</v>
      </c>
      <c r="C1030" s="66">
        <f>17.6213 * CHOOSE(CONTROL!$C$26, $C$13, 100%, $E$13)</f>
        <v>17.621300000000002</v>
      </c>
      <c r="D1030" s="66">
        <f>17.6268 * CHOOSE(CONTROL!$C$26, $C$13, 100%, $E$13)</f>
        <v>17.626799999999999</v>
      </c>
      <c r="E1030" s="67">
        <f>20.0573 * CHOOSE(CONTROL!$C$26, $C$13, 100%, $E$13)</f>
        <v>20.057300000000001</v>
      </c>
      <c r="F1030" s="67">
        <f>20.0573 * CHOOSE(CONTROL!$C$26, $C$13, 100%, $E$13)</f>
        <v>20.057300000000001</v>
      </c>
      <c r="G1030" s="67">
        <f>20.0641 * CHOOSE(CONTROL!$C$26, $C$13, 100%, $E$13)</f>
        <v>20.0641</v>
      </c>
      <c r="H1030" s="67">
        <f>37.3223* CHOOSE(CONTROL!$C$26, $C$13, 100%, $E$13)</f>
        <v>37.322299999999998</v>
      </c>
      <c r="I1030" s="67">
        <f>37.329 * CHOOSE(CONTROL!$C$26, $C$13, 100%, $E$13)</f>
        <v>37.329000000000001</v>
      </c>
      <c r="J1030" s="67">
        <f>20.0573 * CHOOSE(CONTROL!$C$26, $C$13, 100%, $E$13)</f>
        <v>20.057300000000001</v>
      </c>
      <c r="K1030" s="67">
        <f>20.0641 * CHOOSE(CONTROL!$C$26, $C$13, 100%, $E$13)</f>
        <v>20.0641</v>
      </c>
    </row>
    <row r="1031" spans="1:11" ht="15">
      <c r="A1031" s="13">
        <v>72502</v>
      </c>
      <c r="B1031" s="66">
        <f>17.8861 * CHOOSE(CONTROL!$C$26, $C$13, 100%, $E$13)</f>
        <v>17.886099999999999</v>
      </c>
      <c r="C1031" s="66">
        <f>17.8861 * CHOOSE(CONTROL!$C$26, $C$13, 100%, $E$13)</f>
        <v>17.886099999999999</v>
      </c>
      <c r="D1031" s="66">
        <f>17.8916 * CHOOSE(CONTROL!$C$26, $C$13, 100%, $E$13)</f>
        <v>17.8916</v>
      </c>
      <c r="E1031" s="67">
        <f>20.3735 * CHOOSE(CONTROL!$C$26, $C$13, 100%, $E$13)</f>
        <v>20.3735</v>
      </c>
      <c r="F1031" s="67">
        <f>20.3735 * CHOOSE(CONTROL!$C$26, $C$13, 100%, $E$13)</f>
        <v>20.3735</v>
      </c>
      <c r="G1031" s="67">
        <f>20.3802 * CHOOSE(CONTROL!$C$26, $C$13, 100%, $E$13)</f>
        <v>20.380199999999999</v>
      </c>
      <c r="H1031" s="67">
        <f>37.4001* CHOOSE(CONTROL!$C$26, $C$13, 100%, $E$13)</f>
        <v>37.400100000000002</v>
      </c>
      <c r="I1031" s="67">
        <f>37.4068 * CHOOSE(CONTROL!$C$26, $C$13, 100%, $E$13)</f>
        <v>37.406799999999997</v>
      </c>
      <c r="J1031" s="67">
        <f>20.3735 * CHOOSE(CONTROL!$C$26, $C$13, 100%, $E$13)</f>
        <v>20.3735</v>
      </c>
      <c r="K1031" s="67">
        <f>20.3802 * CHOOSE(CONTROL!$C$26, $C$13, 100%, $E$13)</f>
        <v>20.380199999999999</v>
      </c>
    </row>
    <row r="1032" spans="1:11" ht="15">
      <c r="A1032" s="13">
        <v>72533</v>
      </c>
      <c r="B1032" s="66">
        <f>17.8928 * CHOOSE(CONTROL!$C$26, $C$13, 100%, $E$13)</f>
        <v>17.892800000000001</v>
      </c>
      <c r="C1032" s="66">
        <f>17.8928 * CHOOSE(CONTROL!$C$26, $C$13, 100%, $E$13)</f>
        <v>17.892800000000001</v>
      </c>
      <c r="D1032" s="66">
        <f>17.8983 * CHOOSE(CONTROL!$C$26, $C$13, 100%, $E$13)</f>
        <v>17.898299999999999</v>
      </c>
      <c r="E1032" s="67">
        <f>20.0365 * CHOOSE(CONTROL!$C$26, $C$13, 100%, $E$13)</f>
        <v>20.0365</v>
      </c>
      <c r="F1032" s="67">
        <f>20.0365 * CHOOSE(CONTROL!$C$26, $C$13, 100%, $E$13)</f>
        <v>20.0365</v>
      </c>
      <c r="G1032" s="67">
        <f>20.0433 * CHOOSE(CONTROL!$C$26, $C$13, 100%, $E$13)</f>
        <v>20.043299999999999</v>
      </c>
      <c r="H1032" s="67">
        <f>37.478* CHOOSE(CONTROL!$C$26, $C$13, 100%, $E$13)</f>
        <v>37.478000000000002</v>
      </c>
      <c r="I1032" s="67">
        <f>37.4847 * CHOOSE(CONTROL!$C$26, $C$13, 100%, $E$13)</f>
        <v>37.484699999999997</v>
      </c>
      <c r="J1032" s="67">
        <f>20.0365 * CHOOSE(CONTROL!$C$26, $C$13, 100%, $E$13)</f>
        <v>20.0365</v>
      </c>
      <c r="K1032" s="67">
        <f>20.0433 * CHOOSE(CONTROL!$C$26, $C$13, 100%, $E$13)</f>
        <v>20.043299999999999</v>
      </c>
    </row>
    <row r="1033" spans="1:11" ht="15">
      <c r="A1033" s="13">
        <v>72564</v>
      </c>
      <c r="B1033" s="66">
        <f>17.8898 * CHOOSE(CONTROL!$C$26, $C$13, 100%, $E$13)</f>
        <v>17.889800000000001</v>
      </c>
      <c r="C1033" s="66">
        <f>17.8898 * CHOOSE(CONTROL!$C$26, $C$13, 100%, $E$13)</f>
        <v>17.889800000000001</v>
      </c>
      <c r="D1033" s="66">
        <f>17.8953 * CHOOSE(CONTROL!$C$26, $C$13, 100%, $E$13)</f>
        <v>17.895299999999999</v>
      </c>
      <c r="E1033" s="67">
        <f>19.9965 * CHOOSE(CONTROL!$C$26, $C$13, 100%, $E$13)</f>
        <v>19.996500000000001</v>
      </c>
      <c r="F1033" s="67">
        <f>19.9965 * CHOOSE(CONTROL!$C$26, $C$13, 100%, $E$13)</f>
        <v>19.996500000000001</v>
      </c>
      <c r="G1033" s="67">
        <f>20.0032 * CHOOSE(CONTROL!$C$26, $C$13, 100%, $E$13)</f>
        <v>20.0032</v>
      </c>
      <c r="H1033" s="67">
        <f>37.556* CHOOSE(CONTROL!$C$26, $C$13, 100%, $E$13)</f>
        <v>37.555999999999997</v>
      </c>
      <c r="I1033" s="67">
        <f>37.5628 * CHOOSE(CONTROL!$C$26, $C$13, 100%, $E$13)</f>
        <v>37.562800000000003</v>
      </c>
      <c r="J1033" s="67">
        <f>19.9965 * CHOOSE(CONTROL!$C$26, $C$13, 100%, $E$13)</f>
        <v>19.996500000000001</v>
      </c>
      <c r="K1033" s="67">
        <f>20.0032 * CHOOSE(CONTROL!$C$26, $C$13, 100%, $E$13)</f>
        <v>20.0032</v>
      </c>
    </row>
    <row r="1034" spans="1:11" ht="15">
      <c r="A1034" s="13">
        <v>72594</v>
      </c>
      <c r="B1034" s="66">
        <f>17.9294 * CHOOSE(CONTROL!$C$26, $C$13, 100%, $E$13)</f>
        <v>17.929400000000001</v>
      </c>
      <c r="C1034" s="66">
        <f>17.9294 * CHOOSE(CONTROL!$C$26, $C$13, 100%, $E$13)</f>
        <v>17.929400000000001</v>
      </c>
      <c r="D1034" s="66">
        <f>17.9333 * CHOOSE(CONTROL!$C$26, $C$13, 100%, $E$13)</f>
        <v>17.933299999999999</v>
      </c>
      <c r="E1034" s="67">
        <f>20.1349 * CHOOSE(CONTROL!$C$26, $C$13, 100%, $E$13)</f>
        <v>20.134899999999998</v>
      </c>
      <c r="F1034" s="67">
        <f>20.1349 * CHOOSE(CONTROL!$C$26, $C$13, 100%, $E$13)</f>
        <v>20.134899999999998</v>
      </c>
      <c r="G1034" s="67">
        <f>20.1396 * CHOOSE(CONTROL!$C$26, $C$13, 100%, $E$13)</f>
        <v>20.139600000000002</v>
      </c>
      <c r="H1034" s="67">
        <f>37.6343* CHOOSE(CONTROL!$C$26, $C$13, 100%, $E$13)</f>
        <v>37.634300000000003</v>
      </c>
      <c r="I1034" s="67">
        <f>37.6391 * CHOOSE(CONTROL!$C$26, $C$13, 100%, $E$13)</f>
        <v>37.639099999999999</v>
      </c>
      <c r="J1034" s="67">
        <f>20.1349 * CHOOSE(CONTROL!$C$26, $C$13, 100%, $E$13)</f>
        <v>20.134899999999998</v>
      </c>
      <c r="K1034" s="67">
        <f>20.1396 * CHOOSE(CONTROL!$C$26, $C$13, 100%, $E$13)</f>
        <v>20.139600000000002</v>
      </c>
    </row>
    <row r="1035" spans="1:11" ht="15">
      <c r="A1035" s="13">
        <v>72625</v>
      </c>
      <c r="B1035" s="66">
        <f>17.9324 * CHOOSE(CONTROL!$C$26, $C$13, 100%, $E$13)</f>
        <v>17.932400000000001</v>
      </c>
      <c r="C1035" s="66">
        <f>17.9324 * CHOOSE(CONTROL!$C$26, $C$13, 100%, $E$13)</f>
        <v>17.932400000000001</v>
      </c>
      <c r="D1035" s="66">
        <f>17.9363 * CHOOSE(CONTROL!$C$26, $C$13, 100%, $E$13)</f>
        <v>17.936299999999999</v>
      </c>
      <c r="E1035" s="67">
        <f>20.2129 * CHOOSE(CONTROL!$C$26, $C$13, 100%, $E$13)</f>
        <v>20.212900000000001</v>
      </c>
      <c r="F1035" s="67">
        <f>20.2129 * CHOOSE(CONTROL!$C$26, $C$13, 100%, $E$13)</f>
        <v>20.212900000000001</v>
      </c>
      <c r="G1035" s="67">
        <f>20.2177 * CHOOSE(CONTROL!$C$26, $C$13, 100%, $E$13)</f>
        <v>20.217700000000001</v>
      </c>
      <c r="H1035" s="67">
        <f>37.7127* CHOOSE(CONTROL!$C$26, $C$13, 100%, $E$13)</f>
        <v>37.712699999999998</v>
      </c>
      <c r="I1035" s="67">
        <f>37.7175 * CHOOSE(CONTROL!$C$26, $C$13, 100%, $E$13)</f>
        <v>37.717500000000001</v>
      </c>
      <c r="J1035" s="67">
        <f>20.2129 * CHOOSE(CONTROL!$C$26, $C$13, 100%, $E$13)</f>
        <v>20.212900000000001</v>
      </c>
      <c r="K1035" s="67">
        <f>20.2177 * CHOOSE(CONTROL!$C$26, $C$13, 100%, $E$13)</f>
        <v>20.217700000000001</v>
      </c>
    </row>
    <row r="1036" spans="1:11" ht="15">
      <c r="A1036" s="13">
        <v>72655</v>
      </c>
      <c r="B1036" s="66">
        <f>17.9324 * CHOOSE(CONTROL!$C$26, $C$13, 100%, $E$13)</f>
        <v>17.932400000000001</v>
      </c>
      <c r="C1036" s="66">
        <f>17.9324 * CHOOSE(CONTROL!$C$26, $C$13, 100%, $E$13)</f>
        <v>17.932400000000001</v>
      </c>
      <c r="D1036" s="66">
        <f>17.9363 * CHOOSE(CONTROL!$C$26, $C$13, 100%, $E$13)</f>
        <v>17.936299999999999</v>
      </c>
      <c r="E1036" s="67">
        <f>20.0231 * CHOOSE(CONTROL!$C$26, $C$13, 100%, $E$13)</f>
        <v>20.023099999999999</v>
      </c>
      <c r="F1036" s="67">
        <f>20.0231 * CHOOSE(CONTROL!$C$26, $C$13, 100%, $E$13)</f>
        <v>20.023099999999999</v>
      </c>
      <c r="G1036" s="67">
        <f>20.0279 * CHOOSE(CONTROL!$C$26, $C$13, 100%, $E$13)</f>
        <v>20.027899999999999</v>
      </c>
      <c r="H1036" s="67">
        <f>37.7913* CHOOSE(CONTROL!$C$26, $C$13, 100%, $E$13)</f>
        <v>37.7913</v>
      </c>
      <c r="I1036" s="67">
        <f>37.796 * CHOOSE(CONTROL!$C$26, $C$13, 100%, $E$13)</f>
        <v>37.795999999999999</v>
      </c>
      <c r="J1036" s="67">
        <f>20.0231 * CHOOSE(CONTROL!$C$26, $C$13, 100%, $E$13)</f>
        <v>20.023099999999999</v>
      </c>
      <c r="K1036" s="67">
        <f>20.0279 * CHOOSE(CONTROL!$C$26, $C$13, 100%, $E$13)</f>
        <v>20.027899999999999</v>
      </c>
    </row>
    <row r="1037" spans="1:11" ht="15">
      <c r="A1037" s="13">
        <v>72686</v>
      </c>
      <c r="B1037" s="66">
        <f>17.8479 * CHOOSE(CONTROL!$C$26, $C$13, 100%, $E$13)</f>
        <v>17.847899999999999</v>
      </c>
      <c r="C1037" s="66">
        <f>17.8479 * CHOOSE(CONTROL!$C$26, $C$13, 100%, $E$13)</f>
        <v>17.847899999999999</v>
      </c>
      <c r="D1037" s="66">
        <f>17.8517 * CHOOSE(CONTROL!$C$26, $C$13, 100%, $E$13)</f>
        <v>17.851700000000001</v>
      </c>
      <c r="E1037" s="67">
        <f>20.0886 * CHOOSE(CONTROL!$C$26, $C$13, 100%, $E$13)</f>
        <v>20.0886</v>
      </c>
      <c r="F1037" s="67">
        <f>20.0886 * CHOOSE(CONTROL!$C$26, $C$13, 100%, $E$13)</f>
        <v>20.0886</v>
      </c>
      <c r="G1037" s="67">
        <f>20.0933 * CHOOSE(CONTROL!$C$26, $C$13, 100%, $E$13)</f>
        <v>20.093299999999999</v>
      </c>
      <c r="H1037" s="67">
        <f>37.4185* CHOOSE(CONTROL!$C$26, $C$13, 100%, $E$13)</f>
        <v>37.418500000000002</v>
      </c>
      <c r="I1037" s="67">
        <f>37.4233 * CHOOSE(CONTROL!$C$26, $C$13, 100%, $E$13)</f>
        <v>37.423299999999998</v>
      </c>
      <c r="J1037" s="67">
        <f>20.0886 * CHOOSE(CONTROL!$C$26, $C$13, 100%, $E$13)</f>
        <v>20.0886</v>
      </c>
      <c r="K1037" s="67">
        <f>20.0933 * CHOOSE(CONTROL!$C$26, $C$13, 100%, $E$13)</f>
        <v>20.093299999999999</v>
      </c>
    </row>
    <row r="1038" spans="1:11" ht="15">
      <c r="A1038" s="13">
        <v>72717</v>
      </c>
      <c r="B1038" s="66">
        <f>17.8448 * CHOOSE(CONTROL!$C$26, $C$13, 100%, $E$13)</f>
        <v>17.844799999999999</v>
      </c>
      <c r="C1038" s="66">
        <f>17.8448 * CHOOSE(CONTROL!$C$26, $C$13, 100%, $E$13)</f>
        <v>17.844799999999999</v>
      </c>
      <c r="D1038" s="66">
        <f>17.8487 * CHOOSE(CONTROL!$C$26, $C$13, 100%, $E$13)</f>
        <v>17.848700000000001</v>
      </c>
      <c r="E1038" s="67">
        <f>19.7228 * CHOOSE(CONTROL!$C$26, $C$13, 100%, $E$13)</f>
        <v>19.722799999999999</v>
      </c>
      <c r="F1038" s="67">
        <f>19.7228 * CHOOSE(CONTROL!$C$26, $C$13, 100%, $E$13)</f>
        <v>19.722799999999999</v>
      </c>
      <c r="G1038" s="67">
        <f>19.7276 * CHOOSE(CONTROL!$C$26, $C$13, 100%, $E$13)</f>
        <v>19.727599999999999</v>
      </c>
      <c r="H1038" s="67">
        <f>37.4964* CHOOSE(CONTROL!$C$26, $C$13, 100%, $E$13)</f>
        <v>37.496400000000001</v>
      </c>
      <c r="I1038" s="67">
        <f>37.5012 * CHOOSE(CONTROL!$C$26, $C$13, 100%, $E$13)</f>
        <v>37.501199999999997</v>
      </c>
      <c r="J1038" s="67">
        <f>19.7228 * CHOOSE(CONTROL!$C$26, $C$13, 100%, $E$13)</f>
        <v>19.722799999999999</v>
      </c>
      <c r="K1038" s="67">
        <f>19.7276 * CHOOSE(CONTROL!$C$26, $C$13, 100%, $E$13)</f>
        <v>19.727599999999999</v>
      </c>
    </row>
    <row r="1039" spans="1:11" ht="15">
      <c r="A1039" s="13">
        <v>72745</v>
      </c>
      <c r="B1039" s="66">
        <f>17.8418 * CHOOSE(CONTROL!$C$26, $C$13, 100%, $E$13)</f>
        <v>17.841799999999999</v>
      </c>
      <c r="C1039" s="66">
        <f>17.8418 * CHOOSE(CONTROL!$C$26, $C$13, 100%, $E$13)</f>
        <v>17.841799999999999</v>
      </c>
      <c r="D1039" s="66">
        <f>17.8457 * CHOOSE(CONTROL!$C$26, $C$13, 100%, $E$13)</f>
        <v>17.845700000000001</v>
      </c>
      <c r="E1039" s="67">
        <f>20.0074 * CHOOSE(CONTROL!$C$26, $C$13, 100%, $E$13)</f>
        <v>20.007400000000001</v>
      </c>
      <c r="F1039" s="67">
        <f>20.0074 * CHOOSE(CONTROL!$C$26, $C$13, 100%, $E$13)</f>
        <v>20.007400000000001</v>
      </c>
      <c r="G1039" s="67">
        <f>20.0121 * CHOOSE(CONTROL!$C$26, $C$13, 100%, $E$13)</f>
        <v>20.0121</v>
      </c>
      <c r="H1039" s="67">
        <f>37.5746* CHOOSE(CONTROL!$C$26, $C$13, 100%, $E$13)</f>
        <v>37.574599999999997</v>
      </c>
      <c r="I1039" s="67">
        <f>37.5793 * CHOOSE(CONTROL!$C$26, $C$13, 100%, $E$13)</f>
        <v>37.579300000000003</v>
      </c>
      <c r="J1039" s="67">
        <f>20.0074 * CHOOSE(CONTROL!$C$26, $C$13, 100%, $E$13)</f>
        <v>20.007400000000001</v>
      </c>
      <c r="K1039" s="67">
        <f>20.0121 * CHOOSE(CONTROL!$C$26, $C$13, 100%, $E$13)</f>
        <v>20.0121</v>
      </c>
    </row>
    <row r="1040" spans="1:11" ht="15">
      <c r="A1040" s="13">
        <v>72776</v>
      </c>
      <c r="B1040" s="66">
        <f>17.851 * CHOOSE(CONTROL!$C$26, $C$13, 100%, $E$13)</f>
        <v>17.850999999999999</v>
      </c>
      <c r="C1040" s="66">
        <f>17.851 * CHOOSE(CONTROL!$C$26, $C$13, 100%, $E$13)</f>
        <v>17.850999999999999</v>
      </c>
      <c r="D1040" s="66">
        <f>17.8549 * CHOOSE(CONTROL!$C$26, $C$13, 100%, $E$13)</f>
        <v>17.854900000000001</v>
      </c>
      <c r="E1040" s="67">
        <f>20.311 * CHOOSE(CONTROL!$C$26, $C$13, 100%, $E$13)</f>
        <v>20.311</v>
      </c>
      <c r="F1040" s="67">
        <f>20.311 * CHOOSE(CONTROL!$C$26, $C$13, 100%, $E$13)</f>
        <v>20.311</v>
      </c>
      <c r="G1040" s="67">
        <f>20.3157 * CHOOSE(CONTROL!$C$26, $C$13, 100%, $E$13)</f>
        <v>20.3157</v>
      </c>
      <c r="H1040" s="67">
        <f>37.6528* CHOOSE(CONTROL!$C$26, $C$13, 100%, $E$13)</f>
        <v>37.652799999999999</v>
      </c>
      <c r="I1040" s="67">
        <f>37.6576 * CHOOSE(CONTROL!$C$26, $C$13, 100%, $E$13)</f>
        <v>37.657600000000002</v>
      </c>
      <c r="J1040" s="67">
        <f>20.311 * CHOOSE(CONTROL!$C$26, $C$13, 100%, $E$13)</f>
        <v>20.311</v>
      </c>
      <c r="K1040" s="67">
        <f>20.3157 * CHOOSE(CONTROL!$C$26, $C$13, 100%, $E$13)</f>
        <v>20.3157</v>
      </c>
    </row>
    <row r="1041" spans="1:11" ht="15">
      <c r="A1041" s="13">
        <v>72806</v>
      </c>
      <c r="B1041" s="66">
        <f>17.851 * CHOOSE(CONTROL!$C$26, $C$13, 100%, $E$13)</f>
        <v>17.850999999999999</v>
      </c>
      <c r="C1041" s="66">
        <f>17.851 * CHOOSE(CONTROL!$C$26, $C$13, 100%, $E$13)</f>
        <v>17.850999999999999</v>
      </c>
      <c r="D1041" s="66">
        <f>17.8565 * CHOOSE(CONTROL!$C$26, $C$13, 100%, $E$13)</f>
        <v>17.8565</v>
      </c>
      <c r="E1041" s="67">
        <f>20.4264 * CHOOSE(CONTROL!$C$26, $C$13, 100%, $E$13)</f>
        <v>20.426400000000001</v>
      </c>
      <c r="F1041" s="67">
        <f>20.4264 * CHOOSE(CONTROL!$C$26, $C$13, 100%, $E$13)</f>
        <v>20.426400000000001</v>
      </c>
      <c r="G1041" s="67">
        <f>20.4331 * CHOOSE(CONTROL!$C$26, $C$13, 100%, $E$13)</f>
        <v>20.4331</v>
      </c>
      <c r="H1041" s="67">
        <f>37.7313* CHOOSE(CONTROL!$C$26, $C$13, 100%, $E$13)</f>
        <v>37.731299999999997</v>
      </c>
      <c r="I1041" s="67">
        <f>37.738 * CHOOSE(CONTROL!$C$26, $C$13, 100%, $E$13)</f>
        <v>37.738</v>
      </c>
      <c r="J1041" s="67">
        <f>20.4264 * CHOOSE(CONTROL!$C$26, $C$13, 100%, $E$13)</f>
        <v>20.426400000000001</v>
      </c>
      <c r="K1041" s="67">
        <f>20.4331 * CHOOSE(CONTROL!$C$26, $C$13, 100%, $E$13)</f>
        <v>20.4331</v>
      </c>
    </row>
    <row r="1042" spans="1:11" ht="15">
      <c r="A1042" s="13">
        <v>72837</v>
      </c>
      <c r="B1042" s="66">
        <f>17.8571 * CHOOSE(CONTROL!$C$26, $C$13, 100%, $E$13)</f>
        <v>17.857099999999999</v>
      </c>
      <c r="C1042" s="66">
        <f>17.8571 * CHOOSE(CONTROL!$C$26, $C$13, 100%, $E$13)</f>
        <v>17.857099999999999</v>
      </c>
      <c r="D1042" s="66">
        <f>17.8626 * CHOOSE(CONTROL!$C$26, $C$13, 100%, $E$13)</f>
        <v>17.8626</v>
      </c>
      <c r="E1042" s="67">
        <f>20.3152 * CHOOSE(CONTROL!$C$26, $C$13, 100%, $E$13)</f>
        <v>20.315200000000001</v>
      </c>
      <c r="F1042" s="67">
        <f>20.3152 * CHOOSE(CONTROL!$C$26, $C$13, 100%, $E$13)</f>
        <v>20.315200000000001</v>
      </c>
      <c r="G1042" s="67">
        <f>20.3219 * CHOOSE(CONTROL!$C$26, $C$13, 100%, $E$13)</f>
        <v>20.321899999999999</v>
      </c>
      <c r="H1042" s="67">
        <f>37.8099* CHOOSE(CONTROL!$C$26, $C$13, 100%, $E$13)</f>
        <v>37.809899999999999</v>
      </c>
      <c r="I1042" s="67">
        <f>37.8166 * CHOOSE(CONTROL!$C$26, $C$13, 100%, $E$13)</f>
        <v>37.816600000000001</v>
      </c>
      <c r="J1042" s="67">
        <f>20.3152 * CHOOSE(CONTROL!$C$26, $C$13, 100%, $E$13)</f>
        <v>20.315200000000001</v>
      </c>
      <c r="K1042" s="67">
        <f>20.3219 * CHOOSE(CONTROL!$C$26, $C$13, 100%, $E$13)</f>
        <v>20.321899999999999</v>
      </c>
    </row>
    <row r="1043" spans="1:11" ht="15">
      <c r="A1043" s="13">
        <v>72867</v>
      </c>
      <c r="B1043" s="66">
        <f>18.1253 * CHOOSE(CONTROL!$C$26, $C$13, 100%, $E$13)</f>
        <v>18.125299999999999</v>
      </c>
      <c r="C1043" s="66">
        <f>18.1253 * CHOOSE(CONTROL!$C$26, $C$13, 100%, $E$13)</f>
        <v>18.125299999999999</v>
      </c>
      <c r="D1043" s="66">
        <f>18.1308 * CHOOSE(CONTROL!$C$26, $C$13, 100%, $E$13)</f>
        <v>18.130800000000001</v>
      </c>
      <c r="E1043" s="67">
        <f>20.6353 * CHOOSE(CONTROL!$C$26, $C$13, 100%, $E$13)</f>
        <v>20.635300000000001</v>
      </c>
      <c r="F1043" s="67">
        <f>20.6353 * CHOOSE(CONTROL!$C$26, $C$13, 100%, $E$13)</f>
        <v>20.635300000000001</v>
      </c>
      <c r="G1043" s="67">
        <f>20.642 * CHOOSE(CONTROL!$C$26, $C$13, 100%, $E$13)</f>
        <v>20.641999999999999</v>
      </c>
      <c r="H1043" s="67">
        <f>37.8887* CHOOSE(CONTROL!$C$26, $C$13, 100%, $E$13)</f>
        <v>37.8887</v>
      </c>
      <c r="I1043" s="67">
        <f>37.8954 * CHOOSE(CONTROL!$C$26, $C$13, 100%, $E$13)</f>
        <v>37.895400000000002</v>
      </c>
      <c r="J1043" s="67">
        <f>20.6353 * CHOOSE(CONTROL!$C$26, $C$13, 100%, $E$13)</f>
        <v>20.635300000000001</v>
      </c>
      <c r="K1043" s="67">
        <f>20.642 * CHOOSE(CONTROL!$C$26, $C$13, 100%, $E$13)</f>
        <v>20.641999999999999</v>
      </c>
    </row>
    <row r="1044" spans="1:11" ht="15">
      <c r="A1044" s="13">
        <v>72898</v>
      </c>
      <c r="B1044" s="66">
        <f>18.132 * CHOOSE(CONTROL!$C$26, $C$13, 100%, $E$13)</f>
        <v>18.132000000000001</v>
      </c>
      <c r="C1044" s="66">
        <f>18.132 * CHOOSE(CONTROL!$C$26, $C$13, 100%, $E$13)</f>
        <v>18.132000000000001</v>
      </c>
      <c r="D1044" s="66">
        <f>18.1375 * CHOOSE(CONTROL!$C$26, $C$13, 100%, $E$13)</f>
        <v>18.137499999999999</v>
      </c>
      <c r="E1044" s="67">
        <f>20.2936 * CHOOSE(CONTROL!$C$26, $C$13, 100%, $E$13)</f>
        <v>20.293600000000001</v>
      </c>
      <c r="F1044" s="67">
        <f>20.2936 * CHOOSE(CONTROL!$C$26, $C$13, 100%, $E$13)</f>
        <v>20.293600000000001</v>
      </c>
      <c r="G1044" s="67">
        <f>20.3003 * CHOOSE(CONTROL!$C$26, $C$13, 100%, $E$13)</f>
        <v>20.3003</v>
      </c>
      <c r="H1044" s="67">
        <f>37.9676* CHOOSE(CONTROL!$C$26, $C$13, 100%, $E$13)</f>
        <v>37.967599999999997</v>
      </c>
      <c r="I1044" s="67">
        <f>37.9743 * CHOOSE(CONTROL!$C$26, $C$13, 100%, $E$13)</f>
        <v>37.974299999999999</v>
      </c>
      <c r="J1044" s="67">
        <f>20.2936 * CHOOSE(CONTROL!$C$26, $C$13, 100%, $E$13)</f>
        <v>20.293600000000001</v>
      </c>
      <c r="K1044" s="67">
        <f>20.3003 * CHOOSE(CONTROL!$C$26, $C$13, 100%, $E$13)</f>
        <v>20.3003</v>
      </c>
    </row>
    <row r="1045" spans="1:11" ht="15">
      <c r="A1045" s="13">
        <v>72929</v>
      </c>
      <c r="B1045" s="66">
        <f>18.1289 * CHOOSE(CONTROL!$C$26, $C$13, 100%, $E$13)</f>
        <v>18.128900000000002</v>
      </c>
      <c r="C1045" s="66">
        <f>18.1289 * CHOOSE(CONTROL!$C$26, $C$13, 100%, $E$13)</f>
        <v>18.128900000000002</v>
      </c>
      <c r="D1045" s="66">
        <f>18.1344 * CHOOSE(CONTROL!$C$26, $C$13, 100%, $E$13)</f>
        <v>18.134399999999999</v>
      </c>
      <c r="E1045" s="67">
        <f>20.253 * CHOOSE(CONTROL!$C$26, $C$13, 100%, $E$13)</f>
        <v>20.253</v>
      </c>
      <c r="F1045" s="67">
        <f>20.253 * CHOOSE(CONTROL!$C$26, $C$13, 100%, $E$13)</f>
        <v>20.253</v>
      </c>
      <c r="G1045" s="67">
        <f>20.2597 * CHOOSE(CONTROL!$C$26, $C$13, 100%, $E$13)</f>
        <v>20.259699999999999</v>
      </c>
      <c r="H1045" s="67">
        <f>38.0467* CHOOSE(CONTROL!$C$26, $C$13, 100%, $E$13)</f>
        <v>38.046700000000001</v>
      </c>
      <c r="I1045" s="67">
        <f>38.0534 * CHOOSE(CONTROL!$C$26, $C$13, 100%, $E$13)</f>
        <v>38.053400000000003</v>
      </c>
      <c r="J1045" s="67">
        <f>20.253 * CHOOSE(CONTROL!$C$26, $C$13, 100%, $E$13)</f>
        <v>20.253</v>
      </c>
      <c r="K1045" s="67">
        <f>20.2597 * CHOOSE(CONTROL!$C$26, $C$13, 100%, $E$13)</f>
        <v>20.259699999999999</v>
      </c>
    </row>
    <row r="1046" spans="1:11" ht="15">
      <c r="A1046" s="13">
        <v>72959</v>
      </c>
      <c r="B1046" s="66">
        <f>18.1693 * CHOOSE(CONTROL!$C$26, $C$13, 100%, $E$13)</f>
        <v>18.1693</v>
      </c>
      <c r="C1046" s="66">
        <f>18.1693 * CHOOSE(CONTROL!$C$26, $C$13, 100%, $E$13)</f>
        <v>18.1693</v>
      </c>
      <c r="D1046" s="66">
        <f>18.1732 * CHOOSE(CONTROL!$C$26, $C$13, 100%, $E$13)</f>
        <v>18.173200000000001</v>
      </c>
      <c r="E1046" s="67">
        <f>20.3935 * CHOOSE(CONTROL!$C$26, $C$13, 100%, $E$13)</f>
        <v>20.3935</v>
      </c>
      <c r="F1046" s="67">
        <f>20.3935 * CHOOSE(CONTROL!$C$26, $C$13, 100%, $E$13)</f>
        <v>20.3935</v>
      </c>
      <c r="G1046" s="67">
        <f>20.3983 * CHOOSE(CONTROL!$C$26, $C$13, 100%, $E$13)</f>
        <v>20.398299999999999</v>
      </c>
      <c r="H1046" s="67">
        <f>38.126* CHOOSE(CONTROL!$C$26, $C$13, 100%, $E$13)</f>
        <v>38.125999999999998</v>
      </c>
      <c r="I1046" s="67">
        <f>38.1307 * CHOOSE(CONTROL!$C$26, $C$13, 100%, $E$13)</f>
        <v>38.130699999999997</v>
      </c>
      <c r="J1046" s="67">
        <f>20.3935 * CHOOSE(CONTROL!$C$26, $C$13, 100%, $E$13)</f>
        <v>20.3935</v>
      </c>
      <c r="K1046" s="67">
        <f>20.3983 * CHOOSE(CONTROL!$C$26, $C$13, 100%, $E$13)</f>
        <v>20.398299999999999</v>
      </c>
    </row>
    <row r="1047" spans="1:11" ht="15">
      <c r="A1047" s="13">
        <v>72990</v>
      </c>
      <c r="B1047" s="66">
        <f>18.1724 * CHOOSE(CONTROL!$C$26, $C$13, 100%, $E$13)</f>
        <v>18.1724</v>
      </c>
      <c r="C1047" s="66">
        <f>18.1724 * CHOOSE(CONTROL!$C$26, $C$13, 100%, $E$13)</f>
        <v>18.1724</v>
      </c>
      <c r="D1047" s="66">
        <f>18.1762 * CHOOSE(CONTROL!$C$26, $C$13, 100%, $E$13)</f>
        <v>18.176200000000001</v>
      </c>
      <c r="E1047" s="67">
        <f>20.4726 * CHOOSE(CONTROL!$C$26, $C$13, 100%, $E$13)</f>
        <v>20.4726</v>
      </c>
      <c r="F1047" s="67">
        <f>20.4726 * CHOOSE(CONTROL!$C$26, $C$13, 100%, $E$13)</f>
        <v>20.4726</v>
      </c>
      <c r="G1047" s="67">
        <f>20.4774 * CHOOSE(CONTROL!$C$26, $C$13, 100%, $E$13)</f>
        <v>20.477399999999999</v>
      </c>
      <c r="H1047" s="67">
        <f>38.2054* CHOOSE(CONTROL!$C$26, $C$13, 100%, $E$13)</f>
        <v>38.205399999999997</v>
      </c>
      <c r="I1047" s="67">
        <f>38.2102 * CHOOSE(CONTROL!$C$26, $C$13, 100%, $E$13)</f>
        <v>38.2102</v>
      </c>
      <c r="J1047" s="67">
        <f>20.4726 * CHOOSE(CONTROL!$C$26, $C$13, 100%, $E$13)</f>
        <v>20.4726</v>
      </c>
      <c r="K1047" s="67">
        <f>20.4774 * CHOOSE(CONTROL!$C$26, $C$13, 100%, $E$13)</f>
        <v>20.477399999999999</v>
      </c>
    </row>
    <row r="1048" spans="1:11" ht="15">
      <c r="A1048" s="13">
        <v>73020</v>
      </c>
      <c r="B1048" s="66">
        <f>18.1724 * CHOOSE(CONTROL!$C$26, $C$13, 100%, $E$13)</f>
        <v>18.1724</v>
      </c>
      <c r="C1048" s="66">
        <f>18.1724 * CHOOSE(CONTROL!$C$26, $C$13, 100%, $E$13)</f>
        <v>18.1724</v>
      </c>
      <c r="D1048" s="66">
        <f>18.1762 * CHOOSE(CONTROL!$C$26, $C$13, 100%, $E$13)</f>
        <v>18.176200000000001</v>
      </c>
      <c r="E1048" s="67">
        <f>20.2802 * CHOOSE(CONTROL!$C$26, $C$13, 100%, $E$13)</f>
        <v>20.280200000000001</v>
      </c>
      <c r="F1048" s="67">
        <f>20.2802 * CHOOSE(CONTROL!$C$26, $C$13, 100%, $E$13)</f>
        <v>20.280200000000001</v>
      </c>
      <c r="G1048" s="67">
        <f>20.285 * CHOOSE(CONTROL!$C$26, $C$13, 100%, $E$13)</f>
        <v>20.285</v>
      </c>
      <c r="H1048" s="67">
        <f>38.285* CHOOSE(CONTROL!$C$26, $C$13, 100%, $E$13)</f>
        <v>38.284999999999997</v>
      </c>
      <c r="I1048" s="67">
        <f>38.2898 * CHOOSE(CONTROL!$C$26, $C$13, 100%, $E$13)</f>
        <v>38.2898</v>
      </c>
      <c r="J1048" s="67">
        <f>20.2802 * CHOOSE(CONTROL!$C$26, $C$13, 100%, $E$13)</f>
        <v>20.280200000000001</v>
      </c>
      <c r="K1048" s="67">
        <f>20.285 * CHOOSE(CONTROL!$C$26, $C$13, 100%, $E$13)</f>
        <v>20.285</v>
      </c>
    </row>
    <row r="1049" spans="1:11" ht="15">
      <c r="A1049" s="13">
        <v>73051</v>
      </c>
      <c r="B1049" s="66">
        <f>18.0834 * CHOOSE(CONTROL!$C$26, $C$13, 100%, $E$13)</f>
        <v>18.083400000000001</v>
      </c>
      <c r="C1049" s="66">
        <f>18.0834 * CHOOSE(CONTROL!$C$26, $C$13, 100%, $E$13)</f>
        <v>18.083400000000001</v>
      </c>
      <c r="D1049" s="66">
        <f>18.0873 * CHOOSE(CONTROL!$C$26, $C$13, 100%, $E$13)</f>
        <v>18.087299999999999</v>
      </c>
      <c r="E1049" s="67">
        <f>20.3433 * CHOOSE(CONTROL!$C$26, $C$13, 100%, $E$13)</f>
        <v>20.343299999999999</v>
      </c>
      <c r="F1049" s="67">
        <f>20.3433 * CHOOSE(CONTROL!$C$26, $C$13, 100%, $E$13)</f>
        <v>20.343299999999999</v>
      </c>
      <c r="G1049" s="67">
        <f>20.348 * CHOOSE(CONTROL!$C$26, $C$13, 100%, $E$13)</f>
        <v>20.347999999999999</v>
      </c>
      <c r="H1049" s="67">
        <f>37.901* CHOOSE(CONTROL!$C$26, $C$13, 100%, $E$13)</f>
        <v>37.901000000000003</v>
      </c>
      <c r="I1049" s="67">
        <f>37.9058 * CHOOSE(CONTROL!$C$26, $C$13, 100%, $E$13)</f>
        <v>37.905799999999999</v>
      </c>
      <c r="J1049" s="67">
        <f>20.3433 * CHOOSE(CONTROL!$C$26, $C$13, 100%, $E$13)</f>
        <v>20.343299999999999</v>
      </c>
      <c r="K1049" s="67">
        <f>20.348 * CHOOSE(CONTROL!$C$26, $C$13, 100%, $E$13)</f>
        <v>20.347999999999999</v>
      </c>
    </row>
    <row r="1050" spans="1:11" ht="15">
      <c r="A1050" s="13">
        <v>73082</v>
      </c>
      <c r="B1050" s="66">
        <f>18.0804 * CHOOSE(CONTROL!$C$26, $C$13, 100%, $E$13)</f>
        <v>18.080400000000001</v>
      </c>
      <c r="C1050" s="66">
        <f>18.0804 * CHOOSE(CONTROL!$C$26, $C$13, 100%, $E$13)</f>
        <v>18.080400000000001</v>
      </c>
      <c r="D1050" s="66">
        <f>18.0843 * CHOOSE(CONTROL!$C$26, $C$13, 100%, $E$13)</f>
        <v>18.084299999999999</v>
      </c>
      <c r="E1050" s="67">
        <f>19.9726 * CHOOSE(CONTROL!$C$26, $C$13, 100%, $E$13)</f>
        <v>19.9726</v>
      </c>
      <c r="F1050" s="67">
        <f>19.9726 * CHOOSE(CONTROL!$C$26, $C$13, 100%, $E$13)</f>
        <v>19.9726</v>
      </c>
      <c r="G1050" s="67">
        <f>19.9774 * CHOOSE(CONTROL!$C$26, $C$13, 100%, $E$13)</f>
        <v>19.977399999999999</v>
      </c>
      <c r="H1050" s="67">
        <f>37.98* CHOOSE(CONTROL!$C$26, $C$13, 100%, $E$13)</f>
        <v>37.979999999999997</v>
      </c>
      <c r="I1050" s="67">
        <f>37.9848 * CHOOSE(CONTROL!$C$26, $C$13, 100%, $E$13)</f>
        <v>37.9848</v>
      </c>
      <c r="J1050" s="67">
        <f>19.9726 * CHOOSE(CONTROL!$C$26, $C$13, 100%, $E$13)</f>
        <v>19.9726</v>
      </c>
      <c r="K1050" s="67">
        <f>19.9774 * CHOOSE(CONTROL!$C$26, $C$13, 100%, $E$13)</f>
        <v>19.977399999999999</v>
      </c>
    </row>
    <row r="1051" spans="1:11" ht="15">
      <c r="A1051" s="13">
        <v>73110</v>
      </c>
      <c r="B1051" s="66">
        <f>18.0774 * CHOOSE(CONTROL!$C$26, $C$13, 100%, $E$13)</f>
        <v>18.077400000000001</v>
      </c>
      <c r="C1051" s="66">
        <f>18.0774 * CHOOSE(CONTROL!$C$26, $C$13, 100%, $E$13)</f>
        <v>18.077400000000001</v>
      </c>
      <c r="D1051" s="66">
        <f>18.0812 * CHOOSE(CONTROL!$C$26, $C$13, 100%, $E$13)</f>
        <v>18.081199999999999</v>
      </c>
      <c r="E1051" s="67">
        <f>20.261 * CHOOSE(CONTROL!$C$26, $C$13, 100%, $E$13)</f>
        <v>20.260999999999999</v>
      </c>
      <c r="F1051" s="67">
        <f>20.261 * CHOOSE(CONTROL!$C$26, $C$13, 100%, $E$13)</f>
        <v>20.260999999999999</v>
      </c>
      <c r="G1051" s="67">
        <f>20.2658 * CHOOSE(CONTROL!$C$26, $C$13, 100%, $E$13)</f>
        <v>20.265799999999999</v>
      </c>
      <c r="H1051" s="67">
        <f>38.0591* CHOOSE(CONTROL!$C$26, $C$13, 100%, $E$13)</f>
        <v>38.059100000000001</v>
      </c>
      <c r="I1051" s="67">
        <f>38.0639 * CHOOSE(CONTROL!$C$26, $C$13, 100%, $E$13)</f>
        <v>38.063899999999997</v>
      </c>
      <c r="J1051" s="67">
        <f>20.261 * CHOOSE(CONTROL!$C$26, $C$13, 100%, $E$13)</f>
        <v>20.260999999999999</v>
      </c>
      <c r="K1051" s="67">
        <f>20.2658 * CHOOSE(CONTROL!$C$26, $C$13, 100%, $E$13)</f>
        <v>20.265799999999999</v>
      </c>
    </row>
    <row r="1052" spans="1:11" ht="15">
      <c r="A1052" s="13">
        <v>73141</v>
      </c>
      <c r="B1052" s="66">
        <f>18.0868 * CHOOSE(CONTROL!$C$26, $C$13, 100%, $E$13)</f>
        <v>18.0868</v>
      </c>
      <c r="C1052" s="66">
        <f>18.0868 * CHOOSE(CONTROL!$C$26, $C$13, 100%, $E$13)</f>
        <v>18.0868</v>
      </c>
      <c r="D1052" s="66">
        <f>18.0906 * CHOOSE(CONTROL!$C$26, $C$13, 100%, $E$13)</f>
        <v>18.090599999999998</v>
      </c>
      <c r="E1052" s="67">
        <f>20.5688 * CHOOSE(CONTROL!$C$26, $C$13, 100%, $E$13)</f>
        <v>20.5688</v>
      </c>
      <c r="F1052" s="67">
        <f>20.5688 * CHOOSE(CONTROL!$C$26, $C$13, 100%, $E$13)</f>
        <v>20.5688</v>
      </c>
      <c r="G1052" s="67">
        <f>20.5736 * CHOOSE(CONTROL!$C$26, $C$13, 100%, $E$13)</f>
        <v>20.573599999999999</v>
      </c>
      <c r="H1052" s="67">
        <f>38.1384* CHOOSE(CONTROL!$C$26, $C$13, 100%, $E$13)</f>
        <v>38.138399999999997</v>
      </c>
      <c r="I1052" s="67">
        <f>38.1432 * CHOOSE(CONTROL!$C$26, $C$13, 100%, $E$13)</f>
        <v>38.1432</v>
      </c>
      <c r="J1052" s="67">
        <f>20.5688 * CHOOSE(CONTROL!$C$26, $C$13, 100%, $E$13)</f>
        <v>20.5688</v>
      </c>
      <c r="K1052" s="67">
        <f>20.5736 * CHOOSE(CONTROL!$C$26, $C$13, 100%, $E$13)</f>
        <v>20.573599999999999</v>
      </c>
    </row>
    <row r="1053" spans="1:11" ht="15">
      <c r="A1053" s="13">
        <v>73171</v>
      </c>
      <c r="B1053" s="66">
        <f>18.0868 * CHOOSE(CONTROL!$C$26, $C$13, 100%, $E$13)</f>
        <v>18.0868</v>
      </c>
      <c r="C1053" s="66">
        <f>18.0868 * CHOOSE(CONTROL!$C$26, $C$13, 100%, $E$13)</f>
        <v>18.0868</v>
      </c>
      <c r="D1053" s="66">
        <f>18.0923 * CHOOSE(CONTROL!$C$26, $C$13, 100%, $E$13)</f>
        <v>18.092300000000002</v>
      </c>
      <c r="E1053" s="67">
        <f>20.6858 * CHOOSE(CONTROL!$C$26, $C$13, 100%, $E$13)</f>
        <v>20.6858</v>
      </c>
      <c r="F1053" s="67">
        <f>20.6858 * CHOOSE(CONTROL!$C$26, $C$13, 100%, $E$13)</f>
        <v>20.6858</v>
      </c>
      <c r="G1053" s="67">
        <f>20.6926 * CHOOSE(CONTROL!$C$26, $C$13, 100%, $E$13)</f>
        <v>20.692599999999999</v>
      </c>
      <c r="H1053" s="67">
        <f>38.2179* CHOOSE(CONTROL!$C$26, $C$13, 100%, $E$13)</f>
        <v>38.2179</v>
      </c>
      <c r="I1053" s="67">
        <f>38.2246 * CHOOSE(CONTROL!$C$26, $C$13, 100%, $E$13)</f>
        <v>38.224600000000002</v>
      </c>
      <c r="J1053" s="67">
        <f>20.6858 * CHOOSE(CONTROL!$C$26, $C$13, 100%, $E$13)</f>
        <v>20.6858</v>
      </c>
      <c r="K1053" s="67">
        <f>20.6926 * CHOOSE(CONTROL!$C$26, $C$13, 100%, $E$13)</f>
        <v>20.692599999999999</v>
      </c>
    </row>
    <row r="1054" spans="1:11" ht="15">
      <c r="A1054" s="13">
        <v>73202</v>
      </c>
      <c r="B1054" s="66">
        <f>18.0928 * CHOOSE(CONTROL!$C$26, $C$13, 100%, $E$13)</f>
        <v>18.0928</v>
      </c>
      <c r="C1054" s="66">
        <f>18.0928 * CHOOSE(CONTROL!$C$26, $C$13, 100%, $E$13)</f>
        <v>18.0928</v>
      </c>
      <c r="D1054" s="66">
        <f>18.0983 * CHOOSE(CONTROL!$C$26, $C$13, 100%, $E$13)</f>
        <v>18.098299999999998</v>
      </c>
      <c r="E1054" s="67">
        <f>20.5731 * CHOOSE(CONTROL!$C$26, $C$13, 100%, $E$13)</f>
        <v>20.5731</v>
      </c>
      <c r="F1054" s="67">
        <f>20.5731 * CHOOSE(CONTROL!$C$26, $C$13, 100%, $E$13)</f>
        <v>20.5731</v>
      </c>
      <c r="G1054" s="67">
        <f>20.5798 * CHOOSE(CONTROL!$C$26, $C$13, 100%, $E$13)</f>
        <v>20.579799999999999</v>
      </c>
      <c r="H1054" s="67">
        <f>38.2975* CHOOSE(CONTROL!$C$26, $C$13, 100%, $E$13)</f>
        <v>38.297499999999999</v>
      </c>
      <c r="I1054" s="67">
        <f>38.3042 * CHOOSE(CONTROL!$C$26, $C$13, 100%, $E$13)</f>
        <v>38.304200000000002</v>
      </c>
      <c r="J1054" s="67">
        <f>20.5731 * CHOOSE(CONTROL!$C$26, $C$13, 100%, $E$13)</f>
        <v>20.5731</v>
      </c>
      <c r="K1054" s="67">
        <f>20.5798 * CHOOSE(CONTROL!$C$26, $C$13, 100%, $E$13)</f>
        <v>20.579799999999999</v>
      </c>
    </row>
    <row r="1055" spans="1:11" ht="15">
      <c r="A1055" s="13">
        <v>73232</v>
      </c>
      <c r="B1055" s="66">
        <f>18.3645 * CHOOSE(CONTROL!$C$26, $C$13, 100%, $E$13)</f>
        <v>18.3645</v>
      </c>
      <c r="C1055" s="66">
        <f>18.3645 * CHOOSE(CONTROL!$C$26, $C$13, 100%, $E$13)</f>
        <v>18.3645</v>
      </c>
      <c r="D1055" s="66">
        <f>18.37 * CHOOSE(CONTROL!$C$26, $C$13, 100%, $E$13)</f>
        <v>18.37</v>
      </c>
      <c r="E1055" s="67">
        <f>20.897 * CHOOSE(CONTROL!$C$26, $C$13, 100%, $E$13)</f>
        <v>20.896999999999998</v>
      </c>
      <c r="F1055" s="67">
        <f>20.897 * CHOOSE(CONTROL!$C$26, $C$13, 100%, $E$13)</f>
        <v>20.896999999999998</v>
      </c>
      <c r="G1055" s="67">
        <f>20.9038 * CHOOSE(CONTROL!$C$26, $C$13, 100%, $E$13)</f>
        <v>20.9038</v>
      </c>
      <c r="H1055" s="67">
        <f>38.3773* CHOOSE(CONTROL!$C$26, $C$13, 100%, $E$13)</f>
        <v>38.377299999999998</v>
      </c>
      <c r="I1055" s="67">
        <f>38.384 * CHOOSE(CONTROL!$C$26, $C$13, 100%, $E$13)</f>
        <v>38.384</v>
      </c>
      <c r="J1055" s="67">
        <f>20.897 * CHOOSE(CONTROL!$C$26, $C$13, 100%, $E$13)</f>
        <v>20.896999999999998</v>
      </c>
      <c r="K1055" s="67">
        <f>20.9038 * CHOOSE(CONTROL!$C$26, $C$13, 100%, $E$13)</f>
        <v>20.9038</v>
      </c>
    </row>
    <row r="1056" spans="1:11" ht="15">
      <c r="A1056" s="13">
        <v>73263</v>
      </c>
      <c r="B1056" s="66">
        <f>18.3712 * CHOOSE(CONTROL!$C$26, $C$13, 100%, $E$13)</f>
        <v>18.371200000000002</v>
      </c>
      <c r="C1056" s="66">
        <f>18.3712 * CHOOSE(CONTROL!$C$26, $C$13, 100%, $E$13)</f>
        <v>18.371200000000002</v>
      </c>
      <c r="D1056" s="66">
        <f>18.3767 * CHOOSE(CONTROL!$C$26, $C$13, 100%, $E$13)</f>
        <v>18.3767</v>
      </c>
      <c r="E1056" s="67">
        <f>20.5507 * CHOOSE(CONTROL!$C$26, $C$13, 100%, $E$13)</f>
        <v>20.550699999999999</v>
      </c>
      <c r="F1056" s="67">
        <f>20.5507 * CHOOSE(CONTROL!$C$26, $C$13, 100%, $E$13)</f>
        <v>20.550699999999999</v>
      </c>
      <c r="G1056" s="67">
        <f>20.5574 * CHOOSE(CONTROL!$C$26, $C$13, 100%, $E$13)</f>
        <v>20.557400000000001</v>
      </c>
      <c r="H1056" s="67">
        <f>38.4572* CHOOSE(CONTROL!$C$26, $C$13, 100%, $E$13)</f>
        <v>38.4572</v>
      </c>
      <c r="I1056" s="67">
        <f>38.464 * CHOOSE(CONTROL!$C$26, $C$13, 100%, $E$13)</f>
        <v>38.463999999999999</v>
      </c>
      <c r="J1056" s="67">
        <f>20.5507 * CHOOSE(CONTROL!$C$26, $C$13, 100%, $E$13)</f>
        <v>20.550699999999999</v>
      </c>
      <c r="K1056" s="67">
        <f>20.5574 * CHOOSE(CONTROL!$C$26, $C$13, 100%, $E$13)</f>
        <v>20.557400000000001</v>
      </c>
    </row>
    <row r="1057" spans="1:11" ht="15">
      <c r="A1057" s="13">
        <v>73294</v>
      </c>
      <c r="B1057" s="66">
        <f>18.3681 * CHOOSE(CONTROL!$C$26, $C$13, 100%, $E$13)</f>
        <v>18.368099999999998</v>
      </c>
      <c r="C1057" s="66">
        <f>18.3681 * CHOOSE(CONTROL!$C$26, $C$13, 100%, $E$13)</f>
        <v>18.368099999999998</v>
      </c>
      <c r="D1057" s="66">
        <f>18.3736 * CHOOSE(CONTROL!$C$26, $C$13, 100%, $E$13)</f>
        <v>18.3736</v>
      </c>
      <c r="E1057" s="67">
        <f>20.5095 * CHOOSE(CONTROL!$C$26, $C$13, 100%, $E$13)</f>
        <v>20.509499999999999</v>
      </c>
      <c r="F1057" s="67">
        <f>20.5095 * CHOOSE(CONTROL!$C$26, $C$13, 100%, $E$13)</f>
        <v>20.509499999999999</v>
      </c>
      <c r="G1057" s="67">
        <f>20.5163 * CHOOSE(CONTROL!$C$26, $C$13, 100%, $E$13)</f>
        <v>20.516300000000001</v>
      </c>
      <c r="H1057" s="67">
        <f>38.5373* CHOOSE(CONTROL!$C$26, $C$13, 100%, $E$13)</f>
        <v>38.537300000000002</v>
      </c>
      <c r="I1057" s="67">
        <f>38.5441 * CHOOSE(CONTROL!$C$26, $C$13, 100%, $E$13)</f>
        <v>38.5441</v>
      </c>
      <c r="J1057" s="67">
        <f>20.5095 * CHOOSE(CONTROL!$C$26, $C$13, 100%, $E$13)</f>
        <v>20.509499999999999</v>
      </c>
      <c r="K1057" s="67">
        <f>20.5163 * CHOOSE(CONTROL!$C$26, $C$13, 100%, $E$13)</f>
        <v>20.516300000000001</v>
      </c>
    </row>
    <row r="1058" spans="1:11" ht="15">
      <c r="A1058" s="13">
        <v>73324</v>
      </c>
      <c r="B1058" s="66">
        <f>18.4093 * CHOOSE(CONTROL!$C$26, $C$13, 100%, $E$13)</f>
        <v>18.409300000000002</v>
      </c>
      <c r="C1058" s="66">
        <f>18.4093 * CHOOSE(CONTROL!$C$26, $C$13, 100%, $E$13)</f>
        <v>18.409300000000002</v>
      </c>
      <c r="D1058" s="66">
        <f>18.4131 * CHOOSE(CONTROL!$C$26, $C$13, 100%, $E$13)</f>
        <v>18.4131</v>
      </c>
      <c r="E1058" s="67">
        <f>20.6521 * CHOOSE(CONTROL!$C$26, $C$13, 100%, $E$13)</f>
        <v>20.652100000000001</v>
      </c>
      <c r="F1058" s="67">
        <f>20.6521 * CHOOSE(CONTROL!$C$26, $C$13, 100%, $E$13)</f>
        <v>20.652100000000001</v>
      </c>
      <c r="G1058" s="67">
        <f>20.6569 * CHOOSE(CONTROL!$C$26, $C$13, 100%, $E$13)</f>
        <v>20.6569</v>
      </c>
      <c r="H1058" s="67">
        <f>38.6176* CHOOSE(CONTROL!$C$26, $C$13, 100%, $E$13)</f>
        <v>38.617600000000003</v>
      </c>
      <c r="I1058" s="67">
        <f>38.6224 * CHOOSE(CONTROL!$C$26, $C$13, 100%, $E$13)</f>
        <v>38.622399999999999</v>
      </c>
      <c r="J1058" s="67">
        <f>20.6521 * CHOOSE(CONTROL!$C$26, $C$13, 100%, $E$13)</f>
        <v>20.652100000000001</v>
      </c>
      <c r="K1058" s="67">
        <f>20.6569 * CHOOSE(CONTROL!$C$26, $C$13, 100%, $E$13)</f>
        <v>20.6569</v>
      </c>
    </row>
    <row r="1059" spans="1:11" ht="15">
      <c r="A1059" s="13">
        <v>73355</v>
      </c>
      <c r="B1059" s="66">
        <f>18.4123 * CHOOSE(CONTROL!$C$26, $C$13, 100%, $E$13)</f>
        <v>18.412299999999998</v>
      </c>
      <c r="C1059" s="66">
        <f>18.4123 * CHOOSE(CONTROL!$C$26, $C$13, 100%, $E$13)</f>
        <v>18.412299999999998</v>
      </c>
      <c r="D1059" s="66">
        <f>18.4162 * CHOOSE(CONTROL!$C$26, $C$13, 100%, $E$13)</f>
        <v>18.4162</v>
      </c>
      <c r="E1059" s="67">
        <f>20.7323 * CHOOSE(CONTROL!$C$26, $C$13, 100%, $E$13)</f>
        <v>20.732299999999999</v>
      </c>
      <c r="F1059" s="67">
        <f>20.7323 * CHOOSE(CONTROL!$C$26, $C$13, 100%, $E$13)</f>
        <v>20.732299999999999</v>
      </c>
      <c r="G1059" s="67">
        <f>20.737 * CHOOSE(CONTROL!$C$26, $C$13, 100%, $E$13)</f>
        <v>20.736999999999998</v>
      </c>
      <c r="H1059" s="67">
        <f>38.6981* CHOOSE(CONTROL!$C$26, $C$13, 100%, $E$13)</f>
        <v>38.698099999999997</v>
      </c>
      <c r="I1059" s="67">
        <f>38.7029 * CHOOSE(CONTROL!$C$26, $C$13, 100%, $E$13)</f>
        <v>38.7029</v>
      </c>
      <c r="J1059" s="67">
        <f>20.7323 * CHOOSE(CONTROL!$C$26, $C$13, 100%, $E$13)</f>
        <v>20.732299999999999</v>
      </c>
      <c r="K1059" s="67">
        <f>20.737 * CHOOSE(CONTROL!$C$26, $C$13, 100%, $E$13)</f>
        <v>20.736999999999998</v>
      </c>
    </row>
    <row r="1060" spans="1:11" ht="15">
      <c r="A1060" s="13">
        <v>73385</v>
      </c>
      <c r="B1060" s="66">
        <f>18.4123 * CHOOSE(CONTROL!$C$26, $C$13, 100%, $E$13)</f>
        <v>18.412299999999998</v>
      </c>
      <c r="C1060" s="66">
        <f>18.4123 * CHOOSE(CONTROL!$C$26, $C$13, 100%, $E$13)</f>
        <v>18.412299999999998</v>
      </c>
      <c r="D1060" s="66">
        <f>18.4162 * CHOOSE(CONTROL!$C$26, $C$13, 100%, $E$13)</f>
        <v>18.4162</v>
      </c>
      <c r="E1060" s="67">
        <f>20.5373 * CHOOSE(CONTROL!$C$26, $C$13, 100%, $E$13)</f>
        <v>20.537299999999998</v>
      </c>
      <c r="F1060" s="67">
        <f>20.5373 * CHOOSE(CONTROL!$C$26, $C$13, 100%, $E$13)</f>
        <v>20.537299999999998</v>
      </c>
      <c r="G1060" s="67">
        <f>20.542 * CHOOSE(CONTROL!$C$26, $C$13, 100%, $E$13)</f>
        <v>20.542000000000002</v>
      </c>
      <c r="H1060" s="67">
        <f>38.7787* CHOOSE(CONTROL!$C$26, $C$13, 100%, $E$13)</f>
        <v>38.778700000000001</v>
      </c>
      <c r="I1060" s="67">
        <f>38.7835 * CHOOSE(CONTROL!$C$26, $C$13, 100%, $E$13)</f>
        <v>38.783499999999997</v>
      </c>
      <c r="J1060" s="67">
        <f>20.5373 * CHOOSE(CONTROL!$C$26, $C$13, 100%, $E$13)</f>
        <v>20.537299999999998</v>
      </c>
      <c r="K1060" s="67">
        <f>20.542 * CHOOSE(CONTROL!$C$26, $C$13, 100%, $E$13)</f>
        <v>20.542000000000002</v>
      </c>
    </row>
    <row r="1061" spans="1:11" ht="15">
      <c r="A1061" s="10"/>
      <c r="B1061" s="66"/>
      <c r="C1061" s="66"/>
      <c r="D1061" s="66"/>
      <c r="E1061" s="67"/>
      <c r="F1061" s="67"/>
      <c r="G1061" s="67"/>
      <c r="H1061" s="67"/>
      <c r="I1061" s="67"/>
      <c r="J1061" s="67"/>
      <c r="K1061" s="67"/>
    </row>
    <row r="1062" spans="1:11" ht="15">
      <c r="A1062" s="3">
        <v>2014</v>
      </c>
      <c r="B1062" s="66">
        <f t="shared" ref="B1062:K1062" si="0">AVERAGE(B17:B28)</f>
        <v>2.4184833333333331</v>
      </c>
      <c r="C1062" s="66">
        <f t="shared" si="0"/>
        <v>2.4063500000000002</v>
      </c>
      <c r="D1062" s="66">
        <f t="shared" si="0"/>
        <v>2.4109000000000003</v>
      </c>
      <c r="E1062" s="66">
        <f t="shared" si="0"/>
        <v>3.2984333333333336</v>
      </c>
      <c r="F1062" s="66">
        <f t="shared" si="0"/>
        <v>3.4486666666666661</v>
      </c>
      <c r="G1062" s="66">
        <f t="shared" si="0"/>
        <v>3.4611000000000001</v>
      </c>
      <c r="H1062" s="66">
        <f t="shared" si="0"/>
        <v>5.9680833333333352</v>
      </c>
      <c r="I1062" s="66">
        <f t="shared" si="0"/>
        <v>5.9804833333333347</v>
      </c>
      <c r="J1062" s="66">
        <f t="shared" si="0"/>
        <v>3.2984333333333336</v>
      </c>
      <c r="K1062" s="66">
        <f t="shared" si="0"/>
        <v>3.3108416666666667</v>
      </c>
    </row>
    <row r="1063" spans="1:11" ht="15">
      <c r="A1063" s="3">
        <v>2015</v>
      </c>
      <c r="B1063" s="66">
        <f t="shared" ref="B1063:K1063" si="1">AVERAGE(B29:B40)</f>
        <v>2.5009166666666673</v>
      </c>
      <c r="C1063" s="66">
        <f t="shared" si="1"/>
        <v>2.5282416666666667</v>
      </c>
      <c r="D1063" s="66">
        <f t="shared" si="1"/>
        <v>2.5327999999999999</v>
      </c>
      <c r="E1063" s="66">
        <f t="shared" si="1"/>
        <v>3.2090166666666664</v>
      </c>
      <c r="F1063" s="66">
        <f t="shared" si="1"/>
        <v>3.254</v>
      </c>
      <c r="G1063" s="66">
        <f t="shared" si="1"/>
        <v>3.2595916666666667</v>
      </c>
      <c r="H1063" s="66">
        <f t="shared" si="1"/>
        <v>6.1190083333333334</v>
      </c>
      <c r="I1063" s="66">
        <f t="shared" si="1"/>
        <v>6.1246000000000009</v>
      </c>
      <c r="J1063" s="66">
        <f t="shared" si="1"/>
        <v>3.2090166666666664</v>
      </c>
      <c r="K1063" s="66">
        <f t="shared" si="1"/>
        <v>3.2146000000000003</v>
      </c>
    </row>
    <row r="1064" spans="1:11" ht="15">
      <c r="A1064" s="3">
        <v>2016</v>
      </c>
      <c r="B1064" s="66">
        <f t="shared" ref="B1064:K1064" si="2">AVERAGE(B41:B52)</f>
        <v>2.8711249999999997</v>
      </c>
      <c r="C1064" s="66">
        <f t="shared" si="2"/>
        <v>2.8711249999999997</v>
      </c>
      <c r="D1064" s="66">
        <f t="shared" si="2"/>
        <v>2.8756833333333334</v>
      </c>
      <c r="E1064" s="66">
        <f t="shared" si="2"/>
        <v>3.3873333333333338</v>
      </c>
      <c r="F1064" s="66">
        <f t="shared" si="2"/>
        <v>3.4460000000000002</v>
      </c>
      <c r="G1064" s="66">
        <f t="shared" si="2"/>
        <v>3.4515916666666668</v>
      </c>
      <c r="H1064" s="66">
        <f t="shared" si="2"/>
        <v>6.2737333333333325</v>
      </c>
      <c r="I1064" s="66">
        <f t="shared" si="2"/>
        <v>6.279325</v>
      </c>
      <c r="J1064" s="66">
        <f t="shared" si="2"/>
        <v>3.3873333333333338</v>
      </c>
      <c r="K1064" s="66">
        <f t="shared" si="2"/>
        <v>3.392925</v>
      </c>
    </row>
    <row r="1065" spans="1:11" ht="15">
      <c r="A1065" s="3">
        <v>2017</v>
      </c>
      <c r="B1065" s="66">
        <f t="shared" ref="B1065:K1065" si="3">AVERAGE(B53:B64)</f>
        <v>3.0028000000000001</v>
      </c>
      <c r="C1065" s="66">
        <f t="shared" si="3"/>
        <v>3.0028000000000001</v>
      </c>
      <c r="D1065" s="66">
        <f t="shared" si="3"/>
        <v>3.0073666666666665</v>
      </c>
      <c r="E1065" s="66">
        <f t="shared" si="3"/>
        <v>3.5879916666666669</v>
      </c>
      <c r="F1065" s="66">
        <f t="shared" si="3"/>
        <v>3.5879916666666669</v>
      </c>
      <c r="G1065" s="66">
        <f t="shared" si="3"/>
        <v>3.5935833333333331</v>
      </c>
      <c r="H1065" s="66">
        <f t="shared" si="3"/>
        <v>6.4323833333333331</v>
      </c>
      <c r="I1065" s="66">
        <f t="shared" si="3"/>
        <v>6.4379749999999989</v>
      </c>
      <c r="J1065" s="66">
        <f t="shared" si="3"/>
        <v>3.5879916666666669</v>
      </c>
      <c r="K1065" s="66">
        <f t="shared" si="3"/>
        <v>3.5935833333333331</v>
      </c>
    </row>
    <row r="1066" spans="1:11" ht="15">
      <c r="A1066" s="3">
        <v>2018</v>
      </c>
      <c r="B1066" s="66">
        <f t="shared" ref="B1066:K1066" si="4">AVERAGE(B65:B76)</f>
        <v>3.1109000000000004</v>
      </c>
      <c r="C1066" s="66">
        <f t="shared" si="4"/>
        <v>3.1109000000000004</v>
      </c>
      <c r="D1066" s="66">
        <f t="shared" si="4"/>
        <v>3.1154500000000005</v>
      </c>
      <c r="E1066" s="66">
        <f t="shared" si="4"/>
        <v>3.7429000000000006</v>
      </c>
      <c r="F1066" s="66">
        <f t="shared" si="4"/>
        <v>3.7429000000000006</v>
      </c>
      <c r="G1066" s="66">
        <f t="shared" si="4"/>
        <v>3.7484916666666668</v>
      </c>
      <c r="H1066" s="66">
        <f t="shared" si="4"/>
        <v>6.5950499999999996</v>
      </c>
      <c r="I1066" s="66">
        <f t="shared" si="4"/>
        <v>6.600649999999999</v>
      </c>
      <c r="J1066" s="66">
        <f t="shared" si="4"/>
        <v>3.7429000000000006</v>
      </c>
      <c r="K1066" s="66">
        <f t="shared" si="4"/>
        <v>3.7484916666666668</v>
      </c>
    </row>
    <row r="1067" spans="1:11" ht="15">
      <c r="A1067" s="3">
        <v>2019</v>
      </c>
      <c r="B1067" s="66">
        <f t="shared" ref="B1067:K1067" si="5">AVERAGE(B77:B88)</f>
        <v>3.1375166666666665</v>
      </c>
      <c r="C1067" s="66">
        <f t="shared" si="5"/>
        <v>3.1375166666666665</v>
      </c>
      <c r="D1067" s="66">
        <f t="shared" si="5"/>
        <v>3.1420666666666666</v>
      </c>
      <c r="E1067" s="66">
        <f t="shared" si="5"/>
        <v>3.8573833333333334</v>
      </c>
      <c r="F1067" s="66">
        <f t="shared" si="5"/>
        <v>3.8573833333333334</v>
      </c>
      <c r="G1067" s="66">
        <f t="shared" si="5"/>
        <v>3.862975</v>
      </c>
      <c r="H1067" s="66">
        <f t="shared" si="5"/>
        <v>6.7618333333333345</v>
      </c>
      <c r="I1067" s="66">
        <f t="shared" si="5"/>
        <v>6.7674333333333339</v>
      </c>
      <c r="J1067" s="66">
        <f t="shared" si="5"/>
        <v>3.8573833333333334</v>
      </c>
      <c r="K1067" s="66">
        <f t="shared" si="5"/>
        <v>3.862975</v>
      </c>
    </row>
    <row r="1068" spans="1:11" ht="15">
      <c r="A1068" s="3">
        <v>2020</v>
      </c>
      <c r="B1068" s="66">
        <f t="shared" ref="B1068:K1068" si="6">AVERAGE(B89:B100)</f>
        <v>3.1985999999999994</v>
      </c>
      <c r="C1068" s="66">
        <f t="shared" si="6"/>
        <v>3.1985999999999994</v>
      </c>
      <c r="D1068" s="66">
        <f t="shared" si="6"/>
        <v>3.2031416666666668</v>
      </c>
      <c r="E1068" s="66">
        <f t="shared" si="6"/>
        <v>3.7282833333333336</v>
      </c>
      <c r="F1068" s="66">
        <f t="shared" si="6"/>
        <v>3.7282833333333336</v>
      </c>
      <c r="G1068" s="66">
        <f t="shared" si="6"/>
        <v>3.7338749999999998</v>
      </c>
      <c r="H1068" s="66">
        <f t="shared" si="6"/>
        <v>6.9328250000000002</v>
      </c>
      <c r="I1068" s="66">
        <f t="shared" si="6"/>
        <v>6.9384250000000014</v>
      </c>
      <c r="J1068" s="66">
        <f t="shared" si="6"/>
        <v>3.7282833333333336</v>
      </c>
      <c r="K1068" s="66">
        <f t="shared" si="6"/>
        <v>3.7338749999999998</v>
      </c>
    </row>
    <row r="1069" spans="1:11" ht="15">
      <c r="A1069" s="3">
        <v>2021</v>
      </c>
      <c r="B1069" s="66">
        <f t="shared" ref="B1069:K1069" si="7">AVERAGE(B101:B112)</f>
        <v>3.2682833333333332</v>
      </c>
      <c r="C1069" s="66">
        <f t="shared" si="7"/>
        <v>3.2682833333333332</v>
      </c>
      <c r="D1069" s="66">
        <f t="shared" si="7"/>
        <v>3.2728333333333328</v>
      </c>
      <c r="E1069" s="66">
        <f t="shared" si="7"/>
        <v>3.7707666666666668</v>
      </c>
      <c r="F1069" s="66">
        <f t="shared" si="7"/>
        <v>3.7707666666666668</v>
      </c>
      <c r="G1069" s="66">
        <f t="shared" si="7"/>
        <v>3.7763500000000003</v>
      </c>
      <c r="H1069" s="66">
        <f t="shared" si="7"/>
        <v>7.1081583333333329</v>
      </c>
      <c r="I1069" s="66">
        <f t="shared" si="7"/>
        <v>7.1137499999999996</v>
      </c>
      <c r="J1069" s="66">
        <f t="shared" si="7"/>
        <v>3.7707666666666668</v>
      </c>
      <c r="K1069" s="66">
        <f t="shared" si="7"/>
        <v>3.7763500000000003</v>
      </c>
    </row>
    <row r="1070" spans="1:11" ht="15">
      <c r="A1070" s="3">
        <v>2022</v>
      </c>
      <c r="B1070" s="66">
        <f t="shared" ref="B1070:K1070" si="8">AVERAGE(B113:B124)</f>
        <v>3.3391416666666669</v>
      </c>
      <c r="C1070" s="66">
        <f t="shared" si="8"/>
        <v>3.3391416666666669</v>
      </c>
      <c r="D1070" s="66">
        <f t="shared" si="8"/>
        <v>3.343691666666667</v>
      </c>
      <c r="E1070" s="66">
        <f t="shared" si="8"/>
        <v>3.944116666666666</v>
      </c>
      <c r="F1070" s="66">
        <f t="shared" si="8"/>
        <v>3.944116666666666</v>
      </c>
      <c r="G1070" s="66">
        <f t="shared" si="8"/>
        <v>3.9497416666666667</v>
      </c>
      <c r="H1070" s="66">
        <f t="shared" si="8"/>
        <v>7.2878999999999996</v>
      </c>
      <c r="I1070" s="66">
        <f t="shared" si="8"/>
        <v>7.2935000000000008</v>
      </c>
      <c r="J1070" s="66">
        <f t="shared" si="8"/>
        <v>3.944116666666666</v>
      </c>
      <c r="K1070" s="66">
        <f t="shared" si="8"/>
        <v>3.9497416666666667</v>
      </c>
    </row>
    <row r="1071" spans="1:11" ht="15">
      <c r="A1071" s="3">
        <v>2023</v>
      </c>
      <c r="B1071" s="66">
        <f t="shared" ref="B1071:K1071" si="9">AVERAGE(B125:B136)</f>
        <v>3.4119833333333336</v>
      </c>
      <c r="C1071" s="66">
        <f t="shared" si="9"/>
        <v>3.4119833333333336</v>
      </c>
      <c r="D1071" s="66">
        <f t="shared" si="9"/>
        <v>3.4165333333333336</v>
      </c>
      <c r="E1071" s="66">
        <f t="shared" si="9"/>
        <v>4.0709833333333334</v>
      </c>
      <c r="F1071" s="66">
        <f t="shared" si="9"/>
        <v>4.0709833333333334</v>
      </c>
      <c r="G1071" s="66">
        <f t="shared" si="9"/>
        <v>4.0765749999999992</v>
      </c>
      <c r="H1071" s="66">
        <f t="shared" si="9"/>
        <v>7.4721999999999982</v>
      </c>
      <c r="I1071" s="66">
        <f t="shared" si="9"/>
        <v>7.4777916666666657</v>
      </c>
      <c r="J1071" s="66">
        <f t="shared" si="9"/>
        <v>4.0709833333333334</v>
      </c>
      <c r="K1071" s="66">
        <f t="shared" si="9"/>
        <v>4.0765749999999992</v>
      </c>
    </row>
    <row r="1072" spans="1:11" ht="15">
      <c r="A1072" s="3">
        <v>2024</v>
      </c>
      <c r="B1072" s="66">
        <f t="shared" ref="B1072:K1072" si="10">AVERAGE(B137:B148)</f>
        <v>3.4898833333333328</v>
      </c>
      <c r="C1072" s="66">
        <f t="shared" si="10"/>
        <v>3.4898833333333328</v>
      </c>
      <c r="D1072" s="66">
        <f t="shared" si="10"/>
        <v>3.4944416666666664</v>
      </c>
      <c r="E1072" s="66">
        <f t="shared" si="10"/>
        <v>4.1558083333333329</v>
      </c>
      <c r="F1072" s="66">
        <f t="shared" si="10"/>
        <v>4.1558083333333329</v>
      </c>
      <c r="G1072" s="66">
        <f t="shared" si="10"/>
        <v>4.1613750000000005</v>
      </c>
      <c r="H1072" s="66">
        <f t="shared" si="10"/>
        <v>7.6611750000000001</v>
      </c>
      <c r="I1072" s="66">
        <f t="shared" si="10"/>
        <v>7.6667416666666659</v>
      </c>
      <c r="J1072" s="66">
        <f t="shared" si="10"/>
        <v>4.1558083333333329</v>
      </c>
      <c r="K1072" s="66">
        <f t="shared" si="10"/>
        <v>4.1613750000000005</v>
      </c>
    </row>
    <row r="1073" spans="1:11" ht="15">
      <c r="A1073" s="3">
        <v>2025</v>
      </c>
      <c r="B1073" s="66">
        <f t="shared" ref="B1073:K1073" si="11">AVERAGE(B149:B160)</f>
        <v>3.5713666666666675</v>
      </c>
      <c r="C1073" s="66">
        <f t="shared" si="11"/>
        <v>3.5713666666666675</v>
      </c>
      <c r="D1073" s="66">
        <f t="shared" si="11"/>
        <v>3.5759166666666666</v>
      </c>
      <c r="E1073" s="66">
        <f t="shared" si="11"/>
        <v>4.2415750000000001</v>
      </c>
      <c r="F1073" s="66">
        <f t="shared" si="11"/>
        <v>4.2415750000000001</v>
      </c>
      <c r="G1073" s="66">
        <f t="shared" si="11"/>
        <v>4.2471666666666668</v>
      </c>
      <c r="H1073" s="66">
        <f t="shared" si="11"/>
        <v>7.8548999999999998</v>
      </c>
      <c r="I1073" s="66">
        <f t="shared" si="11"/>
        <v>7.8605083333333345</v>
      </c>
      <c r="J1073" s="66">
        <f t="shared" si="11"/>
        <v>4.2415750000000001</v>
      </c>
      <c r="K1073" s="66">
        <f t="shared" si="11"/>
        <v>4.2471666666666668</v>
      </c>
    </row>
    <row r="1074" spans="1:11" ht="15">
      <c r="A1074" s="3">
        <v>2026</v>
      </c>
      <c r="B1074" s="66">
        <f t="shared" ref="B1074:K1074" si="12">AVERAGE(B161:B172)</f>
        <v>3.6529916666666669</v>
      </c>
      <c r="C1074" s="66">
        <f t="shared" si="12"/>
        <v>3.6529916666666669</v>
      </c>
      <c r="D1074" s="66">
        <f t="shared" si="12"/>
        <v>3.6575500000000001</v>
      </c>
      <c r="E1074" s="66">
        <f t="shared" si="12"/>
        <v>4.3426083333333336</v>
      </c>
      <c r="F1074" s="66">
        <f t="shared" si="12"/>
        <v>4.3426083333333336</v>
      </c>
      <c r="G1074" s="66">
        <f t="shared" si="12"/>
        <v>4.3481916666666667</v>
      </c>
      <c r="H1074" s="66">
        <f t="shared" si="12"/>
        <v>8.0535333333333323</v>
      </c>
      <c r="I1074" s="66">
        <f t="shared" si="12"/>
        <v>8.0591500000000007</v>
      </c>
      <c r="J1074" s="66">
        <f t="shared" si="12"/>
        <v>4.3426083333333336</v>
      </c>
      <c r="K1074" s="66">
        <f t="shared" si="12"/>
        <v>4.3481916666666667</v>
      </c>
    </row>
    <row r="1075" spans="1:11" ht="15">
      <c r="A1075" s="3">
        <v>2027</v>
      </c>
      <c r="B1075" s="66">
        <f t="shared" ref="B1075:K1075" si="13">AVERAGE(B173:B184)</f>
        <v>3.7325916666666674</v>
      </c>
      <c r="C1075" s="66">
        <f t="shared" si="13"/>
        <v>3.7325916666666674</v>
      </c>
      <c r="D1075" s="66">
        <f t="shared" si="13"/>
        <v>3.7371333333333339</v>
      </c>
      <c r="E1075" s="66">
        <f t="shared" si="13"/>
        <v>4.4449999999999994</v>
      </c>
      <c r="F1075" s="66">
        <f t="shared" si="13"/>
        <v>4.4449999999999994</v>
      </c>
      <c r="G1075" s="66">
        <f t="shared" si="13"/>
        <v>4.4505916666666669</v>
      </c>
      <c r="H1075" s="66">
        <f t="shared" si="13"/>
        <v>8.2572166666666664</v>
      </c>
      <c r="I1075" s="66">
        <f t="shared" si="13"/>
        <v>8.2627916666666668</v>
      </c>
      <c r="J1075" s="66">
        <f t="shared" si="13"/>
        <v>4.4449999999999994</v>
      </c>
      <c r="K1075" s="66">
        <f t="shared" si="13"/>
        <v>4.4505916666666669</v>
      </c>
    </row>
    <row r="1076" spans="1:11" ht="15">
      <c r="A1076" s="3">
        <v>2028</v>
      </c>
      <c r="B1076" s="66">
        <f t="shared" ref="B1076:K1076" si="14">AVERAGE(B185:B196)</f>
        <v>3.8206500000000001</v>
      </c>
      <c r="C1076" s="66">
        <f t="shared" si="14"/>
        <v>3.8206500000000001</v>
      </c>
      <c r="D1076" s="66">
        <f t="shared" si="14"/>
        <v>3.8252083333333338</v>
      </c>
      <c r="E1076" s="66">
        <f t="shared" si="14"/>
        <v>4.5496749999999997</v>
      </c>
      <c r="F1076" s="66">
        <f t="shared" si="14"/>
        <v>4.5496749999999997</v>
      </c>
      <c r="G1076" s="66">
        <f t="shared" si="14"/>
        <v>4.5552583333333336</v>
      </c>
      <c r="H1076" s="66">
        <f t="shared" si="14"/>
        <v>8.4660416666666674</v>
      </c>
      <c r="I1076" s="66">
        <f t="shared" si="14"/>
        <v>8.4716083333333341</v>
      </c>
      <c r="J1076" s="66">
        <f t="shared" si="14"/>
        <v>4.5496749999999997</v>
      </c>
      <c r="K1076" s="66">
        <f t="shared" si="14"/>
        <v>4.5552583333333336</v>
      </c>
    </row>
    <row r="1077" spans="1:11" ht="15">
      <c r="A1077" s="3">
        <v>2029</v>
      </c>
      <c r="B1077" s="66">
        <f t="shared" ref="B1077:K1077" si="15">AVERAGE(B197:B208)</f>
        <v>3.9070166666666659</v>
      </c>
      <c r="C1077" s="66">
        <f t="shared" si="15"/>
        <v>3.9070166666666659</v>
      </c>
      <c r="D1077" s="66">
        <f t="shared" si="15"/>
        <v>3.9115749999999996</v>
      </c>
      <c r="E1077" s="66">
        <f t="shared" si="15"/>
        <v>4.6572416666666667</v>
      </c>
      <c r="F1077" s="66">
        <f t="shared" si="15"/>
        <v>4.6572416666666667</v>
      </c>
      <c r="G1077" s="66">
        <f t="shared" si="15"/>
        <v>4.6628250000000007</v>
      </c>
      <c r="H1077" s="66">
        <f t="shared" si="15"/>
        <v>8.6801083333333331</v>
      </c>
      <c r="I1077" s="66">
        <f t="shared" si="15"/>
        <v>8.6857083333333325</v>
      </c>
      <c r="J1077" s="66">
        <f t="shared" si="15"/>
        <v>4.6572416666666667</v>
      </c>
      <c r="K1077" s="66">
        <f t="shared" si="15"/>
        <v>4.6628250000000007</v>
      </c>
    </row>
    <row r="1078" spans="1:11" ht="15">
      <c r="A1078" s="3">
        <v>2030</v>
      </c>
      <c r="B1078" s="66">
        <f t="shared" ref="B1078:K1078" si="16">AVERAGE(B209:B220)</f>
        <v>3.998324999999999</v>
      </c>
      <c r="C1078" s="66">
        <f t="shared" si="16"/>
        <v>3.998324999999999</v>
      </c>
      <c r="D1078" s="66">
        <f t="shared" si="16"/>
        <v>4.0028833333333331</v>
      </c>
      <c r="E1078" s="66">
        <f t="shared" si="16"/>
        <v>4.7692916666666667</v>
      </c>
      <c r="F1078" s="66">
        <f t="shared" si="16"/>
        <v>4.7692916666666667</v>
      </c>
      <c r="G1078" s="66">
        <f t="shared" si="16"/>
        <v>4.7748916666666679</v>
      </c>
      <c r="H1078" s="66">
        <f t="shared" si="16"/>
        <v>8.8996166666666667</v>
      </c>
      <c r="I1078" s="66">
        <f t="shared" si="16"/>
        <v>8.9052249999999997</v>
      </c>
      <c r="J1078" s="66">
        <f t="shared" si="16"/>
        <v>4.7692916666666667</v>
      </c>
      <c r="K1078" s="66">
        <f t="shared" si="16"/>
        <v>4.7748916666666679</v>
      </c>
    </row>
    <row r="1079" spans="1:11" ht="15">
      <c r="A1079" s="3">
        <v>2031</v>
      </c>
      <c r="B1079" s="66">
        <f t="shared" ref="B1079:K1079" si="17">AVERAGE(B221:B232)</f>
        <v>4.0933833333333327</v>
      </c>
      <c r="C1079" s="66">
        <f t="shared" si="17"/>
        <v>4.0933833333333327</v>
      </c>
      <c r="D1079" s="66">
        <f t="shared" si="17"/>
        <v>4.0979166666666664</v>
      </c>
      <c r="E1079" s="66">
        <f t="shared" si="17"/>
        <v>4.915375</v>
      </c>
      <c r="F1079" s="66">
        <f t="shared" si="17"/>
        <v>4.915375</v>
      </c>
      <c r="G1079" s="66">
        <f t="shared" si="17"/>
        <v>4.9209749999999994</v>
      </c>
      <c r="H1079" s="66">
        <f t="shared" si="17"/>
        <v>9.1246750000000016</v>
      </c>
      <c r="I1079" s="66">
        <f t="shared" si="17"/>
        <v>9.1302833333333346</v>
      </c>
      <c r="J1079" s="66">
        <f t="shared" si="17"/>
        <v>4.915375</v>
      </c>
      <c r="K1079" s="66">
        <f t="shared" si="17"/>
        <v>4.9209749999999994</v>
      </c>
    </row>
    <row r="1080" spans="1:11" ht="15">
      <c r="A1080" s="3">
        <v>2032</v>
      </c>
      <c r="B1080" s="66">
        <f t="shared" ref="B1080:K1080" si="18">AVERAGE(B233:B244)</f>
        <v>4.1982249999999999</v>
      </c>
      <c r="C1080" s="66">
        <f t="shared" si="18"/>
        <v>4.1982249999999999</v>
      </c>
      <c r="D1080" s="66">
        <f t="shared" si="18"/>
        <v>4.2027666666666654</v>
      </c>
      <c r="E1080" s="66">
        <f t="shared" si="18"/>
        <v>5.0666166666666665</v>
      </c>
      <c r="F1080" s="66">
        <f t="shared" si="18"/>
        <v>5.0666166666666665</v>
      </c>
      <c r="G1080" s="66">
        <f t="shared" si="18"/>
        <v>5.0722083333333332</v>
      </c>
      <c r="H1080" s="66">
        <f t="shared" si="18"/>
        <v>9.3554250000000021</v>
      </c>
      <c r="I1080" s="66">
        <f t="shared" si="18"/>
        <v>9.3610250000000033</v>
      </c>
      <c r="J1080" s="66">
        <f t="shared" si="18"/>
        <v>5.0666166666666665</v>
      </c>
      <c r="K1080" s="66">
        <f t="shared" si="18"/>
        <v>5.0722083333333332</v>
      </c>
    </row>
    <row r="1081" spans="1:11" ht="15">
      <c r="A1081" s="3">
        <v>2033</v>
      </c>
      <c r="B1081" s="66">
        <f t="shared" ref="B1081:K1081" si="19">AVERAGE(B245:B256)</f>
        <v>4.3121749999999999</v>
      </c>
      <c r="C1081" s="66">
        <f t="shared" si="19"/>
        <v>4.3121749999999999</v>
      </c>
      <c r="D1081" s="66">
        <f t="shared" si="19"/>
        <v>4.3167333333333344</v>
      </c>
      <c r="E1081" s="66">
        <f t="shared" si="19"/>
        <v>5.2221833333333327</v>
      </c>
      <c r="F1081" s="66">
        <f t="shared" si="19"/>
        <v>5.2221833333333327</v>
      </c>
      <c r="G1081" s="66">
        <f t="shared" si="19"/>
        <v>5.2277833333333339</v>
      </c>
      <c r="H1081" s="66">
        <f t="shared" si="19"/>
        <v>9.5920166666666677</v>
      </c>
      <c r="I1081" s="66">
        <f t="shared" si="19"/>
        <v>9.5976083333333335</v>
      </c>
      <c r="J1081" s="66">
        <f t="shared" si="19"/>
        <v>5.2221833333333327</v>
      </c>
      <c r="K1081" s="66">
        <f t="shared" si="19"/>
        <v>5.2277833333333339</v>
      </c>
    </row>
    <row r="1082" spans="1:11" ht="15">
      <c r="A1082" s="3">
        <v>2034</v>
      </c>
      <c r="B1082" s="66">
        <f t="shared" ref="B1082:K1082" si="20">AVERAGE(B257:B268)</f>
        <v>4.4314749999999998</v>
      </c>
      <c r="C1082" s="66">
        <f t="shared" si="20"/>
        <v>4.4314749999999998</v>
      </c>
      <c r="D1082" s="66">
        <f t="shared" si="20"/>
        <v>4.4360000000000008</v>
      </c>
      <c r="E1082" s="66">
        <f t="shared" si="20"/>
        <v>5.3829916666666664</v>
      </c>
      <c r="F1082" s="66">
        <f t="shared" si="20"/>
        <v>5.3829916666666664</v>
      </c>
      <c r="G1082" s="66">
        <f t="shared" si="20"/>
        <v>5.3885750000000003</v>
      </c>
      <c r="H1082" s="66">
        <f t="shared" si="20"/>
        <v>9.8345833333333328</v>
      </c>
      <c r="I1082" s="66">
        <f t="shared" si="20"/>
        <v>9.8401666666666667</v>
      </c>
      <c r="J1082" s="66">
        <f t="shared" si="20"/>
        <v>5.3829916666666664</v>
      </c>
      <c r="K1082" s="66">
        <f t="shared" si="20"/>
        <v>5.3885750000000003</v>
      </c>
    </row>
    <row r="1083" spans="1:11" ht="15">
      <c r="A1083" s="3">
        <v>2035</v>
      </c>
      <c r="B1083" s="66">
        <f t="shared" ref="B1083:K1083" si="21">AVERAGE(B269:B280)</f>
        <v>4.5522083333333327</v>
      </c>
      <c r="C1083" s="66">
        <f t="shared" si="21"/>
        <v>4.5522083333333327</v>
      </c>
      <c r="D1083" s="66">
        <f t="shared" si="21"/>
        <v>4.5567499999999992</v>
      </c>
      <c r="E1083" s="66">
        <f t="shared" si="21"/>
        <v>5.5499833333333326</v>
      </c>
      <c r="F1083" s="66">
        <f t="shared" si="21"/>
        <v>5.5499833333333326</v>
      </c>
      <c r="G1083" s="66">
        <f t="shared" si="21"/>
        <v>5.5555583333333329</v>
      </c>
      <c r="H1083" s="66">
        <f t="shared" si="21"/>
        <v>10.083266666666667</v>
      </c>
      <c r="I1083" s="66">
        <f t="shared" si="21"/>
        <v>10.088883333333333</v>
      </c>
      <c r="J1083" s="66">
        <f t="shared" si="21"/>
        <v>5.5499833333333326</v>
      </c>
      <c r="K1083" s="66">
        <f t="shared" si="21"/>
        <v>5.5555583333333329</v>
      </c>
    </row>
    <row r="1084" spans="1:11" ht="15">
      <c r="A1084" s="3">
        <v>2036</v>
      </c>
      <c r="B1084" s="66">
        <f t="shared" ref="B1084:K1084" si="22">AVERAGE(B281:B292)</f>
        <v>4.6735916666666668</v>
      </c>
      <c r="C1084" s="66">
        <f t="shared" si="22"/>
        <v>4.6735916666666668</v>
      </c>
      <c r="D1084" s="66">
        <f t="shared" si="22"/>
        <v>4.6781333333333341</v>
      </c>
      <c r="E1084" s="66">
        <f t="shared" si="22"/>
        <v>5.7116166666666652</v>
      </c>
      <c r="F1084" s="66">
        <f t="shared" si="22"/>
        <v>5.7116166666666652</v>
      </c>
      <c r="G1084" s="66">
        <f t="shared" si="22"/>
        <v>5.7171999999999992</v>
      </c>
      <c r="H1084" s="66">
        <f t="shared" si="22"/>
        <v>10.338275000000001</v>
      </c>
      <c r="I1084" s="66">
        <f t="shared" si="22"/>
        <v>10.343849999999998</v>
      </c>
      <c r="J1084" s="66">
        <f t="shared" si="22"/>
        <v>5.7116166666666652</v>
      </c>
      <c r="K1084" s="66">
        <f t="shared" si="22"/>
        <v>5.7171999999999992</v>
      </c>
    </row>
    <row r="1085" spans="1:11" ht="15">
      <c r="A1085" s="3">
        <v>2037</v>
      </c>
      <c r="B1085" s="66">
        <f t="shared" ref="B1085:K1085" si="23">AVERAGE(B293:B304)</f>
        <v>4.7968249999999992</v>
      </c>
      <c r="C1085" s="66">
        <f t="shared" si="23"/>
        <v>4.7968249999999992</v>
      </c>
      <c r="D1085" s="66">
        <f t="shared" si="23"/>
        <v>4.801358333333333</v>
      </c>
      <c r="E1085" s="66">
        <f t="shared" si="23"/>
        <v>5.8677333333333328</v>
      </c>
      <c r="F1085" s="66">
        <f t="shared" si="23"/>
        <v>5.8677333333333328</v>
      </c>
      <c r="G1085" s="66">
        <f t="shared" si="23"/>
        <v>5.8733166666666667</v>
      </c>
      <c r="H1085" s="66">
        <f t="shared" si="23"/>
        <v>10.599708333333334</v>
      </c>
      <c r="I1085" s="66">
        <f t="shared" si="23"/>
        <v>10.605291666666668</v>
      </c>
      <c r="J1085" s="66">
        <f t="shared" si="23"/>
        <v>5.8677333333333328</v>
      </c>
      <c r="K1085" s="66">
        <f t="shared" si="23"/>
        <v>5.8733166666666667</v>
      </c>
    </row>
    <row r="1086" spans="1:11" ht="15">
      <c r="A1086" s="3">
        <v>2038</v>
      </c>
      <c r="B1086" s="66">
        <f t="shared" ref="B1086:K1086" si="24">AVERAGE(B305:B316)</f>
        <v>4.9241666666666664</v>
      </c>
      <c r="C1086" s="66">
        <f t="shared" si="24"/>
        <v>4.9241666666666664</v>
      </c>
      <c r="D1086" s="66">
        <f t="shared" si="24"/>
        <v>4.928725</v>
      </c>
      <c r="E1086" s="66">
        <f t="shared" si="24"/>
        <v>6.0242416666666658</v>
      </c>
      <c r="F1086" s="66">
        <f t="shared" si="24"/>
        <v>6.0242416666666658</v>
      </c>
      <c r="G1086" s="66">
        <f t="shared" si="24"/>
        <v>6.029841666666667</v>
      </c>
      <c r="H1086" s="66">
        <f t="shared" si="24"/>
        <v>10.867766666666668</v>
      </c>
      <c r="I1086" s="66">
        <f t="shared" si="24"/>
        <v>10.87335</v>
      </c>
      <c r="J1086" s="66">
        <f t="shared" si="24"/>
        <v>6.0242416666666658</v>
      </c>
      <c r="K1086" s="66">
        <f t="shared" si="24"/>
        <v>6.029841666666667</v>
      </c>
    </row>
    <row r="1087" spans="1:11" ht="15">
      <c r="A1087" s="3">
        <v>2039</v>
      </c>
      <c r="B1087" s="66">
        <f t="shared" ref="B1087:K1087" si="25">AVERAGE(B317:B328)</f>
        <v>5.0543916666666666</v>
      </c>
      <c r="C1087" s="66">
        <f t="shared" si="25"/>
        <v>5.0543916666666666</v>
      </c>
      <c r="D1087" s="66">
        <f t="shared" si="25"/>
        <v>5.0589333333333331</v>
      </c>
      <c r="E1087" s="66">
        <f t="shared" si="25"/>
        <v>6.1721166666666667</v>
      </c>
      <c r="F1087" s="66">
        <f t="shared" si="25"/>
        <v>6.1721166666666667</v>
      </c>
      <c r="G1087" s="66">
        <f t="shared" si="25"/>
        <v>6.1777000000000006</v>
      </c>
      <c r="H1087" s="66">
        <f t="shared" si="25"/>
        <v>11.142583333333333</v>
      </c>
      <c r="I1087" s="66">
        <f t="shared" si="25"/>
        <v>11.148166666666663</v>
      </c>
      <c r="J1087" s="66">
        <f t="shared" si="25"/>
        <v>6.1721166666666667</v>
      </c>
      <c r="K1087" s="66">
        <f t="shared" si="25"/>
        <v>6.1777000000000006</v>
      </c>
    </row>
    <row r="1088" spans="1:11" ht="15">
      <c r="A1088" s="3">
        <v>2040</v>
      </c>
      <c r="B1088" s="66">
        <f t="shared" ref="B1088:K1088" si="26">AVERAGE(B329:B340)</f>
        <v>5.1875999999999998</v>
      </c>
      <c r="C1088" s="66">
        <f t="shared" si="26"/>
        <v>5.1875999999999998</v>
      </c>
      <c r="D1088" s="66">
        <f t="shared" si="26"/>
        <v>5.1921333333333335</v>
      </c>
      <c r="E1088" s="66">
        <f t="shared" si="26"/>
        <v>6.3228333333333326</v>
      </c>
      <c r="F1088" s="66">
        <f t="shared" si="26"/>
        <v>6.3228333333333326</v>
      </c>
      <c r="G1088" s="66">
        <f t="shared" si="26"/>
        <v>6.3284333333333329</v>
      </c>
      <c r="H1088" s="66">
        <f t="shared" si="26"/>
        <v>11.424391666666667</v>
      </c>
      <c r="I1088" s="66">
        <f t="shared" si="26"/>
        <v>11.429958333333332</v>
      </c>
      <c r="J1088" s="66">
        <f t="shared" si="26"/>
        <v>6.3228333333333326</v>
      </c>
      <c r="K1088" s="66">
        <f t="shared" si="26"/>
        <v>6.3284333333333329</v>
      </c>
    </row>
    <row r="1089" spans="1:11" ht="15">
      <c r="A1089" s="3">
        <v>2041</v>
      </c>
      <c r="B1089" s="66">
        <f t="shared" ref="B1089:K1089" si="27">AVERAGE(B341:B352)</f>
        <v>5.324349999999999</v>
      </c>
      <c r="C1089" s="66">
        <f t="shared" si="27"/>
        <v>5.324349999999999</v>
      </c>
      <c r="D1089" s="66">
        <f t="shared" si="27"/>
        <v>5.3288916666666672</v>
      </c>
      <c r="E1089" s="66">
        <f t="shared" si="27"/>
        <v>6.4772500000000006</v>
      </c>
      <c r="F1089" s="66">
        <f t="shared" si="27"/>
        <v>6.4772500000000006</v>
      </c>
      <c r="G1089" s="66">
        <f t="shared" si="27"/>
        <v>6.4828583333333327</v>
      </c>
      <c r="H1089" s="66">
        <f t="shared" si="27"/>
        <v>11.713291666666668</v>
      </c>
      <c r="I1089" s="66">
        <f t="shared" si="27"/>
        <v>11.71885833333333</v>
      </c>
      <c r="J1089" s="66">
        <f t="shared" si="27"/>
        <v>6.4772500000000006</v>
      </c>
      <c r="K1089" s="66">
        <f t="shared" si="27"/>
        <v>6.4828583333333327</v>
      </c>
    </row>
    <row r="1090" spans="1:11" ht="15">
      <c r="A1090" s="3">
        <v>2042</v>
      </c>
      <c r="B1090" s="66">
        <f t="shared" ref="B1090:K1090" si="28">AVERAGE(B353:B364)</f>
        <v>5.4647166666666651</v>
      </c>
      <c r="C1090" s="66">
        <f t="shared" si="28"/>
        <v>5.4647166666666651</v>
      </c>
      <c r="D1090" s="66">
        <f t="shared" si="28"/>
        <v>5.4692583333333333</v>
      </c>
      <c r="E1090" s="66">
        <f t="shared" si="28"/>
        <v>6.6354583333333323</v>
      </c>
      <c r="F1090" s="66">
        <f t="shared" si="28"/>
        <v>6.6354583333333323</v>
      </c>
      <c r="G1090" s="66">
        <f t="shared" si="28"/>
        <v>6.6410583333333335</v>
      </c>
      <c r="H1090" s="66">
        <f t="shared" si="28"/>
        <v>12.009483333333334</v>
      </c>
      <c r="I1090" s="66">
        <f t="shared" si="28"/>
        <v>12.015074999999998</v>
      </c>
      <c r="J1090" s="66">
        <f t="shared" si="28"/>
        <v>6.6354583333333323</v>
      </c>
      <c r="K1090" s="66">
        <f t="shared" si="28"/>
        <v>6.6410583333333335</v>
      </c>
    </row>
    <row r="1091" spans="1:11" ht="15">
      <c r="A1091" s="3">
        <v>2043</v>
      </c>
      <c r="B1091" s="66">
        <f t="shared" ref="B1091:K1091" si="29">AVERAGE(B365:B376)</f>
        <v>5.6088500000000003</v>
      </c>
      <c r="C1091" s="66">
        <f t="shared" si="29"/>
        <v>5.6088500000000003</v>
      </c>
      <c r="D1091" s="66">
        <f t="shared" si="29"/>
        <v>5.6133749999999987</v>
      </c>
      <c r="E1091" s="66">
        <f t="shared" si="29"/>
        <v>6.7975583333333347</v>
      </c>
      <c r="F1091" s="66">
        <f t="shared" si="29"/>
        <v>6.7975583333333347</v>
      </c>
      <c r="G1091" s="66">
        <f t="shared" si="29"/>
        <v>6.8031333333333324</v>
      </c>
      <c r="H1091" s="66">
        <f t="shared" si="29"/>
        <v>12.313191666666667</v>
      </c>
      <c r="I1091" s="66">
        <f t="shared" si="29"/>
        <v>12.318766666666669</v>
      </c>
      <c r="J1091" s="66">
        <f t="shared" si="29"/>
        <v>6.7975583333333347</v>
      </c>
      <c r="K1091" s="66">
        <f t="shared" si="29"/>
        <v>6.8031333333333324</v>
      </c>
    </row>
    <row r="1092" spans="1:11" ht="15">
      <c r="A1092" s="3">
        <v>2044</v>
      </c>
      <c r="B1092" s="66">
        <f t="shared" ref="B1092:K1092" si="30">AVERAGE(B377:B388)</f>
        <v>5.7567750000000011</v>
      </c>
      <c r="C1092" s="66">
        <f t="shared" si="30"/>
        <v>5.7567750000000011</v>
      </c>
      <c r="D1092" s="66">
        <f t="shared" si="30"/>
        <v>5.761308333333333</v>
      </c>
      <c r="E1092" s="66">
        <f t="shared" si="30"/>
        <v>6.9636083333333332</v>
      </c>
      <c r="F1092" s="66">
        <f t="shared" si="30"/>
        <v>6.9636083333333332</v>
      </c>
      <c r="G1092" s="66">
        <f t="shared" si="30"/>
        <v>6.9691916666666662</v>
      </c>
      <c r="H1092" s="66">
        <f t="shared" si="30"/>
        <v>12.624566666666666</v>
      </c>
      <c r="I1092" s="66">
        <f t="shared" si="30"/>
        <v>12.630133333333333</v>
      </c>
      <c r="J1092" s="66">
        <f t="shared" si="30"/>
        <v>6.9636083333333332</v>
      </c>
      <c r="K1092" s="66">
        <f t="shared" si="30"/>
        <v>6.9691916666666662</v>
      </c>
    </row>
    <row r="1093" spans="1:11" ht="15">
      <c r="A1093" s="3">
        <v>2045</v>
      </c>
      <c r="B1093" s="66">
        <f t="shared" ref="B1093:K1093" si="31">AVERAGE(B389:B400)</f>
        <v>5.9086583333333325</v>
      </c>
      <c r="C1093" s="66">
        <f t="shared" si="31"/>
        <v>5.9086583333333325</v>
      </c>
      <c r="D1093" s="66">
        <f t="shared" si="31"/>
        <v>5.9132249999999997</v>
      </c>
      <c r="E1093" s="66">
        <f t="shared" si="31"/>
        <v>7.13375</v>
      </c>
      <c r="F1093" s="66">
        <f t="shared" si="31"/>
        <v>7.13375</v>
      </c>
      <c r="G1093" s="66">
        <f t="shared" si="31"/>
        <v>7.1393416666666676</v>
      </c>
      <c r="H1093" s="66">
        <f t="shared" si="31"/>
        <v>12.943816666666665</v>
      </c>
      <c r="I1093" s="66">
        <f t="shared" si="31"/>
        <v>12.949408333333333</v>
      </c>
      <c r="J1093" s="66">
        <f t="shared" si="31"/>
        <v>7.13375</v>
      </c>
      <c r="K1093" s="66">
        <f t="shared" si="31"/>
        <v>7.1393416666666676</v>
      </c>
    </row>
    <row r="1094" spans="1:11" ht="15">
      <c r="A1094" s="3">
        <v>2046</v>
      </c>
      <c r="B1094" s="66">
        <f t="shared" ref="B1094:K1094" si="32">AVERAGE(B401:B412)</f>
        <v>6.0645833333333341</v>
      </c>
      <c r="C1094" s="66">
        <f t="shared" si="32"/>
        <v>6.0645833333333341</v>
      </c>
      <c r="D1094" s="66">
        <f t="shared" si="32"/>
        <v>6.0691416666666669</v>
      </c>
      <c r="E1094" s="66">
        <f t="shared" si="32"/>
        <v>7.308083333333335</v>
      </c>
      <c r="F1094" s="66">
        <f t="shared" si="32"/>
        <v>7.308083333333335</v>
      </c>
      <c r="G1094" s="66">
        <f t="shared" si="32"/>
        <v>7.3136583333333336</v>
      </c>
      <c r="H1094" s="66">
        <f t="shared" si="32"/>
        <v>13.271141666666667</v>
      </c>
      <c r="I1094" s="66">
        <f t="shared" si="32"/>
        <v>13.276741666666666</v>
      </c>
      <c r="J1094" s="66">
        <f t="shared" si="32"/>
        <v>7.308083333333335</v>
      </c>
      <c r="K1094" s="66">
        <f t="shared" si="32"/>
        <v>7.3136583333333336</v>
      </c>
    </row>
    <row r="1095" spans="1:11" ht="15">
      <c r="A1095" s="3">
        <v>2047</v>
      </c>
      <c r="B1095" s="66">
        <f t="shared" ref="B1095:K1095" si="33">AVERAGE(B413:B424)</f>
        <v>6.2246583333333332</v>
      </c>
      <c r="C1095" s="66">
        <f t="shared" si="33"/>
        <v>6.2246583333333332</v>
      </c>
      <c r="D1095" s="66">
        <f t="shared" si="33"/>
        <v>6.2292249999999996</v>
      </c>
      <c r="E1095" s="66">
        <f t="shared" si="33"/>
        <v>7.4866750000000009</v>
      </c>
      <c r="F1095" s="66">
        <f t="shared" si="33"/>
        <v>7.4866750000000009</v>
      </c>
      <c r="G1095" s="66">
        <f t="shared" si="33"/>
        <v>7.492233333333334</v>
      </c>
      <c r="H1095" s="66">
        <f t="shared" si="33"/>
        <v>13.606758333333334</v>
      </c>
      <c r="I1095" s="66">
        <f t="shared" si="33"/>
        <v>13.612333333333334</v>
      </c>
      <c r="J1095" s="66">
        <f t="shared" si="33"/>
        <v>7.4866750000000009</v>
      </c>
      <c r="K1095" s="66">
        <f t="shared" si="33"/>
        <v>7.492233333333334</v>
      </c>
    </row>
    <row r="1096" spans="1:11" ht="15">
      <c r="A1096" s="3">
        <v>2048</v>
      </c>
      <c r="B1096" s="66">
        <f t="shared" ref="B1096:K1096" si="34">AVERAGE(B425:B436)</f>
        <v>6.3890083333333338</v>
      </c>
      <c r="C1096" s="66">
        <f t="shared" si="34"/>
        <v>6.3890083333333338</v>
      </c>
      <c r="D1096" s="66">
        <f t="shared" si="34"/>
        <v>6.3935500000000003</v>
      </c>
      <c r="E1096" s="66">
        <f t="shared" si="34"/>
        <v>7.6696083333333327</v>
      </c>
      <c r="F1096" s="66">
        <f t="shared" si="34"/>
        <v>7.6696083333333327</v>
      </c>
      <c r="G1096" s="66">
        <f t="shared" si="34"/>
        <v>7.6752250000000002</v>
      </c>
      <c r="H1096" s="66">
        <f t="shared" si="34"/>
        <v>13.950850000000001</v>
      </c>
      <c r="I1096" s="66">
        <f t="shared" si="34"/>
        <v>13.956433333333335</v>
      </c>
      <c r="J1096" s="66">
        <f t="shared" si="34"/>
        <v>7.6696083333333327</v>
      </c>
      <c r="K1096" s="66">
        <f t="shared" si="34"/>
        <v>7.6752250000000002</v>
      </c>
    </row>
    <row r="1097" spans="1:11" ht="15">
      <c r="A1097" s="3">
        <v>2049</v>
      </c>
      <c r="B1097" s="66">
        <f t="shared" ref="B1097:K1097" si="35">AVERAGE(B437:B448)</f>
        <v>6.5577333333333323</v>
      </c>
      <c r="C1097" s="66">
        <f t="shared" si="35"/>
        <v>6.5577333333333323</v>
      </c>
      <c r="D1097" s="66">
        <f t="shared" si="35"/>
        <v>6.5622916666666669</v>
      </c>
      <c r="E1097" s="66">
        <f t="shared" si="35"/>
        <v>7.8570916666666655</v>
      </c>
      <c r="F1097" s="66">
        <f t="shared" si="35"/>
        <v>7.8570916666666655</v>
      </c>
      <c r="G1097" s="66">
        <f t="shared" si="35"/>
        <v>7.8626833333333339</v>
      </c>
      <c r="H1097" s="66">
        <f t="shared" si="35"/>
        <v>14.303650000000005</v>
      </c>
      <c r="I1097" s="66">
        <f t="shared" si="35"/>
        <v>14.309216666666666</v>
      </c>
      <c r="J1097" s="66">
        <f t="shared" si="35"/>
        <v>7.8570916666666655</v>
      </c>
      <c r="K1097" s="66">
        <f t="shared" si="35"/>
        <v>7.8626833333333339</v>
      </c>
    </row>
    <row r="1098" spans="1:11" ht="15">
      <c r="A1098" s="3">
        <v>2050</v>
      </c>
      <c r="B1098" s="66">
        <f t="shared" ref="B1098:K1098" si="36">AVERAGE(B449:B460)</f>
        <v>6.7309499999999991</v>
      </c>
      <c r="C1098" s="66">
        <f t="shared" si="36"/>
        <v>6.7309499999999991</v>
      </c>
      <c r="D1098" s="66">
        <f t="shared" si="36"/>
        <v>6.7354999999999992</v>
      </c>
      <c r="E1098" s="66">
        <f t="shared" si="36"/>
        <v>8.0491666666666681</v>
      </c>
      <c r="F1098" s="66">
        <f t="shared" si="36"/>
        <v>8.0491666666666681</v>
      </c>
      <c r="G1098" s="66">
        <f t="shared" si="36"/>
        <v>8.0547500000000003</v>
      </c>
      <c r="H1098" s="66">
        <f t="shared" si="36"/>
        <v>14.665374999999999</v>
      </c>
      <c r="I1098" s="66">
        <f t="shared" si="36"/>
        <v>14.670958333333331</v>
      </c>
      <c r="J1098" s="66">
        <f t="shared" si="36"/>
        <v>8.0491666666666681</v>
      </c>
      <c r="K1098" s="66">
        <f t="shared" si="36"/>
        <v>8.0547500000000003</v>
      </c>
    </row>
    <row r="1099" spans="1:11" ht="15">
      <c r="A1099" s="3">
        <v>2051</v>
      </c>
      <c r="B1099" s="66">
        <f t="shared" ref="B1099:K1099" si="37">AVERAGE(B461:B472)</f>
        <v>6.9087916666666667</v>
      </c>
      <c r="C1099" s="66">
        <f t="shared" si="37"/>
        <v>6.9087916666666667</v>
      </c>
      <c r="D1099" s="66">
        <f t="shared" si="37"/>
        <v>6.9133500000000003</v>
      </c>
      <c r="E1099" s="66">
        <f t="shared" si="37"/>
        <v>8.2459583333333324</v>
      </c>
      <c r="F1099" s="66">
        <f t="shared" si="37"/>
        <v>8.2459583333333324</v>
      </c>
      <c r="G1099" s="66">
        <f t="shared" si="37"/>
        <v>8.2515249999999991</v>
      </c>
      <c r="H1099" s="66">
        <f t="shared" si="37"/>
        <v>15.036225000000002</v>
      </c>
      <c r="I1099" s="66">
        <f t="shared" si="37"/>
        <v>15.041816666666664</v>
      </c>
      <c r="J1099" s="66">
        <f t="shared" si="37"/>
        <v>8.2459583333333324</v>
      </c>
      <c r="K1099" s="66">
        <f t="shared" si="37"/>
        <v>8.2515249999999991</v>
      </c>
    </row>
    <row r="1100" spans="1:11" ht="15">
      <c r="A1100" s="3">
        <v>2052</v>
      </c>
      <c r="B1100" s="66">
        <f t="shared" ref="B1100:K1100" si="38">AVERAGE(B473:B484)</f>
        <v>7.0913833333333329</v>
      </c>
      <c r="C1100" s="66">
        <f t="shared" si="38"/>
        <v>7.0913833333333329</v>
      </c>
      <c r="D1100" s="66">
        <f t="shared" si="38"/>
        <v>7.0959250000000003</v>
      </c>
      <c r="E1100" s="66">
        <f t="shared" si="38"/>
        <v>8.4475583333333333</v>
      </c>
      <c r="F1100" s="66">
        <f t="shared" si="38"/>
        <v>8.4475583333333333</v>
      </c>
      <c r="G1100" s="66">
        <f t="shared" si="38"/>
        <v>8.4531583333333327</v>
      </c>
      <c r="H1100" s="66">
        <f t="shared" si="38"/>
        <v>15.416466666666667</v>
      </c>
      <c r="I1100" s="66">
        <f t="shared" si="38"/>
        <v>15.422058333333334</v>
      </c>
      <c r="J1100" s="66">
        <f t="shared" si="38"/>
        <v>8.4475583333333333</v>
      </c>
      <c r="K1100" s="66">
        <f t="shared" si="38"/>
        <v>8.4531583333333327</v>
      </c>
    </row>
    <row r="1101" spans="1:11" ht="15">
      <c r="A1101" s="3">
        <v>2053</v>
      </c>
      <c r="B1101" s="66">
        <f t="shared" ref="B1101:K1101" si="39">AVERAGE(B485:B496)</f>
        <v>7.2788166666666667</v>
      </c>
      <c r="C1101" s="66">
        <f t="shared" si="39"/>
        <v>7.2788166666666667</v>
      </c>
      <c r="D1101" s="66">
        <f t="shared" si="39"/>
        <v>7.2833499999999995</v>
      </c>
      <c r="E1101" s="66">
        <f t="shared" si="39"/>
        <v>8.6541250000000005</v>
      </c>
      <c r="F1101" s="66">
        <f t="shared" si="39"/>
        <v>8.6541250000000005</v>
      </c>
      <c r="G1101" s="66">
        <f t="shared" si="39"/>
        <v>8.6597249999999999</v>
      </c>
      <c r="H1101" s="66">
        <f t="shared" si="39"/>
        <v>15.806333333333335</v>
      </c>
      <c r="I1101" s="66">
        <f t="shared" si="39"/>
        <v>15.811916666666667</v>
      </c>
      <c r="J1101" s="66">
        <f t="shared" si="39"/>
        <v>8.6541250000000005</v>
      </c>
      <c r="K1101" s="66">
        <f t="shared" si="39"/>
        <v>8.6597249999999999</v>
      </c>
    </row>
    <row r="1102" spans="1:11" ht="15">
      <c r="A1102" s="3">
        <v>2054</v>
      </c>
      <c r="B1102" s="66">
        <f t="shared" ref="B1102:K1102" si="40">AVERAGE(B497:B508)</f>
        <v>7.4712500000000004</v>
      </c>
      <c r="C1102" s="66">
        <f t="shared" si="40"/>
        <v>7.4712500000000004</v>
      </c>
      <c r="D1102" s="66">
        <f t="shared" si="40"/>
        <v>7.4758000000000004</v>
      </c>
      <c r="E1102" s="66">
        <f t="shared" si="40"/>
        <v>8.8657833333333329</v>
      </c>
      <c r="F1102" s="66">
        <f t="shared" si="40"/>
        <v>8.8657833333333329</v>
      </c>
      <c r="G1102" s="66">
        <f t="shared" si="40"/>
        <v>8.8713666666666668</v>
      </c>
      <c r="H1102" s="66">
        <f t="shared" si="40"/>
        <v>16.206050000000001</v>
      </c>
      <c r="I1102" s="66">
        <f t="shared" si="40"/>
        <v>16.211641666666665</v>
      </c>
      <c r="J1102" s="66">
        <f t="shared" si="40"/>
        <v>8.8657833333333329</v>
      </c>
      <c r="K1102" s="66">
        <f t="shared" si="40"/>
        <v>8.8713666666666668</v>
      </c>
    </row>
    <row r="1103" spans="1:11" ht="15">
      <c r="A1103" s="3">
        <v>2055</v>
      </c>
      <c r="B1103" s="66">
        <f t="shared" ref="B1103:K1103" si="41">AVERAGE(B17:B520)</f>
        <v>4.7406188492063492</v>
      </c>
      <c r="C1103" s="66">
        <f t="shared" si="41"/>
        <v>4.7409805555555558</v>
      </c>
      <c r="D1103" s="66">
        <f t="shared" si="41"/>
        <v>4.7455287698412718</v>
      </c>
      <c r="E1103" s="66">
        <f t="shared" si="41"/>
        <v>5.7063898809523801</v>
      </c>
      <c r="F1103" s="66">
        <f t="shared" si="41"/>
        <v>5.7124347222222216</v>
      </c>
      <c r="G1103" s="66">
        <f t="shared" si="41"/>
        <v>5.7181876984127014</v>
      </c>
      <c r="H1103" s="66">
        <f t="shared" si="41"/>
        <v>10.420703174603181</v>
      </c>
      <c r="I1103" s="66">
        <f t="shared" si="41"/>
        <v>10.426454166666662</v>
      </c>
      <c r="J1103" s="66">
        <f t="shared" si="41"/>
        <v>5.7063898809523801</v>
      </c>
      <c r="K1103" s="66">
        <f t="shared" si="41"/>
        <v>5.7121420634920677</v>
      </c>
    </row>
    <row r="1104" spans="1:11" ht="15">
      <c r="A1104" s="3">
        <v>2056</v>
      </c>
      <c r="B1104" s="66">
        <f t="shared" ref="B1104:K1104" si="42">AVERAGE(B521:B532)</f>
        <v>7.8716833333333343</v>
      </c>
      <c r="C1104" s="66">
        <f t="shared" si="42"/>
        <v>7.8716833333333343</v>
      </c>
      <c r="D1104" s="66">
        <f t="shared" si="42"/>
        <v>7.8762333333333316</v>
      </c>
      <c r="E1104" s="66">
        <f t="shared" si="42"/>
        <v>9.3047749999999994</v>
      </c>
      <c r="F1104" s="66">
        <f t="shared" si="42"/>
        <v>9.3047749999999994</v>
      </c>
      <c r="G1104" s="66">
        <f t="shared" si="42"/>
        <v>9.3103750000000005</v>
      </c>
      <c r="H1104" s="66">
        <f t="shared" si="42"/>
        <v>17.036058333333333</v>
      </c>
      <c r="I1104" s="66">
        <f t="shared" si="42"/>
        <v>17.041650000000001</v>
      </c>
      <c r="J1104" s="66">
        <f t="shared" si="42"/>
        <v>9.3047749999999994</v>
      </c>
      <c r="K1104" s="66">
        <f t="shared" si="42"/>
        <v>9.3103750000000005</v>
      </c>
    </row>
    <row r="1105" spans="1:11" ht="15">
      <c r="A1105" s="3">
        <v>2057</v>
      </c>
      <c r="B1105" s="66">
        <f t="shared" ref="B1105:K1105" si="43">AVERAGE(B533:B544)</f>
        <v>8.079958333333332</v>
      </c>
      <c r="C1105" s="66">
        <f t="shared" si="43"/>
        <v>8.079958333333332</v>
      </c>
      <c r="D1105" s="66">
        <f t="shared" si="43"/>
        <v>8.0845083333333321</v>
      </c>
      <c r="E1105" s="66">
        <f t="shared" si="43"/>
        <v>9.5323916666666673</v>
      </c>
      <c r="F1105" s="66">
        <f t="shared" si="43"/>
        <v>9.5323916666666673</v>
      </c>
      <c r="G1105" s="66">
        <f t="shared" si="43"/>
        <v>9.5379999999999985</v>
      </c>
      <c r="H1105" s="66">
        <f t="shared" si="43"/>
        <v>17.466874999999998</v>
      </c>
      <c r="I1105" s="66">
        <f t="shared" si="43"/>
        <v>17.472466666666669</v>
      </c>
      <c r="J1105" s="66">
        <f t="shared" si="43"/>
        <v>9.5323916666666673</v>
      </c>
      <c r="K1105" s="66">
        <f t="shared" si="43"/>
        <v>9.5379999999999985</v>
      </c>
    </row>
    <row r="1106" spans="1:11" ht="15">
      <c r="A1106" s="3">
        <v>2058</v>
      </c>
      <c r="B1106" s="66">
        <f t="shared" ref="B1106:K1106" si="44">AVERAGE(B545:B556)</f>
        <v>8.2937916666666691</v>
      </c>
      <c r="C1106" s="66">
        <f t="shared" si="44"/>
        <v>8.2937916666666691</v>
      </c>
      <c r="D1106" s="66">
        <f t="shared" si="44"/>
        <v>8.2983333333333338</v>
      </c>
      <c r="E1106" s="66">
        <f t="shared" si="44"/>
        <v>9.7656249999999982</v>
      </c>
      <c r="F1106" s="66">
        <f t="shared" si="44"/>
        <v>9.7656249999999982</v>
      </c>
      <c r="G1106" s="66">
        <f t="shared" si="44"/>
        <v>9.7712166666666658</v>
      </c>
      <c r="H1106" s="66">
        <f t="shared" si="44"/>
        <v>17.908583333333329</v>
      </c>
      <c r="I1106" s="66">
        <f t="shared" si="44"/>
        <v>17.914183333333334</v>
      </c>
      <c r="J1106" s="66">
        <f t="shared" si="44"/>
        <v>9.7656249999999982</v>
      </c>
      <c r="K1106" s="66">
        <f t="shared" si="44"/>
        <v>9.7712166666666658</v>
      </c>
    </row>
    <row r="1107" spans="1:11" ht="15">
      <c r="A1107" s="3">
        <v>2059</v>
      </c>
      <c r="B1107" s="66">
        <f t="shared" ref="B1107:K1107" si="45">AVERAGE(B557:B568)</f>
        <v>8.513325</v>
      </c>
      <c r="C1107" s="66">
        <f t="shared" si="45"/>
        <v>8.513325</v>
      </c>
      <c r="D1107" s="66">
        <f t="shared" si="45"/>
        <v>8.5178666666666683</v>
      </c>
      <c r="E1107" s="66">
        <f t="shared" si="45"/>
        <v>10.004574999999999</v>
      </c>
      <c r="F1107" s="66">
        <f t="shared" si="45"/>
        <v>10.004574999999999</v>
      </c>
      <c r="G1107" s="66">
        <f t="shared" si="45"/>
        <v>10.010166666666667</v>
      </c>
      <c r="H1107" s="66">
        <f t="shared" si="45"/>
        <v>18.361466666666665</v>
      </c>
      <c r="I1107" s="66">
        <f t="shared" si="45"/>
        <v>18.367041666666669</v>
      </c>
      <c r="J1107" s="66">
        <f t="shared" si="45"/>
        <v>10.004574999999999</v>
      </c>
      <c r="K1107" s="66">
        <f t="shared" si="45"/>
        <v>10.010166666666667</v>
      </c>
    </row>
    <row r="1108" spans="1:11" ht="15">
      <c r="A1108" s="3">
        <v>2060</v>
      </c>
      <c r="B1108" s="66">
        <f t="shared" ref="B1108:K1108" si="46">AVERAGE(B569:B580)</f>
        <v>8.738741666666666</v>
      </c>
      <c r="C1108" s="66">
        <f t="shared" si="46"/>
        <v>8.738741666666666</v>
      </c>
      <c r="D1108" s="66">
        <f t="shared" si="46"/>
        <v>8.7432749999999988</v>
      </c>
      <c r="E1108" s="66">
        <f t="shared" si="46"/>
        <v>10.249391666666666</v>
      </c>
      <c r="F1108" s="66">
        <f t="shared" si="46"/>
        <v>10.249391666666666</v>
      </c>
      <c r="G1108" s="66">
        <f t="shared" si="46"/>
        <v>10.254983333333334</v>
      </c>
      <c r="H1108" s="66">
        <f t="shared" si="46"/>
        <v>18.82578333333333</v>
      </c>
      <c r="I1108" s="66">
        <f t="shared" si="46"/>
        <v>18.831399999999999</v>
      </c>
      <c r="J1108" s="66">
        <f t="shared" si="46"/>
        <v>10.249391666666666</v>
      </c>
      <c r="K1108" s="66">
        <f t="shared" si="46"/>
        <v>10.254983333333334</v>
      </c>
    </row>
    <row r="1109" spans="1:11" ht="15">
      <c r="A1109" s="3">
        <v>2061</v>
      </c>
      <c r="B1109" s="66">
        <f t="shared" ref="B1109:K1109" si="47">AVERAGE(B581:B592)</f>
        <v>8.9701666666666657</v>
      </c>
      <c r="C1109" s="66">
        <f t="shared" si="47"/>
        <v>8.9701666666666657</v>
      </c>
      <c r="D1109" s="66">
        <f t="shared" si="47"/>
        <v>8.9747083333333322</v>
      </c>
      <c r="E1109" s="66">
        <f t="shared" si="47"/>
        <v>10.500225000000002</v>
      </c>
      <c r="F1109" s="66">
        <f t="shared" si="47"/>
        <v>10.500225000000002</v>
      </c>
      <c r="G1109" s="66">
        <f t="shared" si="47"/>
        <v>10.505825</v>
      </c>
      <c r="H1109" s="66">
        <f t="shared" si="47"/>
        <v>19.301883333333333</v>
      </c>
      <c r="I1109" s="66">
        <f t="shared" si="47"/>
        <v>19.307475</v>
      </c>
      <c r="J1109" s="66">
        <f t="shared" si="47"/>
        <v>10.500225000000002</v>
      </c>
      <c r="K1109" s="66">
        <f t="shared" si="47"/>
        <v>10.505825</v>
      </c>
    </row>
    <row r="1110" spans="1:11" ht="15">
      <c r="A1110" s="3">
        <v>2062</v>
      </c>
      <c r="B1110" s="66">
        <f t="shared" ref="B1110:K1119" ca="1" si="48">AVERAGE(OFFSET(B$593,($A1110-$A$1110)*12,0,12,1))</f>
        <v>9.2077833333333352</v>
      </c>
      <c r="C1110" s="66">
        <f t="shared" ca="1" si="48"/>
        <v>9.2077833333333352</v>
      </c>
      <c r="D1110" s="66">
        <f t="shared" ca="1" si="48"/>
        <v>9.2123250000000017</v>
      </c>
      <c r="E1110" s="66">
        <f t="shared" ca="1" si="48"/>
        <v>10.757233333333332</v>
      </c>
      <c r="F1110" s="66">
        <f t="shared" ca="1" si="48"/>
        <v>10.757233333333332</v>
      </c>
      <c r="G1110" s="66">
        <f t="shared" ca="1" si="48"/>
        <v>10.762841666666667</v>
      </c>
      <c r="H1110" s="66">
        <f t="shared" ca="1" si="48"/>
        <v>19.790008333333336</v>
      </c>
      <c r="I1110" s="66">
        <f t="shared" ca="1" si="48"/>
        <v>19.79558333333333</v>
      </c>
      <c r="J1110" s="66">
        <f t="shared" ca="1" si="48"/>
        <v>10.757233333333332</v>
      </c>
      <c r="K1110" s="66">
        <f t="shared" ca="1" si="48"/>
        <v>10.762841666666667</v>
      </c>
    </row>
    <row r="1111" spans="1:11" ht="15">
      <c r="A1111" s="3">
        <v>2063</v>
      </c>
      <c r="B1111" s="66">
        <f t="shared" ca="1" si="48"/>
        <v>9.4453666666666667</v>
      </c>
      <c r="C1111" s="66">
        <f t="shared" ca="1" si="48"/>
        <v>9.4453666666666667</v>
      </c>
      <c r="D1111" s="66">
        <f t="shared" ca="1" si="48"/>
        <v>9.4499333333333322</v>
      </c>
      <c r="E1111" s="66">
        <f t="shared" ca="1" si="48"/>
        <v>11.014258333333332</v>
      </c>
      <c r="F1111" s="66">
        <f t="shared" ca="1" si="48"/>
        <v>11.014258333333332</v>
      </c>
      <c r="G1111" s="66">
        <f t="shared" ca="1" si="48"/>
        <v>11.01985</v>
      </c>
      <c r="H1111" s="66">
        <f t="shared" ca="1" si="48"/>
        <v>20.278116666666669</v>
      </c>
      <c r="I1111" s="66">
        <f t="shared" ca="1" si="48"/>
        <v>20.283683333333332</v>
      </c>
      <c r="J1111" s="66">
        <f t="shared" ca="1" si="48"/>
        <v>11.014258333333332</v>
      </c>
      <c r="K1111" s="66">
        <f t="shared" ca="1" si="48"/>
        <v>11.01985</v>
      </c>
    </row>
    <row r="1112" spans="1:11" ht="15">
      <c r="A1112" s="3">
        <v>2064</v>
      </c>
      <c r="B1112" s="66">
        <f t="shared" ca="1" si="48"/>
        <v>9.6830083333333334</v>
      </c>
      <c r="C1112" s="66">
        <f t="shared" ca="1" si="48"/>
        <v>9.6830083333333334</v>
      </c>
      <c r="D1112" s="66">
        <f t="shared" ca="1" si="48"/>
        <v>9.6875666666666671</v>
      </c>
      <c r="E1112" s="66">
        <f t="shared" ca="1" si="48"/>
        <v>11.271266666666667</v>
      </c>
      <c r="F1112" s="66">
        <f t="shared" ca="1" si="48"/>
        <v>11.271266666666667</v>
      </c>
      <c r="G1112" s="66">
        <f t="shared" ca="1" si="48"/>
        <v>11.276858333333335</v>
      </c>
      <c r="H1112" s="66">
        <f t="shared" ca="1" si="48"/>
        <v>20.766216666666665</v>
      </c>
      <c r="I1112" s="66">
        <f t="shared" ca="1" si="48"/>
        <v>20.771791666666669</v>
      </c>
      <c r="J1112" s="66">
        <f t="shared" ca="1" si="48"/>
        <v>11.271266666666667</v>
      </c>
      <c r="K1112" s="66">
        <f t="shared" ca="1" si="48"/>
        <v>11.276858333333335</v>
      </c>
    </row>
    <row r="1113" spans="1:11" ht="15">
      <c r="A1113" s="3">
        <v>2065</v>
      </c>
      <c r="B1113" s="66">
        <f t="shared" ca="1" si="48"/>
        <v>9.9206166666666658</v>
      </c>
      <c r="C1113" s="66">
        <f t="shared" ca="1" si="48"/>
        <v>9.9206166666666658</v>
      </c>
      <c r="D1113" s="66">
        <f t="shared" ca="1" si="48"/>
        <v>9.9251749999999976</v>
      </c>
      <c r="E1113" s="66">
        <f t="shared" ca="1" si="48"/>
        <v>11.528291666666666</v>
      </c>
      <c r="F1113" s="66">
        <f t="shared" ca="1" si="48"/>
        <v>11.528291666666666</v>
      </c>
      <c r="G1113" s="66">
        <f t="shared" ca="1" si="48"/>
        <v>11.533875</v>
      </c>
      <c r="H1113" s="66">
        <f t="shared" ca="1" si="48"/>
        <v>21.254341666666665</v>
      </c>
      <c r="I1113" s="66">
        <f t="shared" ca="1" si="48"/>
        <v>21.259924999999999</v>
      </c>
      <c r="J1113" s="66">
        <f t="shared" ca="1" si="48"/>
        <v>11.528291666666666</v>
      </c>
      <c r="K1113" s="66">
        <f t="shared" ca="1" si="48"/>
        <v>11.533875</v>
      </c>
    </row>
    <row r="1114" spans="1:11" ht="15">
      <c r="A1114" s="3">
        <v>2066</v>
      </c>
      <c r="B1114" s="66">
        <f t="shared" ca="1" si="48"/>
        <v>10.158233333333335</v>
      </c>
      <c r="C1114" s="66">
        <f t="shared" ca="1" si="48"/>
        <v>10.158233333333335</v>
      </c>
      <c r="D1114" s="66">
        <f t="shared" ca="1" si="48"/>
        <v>10.162775000000002</v>
      </c>
      <c r="E1114" s="66">
        <f t="shared" ca="1" si="48"/>
        <v>11.785283333333332</v>
      </c>
      <c r="F1114" s="66">
        <f t="shared" ca="1" si="48"/>
        <v>11.785283333333332</v>
      </c>
      <c r="G1114" s="66">
        <f t="shared" ca="1" si="48"/>
        <v>11.790866666666668</v>
      </c>
      <c r="H1114" s="66">
        <f t="shared" ca="1" si="48"/>
        <v>21.742450000000002</v>
      </c>
      <c r="I1114" s="66">
        <f t="shared" ca="1" si="48"/>
        <v>21.748041666666666</v>
      </c>
      <c r="J1114" s="66">
        <f t="shared" ca="1" si="48"/>
        <v>11.785283333333332</v>
      </c>
      <c r="K1114" s="66">
        <f t="shared" ca="1" si="48"/>
        <v>11.790866666666668</v>
      </c>
    </row>
    <row r="1115" spans="1:11" ht="15">
      <c r="A1115" s="3">
        <v>2067</v>
      </c>
      <c r="B1115" s="66">
        <f t="shared" ca="1" si="48"/>
        <v>10.395849999999998</v>
      </c>
      <c r="C1115" s="66">
        <f t="shared" ca="1" si="48"/>
        <v>10.395849999999998</v>
      </c>
      <c r="D1115" s="66">
        <f t="shared" ca="1" si="48"/>
        <v>10.400399999999999</v>
      </c>
      <c r="E1115" s="66">
        <f t="shared" ca="1" si="48"/>
        <v>12.042299999999999</v>
      </c>
      <c r="F1115" s="66">
        <f t="shared" ca="1" si="48"/>
        <v>12.042299999999999</v>
      </c>
      <c r="G1115" s="66">
        <f t="shared" ca="1" si="48"/>
        <v>12.047883333333331</v>
      </c>
      <c r="H1115" s="66">
        <f t="shared" ca="1" si="48"/>
        <v>22.230574999999998</v>
      </c>
      <c r="I1115" s="66">
        <f t="shared" ca="1" si="48"/>
        <v>22.236149999999999</v>
      </c>
      <c r="J1115" s="66">
        <f t="shared" ca="1" si="48"/>
        <v>12.042299999999999</v>
      </c>
      <c r="K1115" s="66">
        <f t="shared" ca="1" si="48"/>
        <v>12.047883333333331</v>
      </c>
    </row>
    <row r="1116" spans="1:11" ht="15">
      <c r="A1116" s="3">
        <v>2068</v>
      </c>
      <c r="B1116" s="66">
        <f t="shared" ca="1" si="48"/>
        <v>10.633449999999998</v>
      </c>
      <c r="C1116" s="66">
        <f t="shared" ca="1" si="48"/>
        <v>10.633449999999998</v>
      </c>
      <c r="D1116" s="66">
        <f t="shared" ca="1" si="48"/>
        <v>10.638</v>
      </c>
      <c r="E1116" s="66">
        <f t="shared" ca="1" si="48"/>
        <v>12.299291666666669</v>
      </c>
      <c r="F1116" s="66">
        <f t="shared" ca="1" si="48"/>
        <v>12.299291666666669</v>
      </c>
      <c r="G1116" s="66">
        <f t="shared" ca="1" si="48"/>
        <v>12.304916666666665</v>
      </c>
      <c r="H1116" s="66">
        <f t="shared" ca="1" si="48"/>
        <v>22.718675000000001</v>
      </c>
      <c r="I1116" s="66">
        <f t="shared" ca="1" si="48"/>
        <v>22.724266666666669</v>
      </c>
      <c r="J1116" s="66">
        <f t="shared" ca="1" si="48"/>
        <v>12.299291666666669</v>
      </c>
      <c r="K1116" s="66">
        <f t="shared" ca="1" si="48"/>
        <v>12.304916666666665</v>
      </c>
    </row>
    <row r="1117" spans="1:11" ht="15">
      <c r="A1117" s="3">
        <v>2069</v>
      </c>
      <c r="B1117" s="66">
        <f t="shared" ca="1" si="48"/>
        <v>10.871066666666664</v>
      </c>
      <c r="C1117" s="66">
        <f t="shared" ca="1" si="48"/>
        <v>10.871066666666664</v>
      </c>
      <c r="D1117" s="66">
        <f t="shared" ca="1" si="48"/>
        <v>10.875624999999999</v>
      </c>
      <c r="E1117" s="66">
        <f t="shared" ca="1" si="48"/>
        <v>12.556333333333333</v>
      </c>
      <c r="F1117" s="66">
        <f t="shared" ca="1" si="48"/>
        <v>12.556333333333333</v>
      </c>
      <c r="G1117" s="66">
        <f t="shared" ca="1" si="48"/>
        <v>12.5619</v>
      </c>
      <c r="H1117" s="66">
        <f t="shared" ca="1" si="48"/>
        <v>23.206800000000001</v>
      </c>
      <c r="I1117" s="66">
        <f t="shared" ca="1" si="48"/>
        <v>23.212375000000005</v>
      </c>
      <c r="J1117" s="66">
        <f t="shared" ca="1" si="48"/>
        <v>12.556333333333333</v>
      </c>
      <c r="K1117" s="66">
        <f t="shared" ca="1" si="48"/>
        <v>12.5619</v>
      </c>
    </row>
    <row r="1118" spans="1:11" ht="15">
      <c r="A1118" s="3">
        <v>2070</v>
      </c>
      <c r="B1118" s="66">
        <f t="shared" ca="1" si="48"/>
        <v>11.108683333333333</v>
      </c>
      <c r="C1118" s="66">
        <f t="shared" ca="1" si="48"/>
        <v>11.108683333333333</v>
      </c>
      <c r="D1118" s="66">
        <f t="shared" ca="1" si="48"/>
        <v>11.113241666666667</v>
      </c>
      <c r="E1118" s="66">
        <f t="shared" ca="1" si="48"/>
        <v>12.813333333333333</v>
      </c>
      <c r="F1118" s="66">
        <f t="shared" ca="1" si="48"/>
        <v>12.813333333333333</v>
      </c>
      <c r="G1118" s="66">
        <f t="shared" ca="1" si="48"/>
        <v>12.818916666666667</v>
      </c>
      <c r="H1118" s="66">
        <f t="shared" ca="1" si="48"/>
        <v>23.694900000000001</v>
      </c>
      <c r="I1118" s="66">
        <f t="shared" ca="1" si="48"/>
        <v>23.700491666666665</v>
      </c>
      <c r="J1118" s="66">
        <f t="shared" ca="1" si="48"/>
        <v>12.813333333333333</v>
      </c>
      <c r="K1118" s="66">
        <f t="shared" ca="1" si="48"/>
        <v>12.818916666666667</v>
      </c>
    </row>
    <row r="1119" spans="1:11" ht="15">
      <c r="A1119" s="3">
        <v>2071</v>
      </c>
      <c r="B1119" s="66">
        <f t="shared" ca="1" si="48"/>
        <v>11.346308333333333</v>
      </c>
      <c r="C1119" s="66">
        <f t="shared" ca="1" si="48"/>
        <v>11.346308333333333</v>
      </c>
      <c r="D1119" s="66">
        <f t="shared" ca="1" si="48"/>
        <v>11.350849999999999</v>
      </c>
      <c r="E1119" s="66">
        <f t="shared" ca="1" si="48"/>
        <v>13.070333333333332</v>
      </c>
      <c r="F1119" s="66">
        <f t="shared" ca="1" si="48"/>
        <v>13.070333333333332</v>
      </c>
      <c r="G1119" s="66">
        <f t="shared" ca="1" si="48"/>
        <v>13.075924999999998</v>
      </c>
      <c r="H1119" s="66">
        <f t="shared" ca="1" si="48"/>
        <v>24.183016666666663</v>
      </c>
      <c r="I1119" s="66">
        <f t="shared" ca="1" si="48"/>
        <v>24.188625000000002</v>
      </c>
      <c r="J1119" s="66">
        <f t="shared" ca="1" si="48"/>
        <v>13.070333333333332</v>
      </c>
      <c r="K1119" s="66">
        <f t="shared" ca="1" si="48"/>
        <v>13.075924999999998</v>
      </c>
    </row>
    <row r="1120" spans="1:11" ht="15">
      <c r="A1120" s="3">
        <v>2072</v>
      </c>
      <c r="B1120" s="66">
        <f t="shared" ref="B1120:K1129" ca="1" si="49">AVERAGE(OFFSET(B$593,($A1120-$A$1110)*12,0,12,1))</f>
        <v>11.583908333333333</v>
      </c>
      <c r="C1120" s="66">
        <f t="shared" ca="1" si="49"/>
        <v>11.583908333333333</v>
      </c>
      <c r="D1120" s="66">
        <f t="shared" ca="1" si="49"/>
        <v>11.588458333333335</v>
      </c>
      <c r="E1120" s="66">
        <f t="shared" ca="1" si="49"/>
        <v>13.327350000000001</v>
      </c>
      <c r="F1120" s="66">
        <f t="shared" ca="1" si="49"/>
        <v>13.327350000000001</v>
      </c>
      <c r="G1120" s="66">
        <f t="shared" ca="1" si="49"/>
        <v>13.332949999999999</v>
      </c>
      <c r="H1120" s="66">
        <f t="shared" ca="1" si="49"/>
        <v>24.67113333333333</v>
      </c>
      <c r="I1120" s="66">
        <f t="shared" ca="1" si="49"/>
        <v>24.676716666666668</v>
      </c>
      <c r="J1120" s="66">
        <f t="shared" ca="1" si="49"/>
        <v>13.327350000000001</v>
      </c>
      <c r="K1120" s="66">
        <f t="shared" ca="1" si="49"/>
        <v>13.332949999999999</v>
      </c>
    </row>
    <row r="1121" spans="1:11" ht="15">
      <c r="A1121" s="3">
        <v>2073</v>
      </c>
      <c r="B1121" s="66">
        <f t="shared" ca="1" si="49"/>
        <v>11.821525000000001</v>
      </c>
      <c r="C1121" s="66">
        <f t="shared" ca="1" si="49"/>
        <v>11.821525000000001</v>
      </c>
      <c r="D1121" s="66">
        <f t="shared" ca="1" si="49"/>
        <v>11.826083333333335</v>
      </c>
      <c r="E1121" s="66">
        <f t="shared" ca="1" si="49"/>
        <v>13.584366666666666</v>
      </c>
      <c r="F1121" s="66">
        <f t="shared" ca="1" si="49"/>
        <v>13.584366666666666</v>
      </c>
      <c r="G1121" s="66">
        <f t="shared" ca="1" si="49"/>
        <v>13.58995</v>
      </c>
      <c r="H1121" s="66">
        <f t="shared" ca="1" si="49"/>
        <v>25.159241666666663</v>
      </c>
      <c r="I1121" s="66">
        <f t="shared" ca="1" si="49"/>
        <v>25.164841666666664</v>
      </c>
      <c r="J1121" s="66">
        <f t="shared" ca="1" si="49"/>
        <v>13.584366666666666</v>
      </c>
      <c r="K1121" s="66">
        <f t="shared" ca="1" si="49"/>
        <v>13.58995</v>
      </c>
    </row>
    <row r="1122" spans="1:11" ht="15">
      <c r="A1122" s="3">
        <v>2074</v>
      </c>
      <c r="B1122" s="66">
        <f t="shared" ca="1" si="49"/>
        <v>12.059150000000001</v>
      </c>
      <c r="C1122" s="66">
        <f t="shared" ca="1" si="49"/>
        <v>12.059150000000001</v>
      </c>
      <c r="D1122" s="66">
        <f t="shared" ca="1" si="49"/>
        <v>12.063683333333332</v>
      </c>
      <c r="E1122" s="66">
        <f t="shared" ca="1" si="49"/>
        <v>13.841366666666666</v>
      </c>
      <c r="F1122" s="66">
        <f t="shared" ca="1" si="49"/>
        <v>13.841366666666666</v>
      </c>
      <c r="G1122" s="66">
        <f t="shared" ca="1" si="49"/>
        <v>13.84695</v>
      </c>
      <c r="H1122" s="66">
        <f t="shared" ca="1" si="49"/>
        <v>25.647366666666667</v>
      </c>
      <c r="I1122" s="66">
        <f t="shared" ca="1" si="49"/>
        <v>25.652950000000004</v>
      </c>
      <c r="J1122" s="66">
        <f t="shared" ca="1" si="49"/>
        <v>13.841366666666666</v>
      </c>
      <c r="K1122" s="66">
        <f t="shared" ca="1" si="49"/>
        <v>13.84695</v>
      </c>
    </row>
    <row r="1123" spans="1:11" ht="15">
      <c r="A1123" s="3">
        <v>2075</v>
      </c>
      <c r="B1123" s="66">
        <f t="shared" ca="1" si="49"/>
        <v>12.296750000000001</v>
      </c>
      <c r="C1123" s="66">
        <f t="shared" ca="1" si="49"/>
        <v>12.296750000000001</v>
      </c>
      <c r="D1123" s="66">
        <f t="shared" ca="1" si="49"/>
        <v>12.301299999999999</v>
      </c>
      <c r="E1123" s="66">
        <f t="shared" ca="1" si="49"/>
        <v>14.098391666666664</v>
      </c>
      <c r="F1123" s="66">
        <f t="shared" ca="1" si="49"/>
        <v>14.098391666666664</v>
      </c>
      <c r="G1123" s="66">
        <f t="shared" ca="1" si="49"/>
        <v>14.103974999999998</v>
      </c>
      <c r="H1123" s="66">
        <f t="shared" ca="1" si="49"/>
        <v>26.135475</v>
      </c>
      <c r="I1123" s="66">
        <f t="shared" ca="1" si="49"/>
        <v>26.141083333333331</v>
      </c>
      <c r="J1123" s="66">
        <f t="shared" ca="1" si="49"/>
        <v>14.098391666666664</v>
      </c>
      <c r="K1123" s="66">
        <f t="shared" ca="1" si="49"/>
        <v>14.103974999999998</v>
      </c>
    </row>
    <row r="1124" spans="1:11" ht="15">
      <c r="A1124" s="3">
        <v>2076</v>
      </c>
      <c r="B1124" s="66">
        <f t="shared" ca="1" si="49"/>
        <v>12.534383333333331</v>
      </c>
      <c r="C1124" s="66">
        <f t="shared" ca="1" si="49"/>
        <v>12.534383333333331</v>
      </c>
      <c r="D1124" s="66">
        <f t="shared" ca="1" si="49"/>
        <v>12.538924999999999</v>
      </c>
      <c r="E1124" s="66">
        <f t="shared" ca="1" si="49"/>
        <v>14.355391666666668</v>
      </c>
      <c r="F1124" s="66">
        <f t="shared" ca="1" si="49"/>
        <v>14.355391666666668</v>
      </c>
      <c r="G1124" s="66">
        <f t="shared" ca="1" si="49"/>
        <v>14.360966666666668</v>
      </c>
      <c r="H1124" s="66">
        <f t="shared" ca="1" si="49"/>
        <v>26.623583333333332</v>
      </c>
      <c r="I1124" s="66">
        <f t="shared" ca="1" si="49"/>
        <v>26.629199999999994</v>
      </c>
      <c r="J1124" s="66">
        <f t="shared" ca="1" si="49"/>
        <v>14.355391666666668</v>
      </c>
      <c r="K1124" s="66">
        <f t="shared" ca="1" si="49"/>
        <v>14.360966666666668</v>
      </c>
    </row>
    <row r="1125" spans="1:11" ht="15">
      <c r="A1125" s="3">
        <v>2077</v>
      </c>
      <c r="B1125" s="66">
        <f t="shared" ca="1" si="49"/>
        <v>12.771983333333333</v>
      </c>
      <c r="C1125" s="66">
        <f t="shared" ca="1" si="49"/>
        <v>12.771983333333333</v>
      </c>
      <c r="D1125" s="66">
        <f t="shared" ca="1" si="49"/>
        <v>12.776533333333335</v>
      </c>
      <c r="E1125" s="66">
        <f t="shared" ca="1" si="49"/>
        <v>14.612399999999999</v>
      </c>
      <c r="F1125" s="66">
        <f t="shared" ca="1" si="49"/>
        <v>14.612399999999999</v>
      </c>
      <c r="G1125" s="66">
        <f t="shared" ca="1" si="49"/>
        <v>14.617983333333333</v>
      </c>
      <c r="H1125" s="66">
        <f t="shared" ca="1" si="49"/>
        <v>27.111708333333329</v>
      </c>
      <c r="I1125" s="66">
        <f t="shared" ca="1" si="49"/>
        <v>27.11730833333333</v>
      </c>
      <c r="J1125" s="66">
        <f t="shared" ca="1" si="49"/>
        <v>14.612399999999999</v>
      </c>
      <c r="K1125" s="66">
        <f t="shared" ca="1" si="49"/>
        <v>14.617983333333333</v>
      </c>
    </row>
    <row r="1126" spans="1:11" ht="15">
      <c r="A1126" s="3">
        <v>2078</v>
      </c>
      <c r="B1126" s="66">
        <f t="shared" ca="1" si="49"/>
        <v>13.009583333333333</v>
      </c>
      <c r="C1126" s="66">
        <f t="shared" ca="1" si="49"/>
        <v>13.009583333333333</v>
      </c>
      <c r="D1126" s="66">
        <f t="shared" ca="1" si="49"/>
        <v>13.014149999999999</v>
      </c>
      <c r="E1126" s="66">
        <f t="shared" ca="1" si="49"/>
        <v>14.869391666666665</v>
      </c>
      <c r="F1126" s="66">
        <f t="shared" ca="1" si="49"/>
        <v>14.869391666666665</v>
      </c>
      <c r="G1126" s="66">
        <f t="shared" ca="1" si="49"/>
        <v>14.875016666666669</v>
      </c>
      <c r="H1126" s="66">
        <f t="shared" ca="1" si="49"/>
        <v>27.599816666666666</v>
      </c>
      <c r="I1126" s="66">
        <f t="shared" ca="1" si="49"/>
        <v>27.60541666666667</v>
      </c>
      <c r="J1126" s="66">
        <f t="shared" ca="1" si="49"/>
        <v>14.869391666666665</v>
      </c>
      <c r="K1126" s="66">
        <f t="shared" ca="1" si="49"/>
        <v>14.875016666666669</v>
      </c>
    </row>
    <row r="1127" spans="1:11" ht="15">
      <c r="A1127" s="3">
        <v>2079</v>
      </c>
      <c r="B1127" s="66">
        <f t="shared" ca="1" si="49"/>
        <v>13.247225000000002</v>
      </c>
      <c r="C1127" s="66">
        <f t="shared" ca="1" si="49"/>
        <v>13.247225000000002</v>
      </c>
      <c r="D1127" s="66">
        <f t="shared" ca="1" si="49"/>
        <v>13.251758333333333</v>
      </c>
      <c r="E1127" s="66">
        <f t="shared" ca="1" si="49"/>
        <v>15.126424999999999</v>
      </c>
      <c r="F1127" s="66">
        <f t="shared" ca="1" si="49"/>
        <v>15.126424999999999</v>
      </c>
      <c r="G1127" s="66">
        <f t="shared" ca="1" si="49"/>
        <v>15.132</v>
      </c>
      <c r="H1127" s="66">
        <f t="shared" ca="1" si="49"/>
        <v>28.087958333333333</v>
      </c>
      <c r="I1127" s="66">
        <f t="shared" ca="1" si="49"/>
        <v>28.093524999999996</v>
      </c>
      <c r="J1127" s="66">
        <f t="shared" ca="1" si="49"/>
        <v>15.126424999999999</v>
      </c>
      <c r="K1127" s="66">
        <f t="shared" ca="1" si="49"/>
        <v>15.132</v>
      </c>
    </row>
    <row r="1128" spans="1:11" ht="15">
      <c r="A1128" s="3">
        <v>2080</v>
      </c>
      <c r="B1128" s="66">
        <f t="shared" ca="1" si="49"/>
        <v>13.484824999999995</v>
      </c>
      <c r="C1128" s="66">
        <f t="shared" ca="1" si="49"/>
        <v>13.484824999999995</v>
      </c>
      <c r="D1128" s="66">
        <f t="shared" ca="1" si="49"/>
        <v>13.489375000000001</v>
      </c>
      <c r="E1128" s="66">
        <f t="shared" ca="1" si="49"/>
        <v>15.383441666666668</v>
      </c>
      <c r="F1128" s="66">
        <f t="shared" ca="1" si="49"/>
        <v>15.383441666666668</v>
      </c>
      <c r="G1128" s="66">
        <f t="shared" ca="1" si="49"/>
        <v>15.389024999999998</v>
      </c>
      <c r="H1128" s="66">
        <f t="shared" ca="1" si="49"/>
        <v>28.576066666666662</v>
      </c>
      <c r="I1128" s="66">
        <f t="shared" ca="1" si="49"/>
        <v>28.58165</v>
      </c>
      <c r="J1128" s="66">
        <f t="shared" ca="1" si="49"/>
        <v>15.383441666666668</v>
      </c>
      <c r="K1128" s="66">
        <f t="shared" ca="1" si="49"/>
        <v>15.389024999999998</v>
      </c>
    </row>
    <row r="1129" spans="1:11" ht="15">
      <c r="A1129" s="3">
        <v>2081</v>
      </c>
      <c r="B1129" s="66">
        <f t="shared" ca="1" si="49"/>
        <v>13.72245</v>
      </c>
      <c r="C1129" s="66">
        <f t="shared" ca="1" si="49"/>
        <v>13.72245</v>
      </c>
      <c r="D1129" s="66">
        <f t="shared" ca="1" si="49"/>
        <v>13.726991666666668</v>
      </c>
      <c r="E1129" s="66">
        <f t="shared" ca="1" si="49"/>
        <v>15.640424999999999</v>
      </c>
      <c r="F1129" s="66">
        <f t="shared" ca="1" si="49"/>
        <v>15.640424999999999</v>
      </c>
      <c r="G1129" s="66">
        <f t="shared" ca="1" si="49"/>
        <v>15.646033333333333</v>
      </c>
      <c r="H1129" s="66">
        <f t="shared" ca="1" si="49"/>
        <v>29.064166666666669</v>
      </c>
      <c r="I1129" s="66">
        <f t="shared" ca="1" si="49"/>
        <v>29.069775000000003</v>
      </c>
      <c r="J1129" s="66">
        <f t="shared" ca="1" si="49"/>
        <v>15.640424999999999</v>
      </c>
      <c r="K1129" s="66">
        <f t="shared" ca="1" si="49"/>
        <v>15.646033333333333</v>
      </c>
    </row>
    <row r="1130" spans="1:11" ht="15">
      <c r="A1130" s="3">
        <v>2082</v>
      </c>
      <c r="B1130" s="66">
        <f t="shared" ref="B1130:K1139" ca="1" si="50">AVERAGE(OFFSET(B$593,($A1130-$A$1110)*12,0,12,1))</f>
        <v>13.960058333333334</v>
      </c>
      <c r="C1130" s="66">
        <f t="shared" ca="1" si="50"/>
        <v>13.960058333333334</v>
      </c>
      <c r="D1130" s="66">
        <f t="shared" ca="1" si="50"/>
        <v>13.964599999999999</v>
      </c>
      <c r="E1130" s="66">
        <f t="shared" ca="1" si="50"/>
        <v>15.897450000000001</v>
      </c>
      <c r="F1130" s="66">
        <f t="shared" ca="1" si="50"/>
        <v>15.897450000000001</v>
      </c>
      <c r="G1130" s="66">
        <f t="shared" ca="1" si="50"/>
        <v>15.903033333333331</v>
      </c>
      <c r="H1130" s="66">
        <f t="shared" ca="1" si="50"/>
        <v>29.552291666666672</v>
      </c>
      <c r="I1130" s="66">
        <f t="shared" ca="1" si="50"/>
        <v>29.557866666666669</v>
      </c>
      <c r="J1130" s="66">
        <f t="shared" ca="1" si="50"/>
        <v>15.897450000000001</v>
      </c>
      <c r="K1130" s="66">
        <f t="shared" ca="1" si="50"/>
        <v>15.903033333333331</v>
      </c>
    </row>
    <row r="1131" spans="1:11" ht="15">
      <c r="A1131" s="3">
        <v>2083</v>
      </c>
      <c r="B1131" s="66">
        <f t="shared" ca="1" si="50"/>
        <v>14.197650000000001</v>
      </c>
      <c r="C1131" s="66">
        <f t="shared" ca="1" si="50"/>
        <v>14.197650000000001</v>
      </c>
      <c r="D1131" s="66">
        <f t="shared" ca="1" si="50"/>
        <v>14.202216666666667</v>
      </c>
      <c r="E1131" s="66">
        <f t="shared" ca="1" si="50"/>
        <v>16.154466666666668</v>
      </c>
      <c r="F1131" s="66">
        <f t="shared" ca="1" si="50"/>
        <v>16.154466666666668</v>
      </c>
      <c r="G1131" s="66">
        <f t="shared" ca="1" si="50"/>
        <v>16.160049999999995</v>
      </c>
      <c r="H1131" s="66">
        <f t="shared" ca="1" si="50"/>
        <v>30.040383333333335</v>
      </c>
      <c r="I1131" s="66">
        <f t="shared" ca="1" si="50"/>
        <v>30.045983333333329</v>
      </c>
      <c r="J1131" s="66">
        <f t="shared" ca="1" si="50"/>
        <v>16.154466666666668</v>
      </c>
      <c r="K1131" s="66">
        <f t="shared" ca="1" si="50"/>
        <v>16.160049999999995</v>
      </c>
    </row>
    <row r="1132" spans="1:11" ht="15">
      <c r="A1132" s="3">
        <v>2084</v>
      </c>
      <c r="B1132" s="66">
        <f t="shared" ca="1" si="50"/>
        <v>14.435274999999997</v>
      </c>
      <c r="C1132" s="66">
        <f t="shared" ca="1" si="50"/>
        <v>14.435274999999997</v>
      </c>
      <c r="D1132" s="66">
        <f t="shared" ca="1" si="50"/>
        <v>14.439824999999999</v>
      </c>
      <c r="E1132" s="66">
        <f t="shared" ca="1" si="50"/>
        <v>16.411466666666669</v>
      </c>
      <c r="F1132" s="66">
        <f t="shared" ca="1" si="50"/>
        <v>16.411466666666669</v>
      </c>
      <c r="G1132" s="66">
        <f t="shared" ca="1" si="50"/>
        <v>16.41705</v>
      </c>
      <c r="H1132" s="66">
        <f t="shared" ca="1" si="50"/>
        <v>30.528533333333339</v>
      </c>
      <c r="I1132" s="66">
        <f t="shared" ca="1" si="50"/>
        <v>30.534091666666665</v>
      </c>
      <c r="J1132" s="66">
        <f t="shared" ca="1" si="50"/>
        <v>16.411466666666669</v>
      </c>
      <c r="K1132" s="66">
        <f t="shared" ca="1" si="50"/>
        <v>16.41705</v>
      </c>
    </row>
    <row r="1133" spans="1:11" ht="15">
      <c r="A1133" s="3">
        <v>2085</v>
      </c>
      <c r="B1133" s="66">
        <f t="shared" ca="1" si="50"/>
        <v>14.672899999999998</v>
      </c>
      <c r="C1133" s="66">
        <f t="shared" ca="1" si="50"/>
        <v>14.672899999999998</v>
      </c>
      <c r="D1133" s="66">
        <f t="shared" ca="1" si="50"/>
        <v>14.677441666666668</v>
      </c>
      <c r="E1133" s="66">
        <f t="shared" ca="1" si="50"/>
        <v>16.668466666666667</v>
      </c>
      <c r="F1133" s="66">
        <f t="shared" ca="1" si="50"/>
        <v>16.668466666666667</v>
      </c>
      <c r="G1133" s="66">
        <f t="shared" ca="1" si="50"/>
        <v>16.674083333333336</v>
      </c>
      <c r="H1133" s="66">
        <f t="shared" ca="1" si="50"/>
        <v>31.016633333333331</v>
      </c>
      <c r="I1133" s="66">
        <f t="shared" ca="1" si="50"/>
        <v>31.022216666666665</v>
      </c>
      <c r="J1133" s="66">
        <f t="shared" ca="1" si="50"/>
        <v>16.668466666666667</v>
      </c>
      <c r="K1133" s="66">
        <f t="shared" ca="1" si="50"/>
        <v>16.674083333333336</v>
      </c>
    </row>
    <row r="1134" spans="1:11" ht="15">
      <c r="A1134" s="3">
        <v>2086</v>
      </c>
      <c r="B1134" s="66">
        <f t="shared" ca="1" si="50"/>
        <v>14.910500000000004</v>
      </c>
      <c r="C1134" s="66">
        <f t="shared" ca="1" si="50"/>
        <v>14.910500000000004</v>
      </c>
      <c r="D1134" s="66">
        <f t="shared" ca="1" si="50"/>
        <v>14.915049999999999</v>
      </c>
      <c r="E1134" s="66">
        <f t="shared" ca="1" si="50"/>
        <v>16.925483333333336</v>
      </c>
      <c r="F1134" s="66">
        <f t="shared" ca="1" si="50"/>
        <v>16.925483333333336</v>
      </c>
      <c r="G1134" s="66">
        <f t="shared" ca="1" si="50"/>
        <v>16.931083333333337</v>
      </c>
      <c r="H1134" s="66">
        <f t="shared" ca="1" si="50"/>
        <v>31.504741666666671</v>
      </c>
      <c r="I1134" s="66">
        <f t="shared" ca="1" si="50"/>
        <v>31.510333333333332</v>
      </c>
      <c r="J1134" s="66">
        <f t="shared" ca="1" si="50"/>
        <v>16.925483333333336</v>
      </c>
      <c r="K1134" s="66">
        <f t="shared" ca="1" si="50"/>
        <v>16.931083333333337</v>
      </c>
    </row>
    <row r="1135" spans="1:11" ht="15">
      <c r="A1135" s="3">
        <v>2087</v>
      </c>
      <c r="B1135" s="66">
        <f t="shared" ca="1" si="50"/>
        <v>15.148116666666667</v>
      </c>
      <c r="C1135" s="66">
        <f t="shared" ca="1" si="50"/>
        <v>15.148116666666667</v>
      </c>
      <c r="D1135" s="66">
        <f t="shared" ca="1" si="50"/>
        <v>15.152666666666667</v>
      </c>
      <c r="E1135" s="66">
        <f t="shared" ca="1" si="50"/>
        <v>17.182508333333335</v>
      </c>
      <c r="F1135" s="66">
        <f t="shared" ca="1" si="50"/>
        <v>17.182508333333335</v>
      </c>
      <c r="G1135" s="66">
        <f t="shared" ca="1" si="50"/>
        <v>17.188091666666665</v>
      </c>
      <c r="H1135" s="66">
        <f t="shared" ca="1" si="50"/>
        <v>31.992850000000004</v>
      </c>
      <c r="I1135" s="66">
        <f t="shared" ca="1" si="50"/>
        <v>31.998458333333332</v>
      </c>
      <c r="J1135" s="66">
        <f t="shared" ca="1" si="50"/>
        <v>17.182508333333335</v>
      </c>
      <c r="K1135" s="66">
        <f t="shared" ca="1" si="50"/>
        <v>17.188091666666665</v>
      </c>
    </row>
    <row r="1136" spans="1:11" ht="15">
      <c r="A1136" s="3">
        <v>2088</v>
      </c>
      <c r="B1136" s="66">
        <f t="shared" ca="1" si="50"/>
        <v>15.385741666666663</v>
      </c>
      <c r="C1136" s="66">
        <f t="shared" ca="1" si="50"/>
        <v>15.385741666666663</v>
      </c>
      <c r="D1136" s="66">
        <f t="shared" ca="1" si="50"/>
        <v>15.390291666666664</v>
      </c>
      <c r="E1136" s="66">
        <f t="shared" ca="1" si="50"/>
        <v>17.439516666666666</v>
      </c>
      <c r="F1136" s="66">
        <f t="shared" ca="1" si="50"/>
        <v>17.439516666666666</v>
      </c>
      <c r="G1136" s="66">
        <f t="shared" ca="1" si="50"/>
        <v>17.445108333333334</v>
      </c>
      <c r="H1136" s="66">
        <f t="shared" ca="1" si="50"/>
        <v>32.480991666666675</v>
      </c>
      <c r="I1136" s="66">
        <f t="shared" ca="1" si="50"/>
        <v>32.486558333333335</v>
      </c>
      <c r="J1136" s="66">
        <f t="shared" ca="1" si="50"/>
        <v>17.439516666666666</v>
      </c>
      <c r="K1136" s="66">
        <f t="shared" ca="1" si="50"/>
        <v>17.445108333333334</v>
      </c>
    </row>
    <row r="1137" spans="1:11" ht="15">
      <c r="A1137" s="3">
        <v>2089</v>
      </c>
      <c r="B1137" s="66">
        <f t="shared" ca="1" si="50"/>
        <v>15.623341666666667</v>
      </c>
      <c r="C1137" s="66">
        <f t="shared" ca="1" si="50"/>
        <v>15.623341666666667</v>
      </c>
      <c r="D1137" s="66">
        <f t="shared" ca="1" si="50"/>
        <v>15.627875000000003</v>
      </c>
      <c r="E1137" s="66">
        <f t="shared" ca="1" si="50"/>
        <v>17.696524999999998</v>
      </c>
      <c r="F1137" s="66">
        <f t="shared" ca="1" si="50"/>
        <v>17.696524999999998</v>
      </c>
      <c r="G1137" s="66">
        <f t="shared" ca="1" si="50"/>
        <v>17.702108333333335</v>
      </c>
      <c r="H1137" s="66">
        <f t="shared" ca="1" si="50"/>
        <v>32.969091666666664</v>
      </c>
      <c r="I1137" s="66">
        <f t="shared" ca="1" si="50"/>
        <v>32.974674999999998</v>
      </c>
      <c r="J1137" s="66">
        <f t="shared" ca="1" si="50"/>
        <v>17.696524999999998</v>
      </c>
      <c r="K1137" s="66">
        <f t="shared" ca="1" si="50"/>
        <v>17.702108333333335</v>
      </c>
    </row>
    <row r="1138" spans="1:11" ht="15">
      <c r="A1138" s="3">
        <v>2090</v>
      </c>
      <c r="B1138" s="66">
        <f t="shared" ca="1" si="50"/>
        <v>15.860966666666668</v>
      </c>
      <c r="C1138" s="66">
        <f t="shared" ca="1" si="50"/>
        <v>15.860966666666668</v>
      </c>
      <c r="D1138" s="66">
        <f t="shared" ca="1" si="50"/>
        <v>15.865516666666664</v>
      </c>
      <c r="E1138" s="66">
        <f t="shared" ca="1" si="50"/>
        <v>17.953533333333333</v>
      </c>
      <c r="F1138" s="66">
        <f t="shared" ca="1" si="50"/>
        <v>17.953533333333333</v>
      </c>
      <c r="G1138" s="66">
        <f t="shared" ca="1" si="50"/>
        <v>17.959108333333333</v>
      </c>
      <c r="H1138" s="66">
        <f t="shared" ca="1" si="50"/>
        <v>33.4572</v>
      </c>
      <c r="I1138" s="66">
        <f t="shared" ca="1" si="50"/>
        <v>33.462791666666668</v>
      </c>
      <c r="J1138" s="66">
        <f t="shared" ca="1" si="50"/>
        <v>17.953533333333333</v>
      </c>
      <c r="K1138" s="66">
        <f t="shared" ca="1" si="50"/>
        <v>17.959108333333333</v>
      </c>
    </row>
    <row r="1139" spans="1:11" ht="15">
      <c r="A1139" s="3">
        <v>2091</v>
      </c>
      <c r="B1139" s="66">
        <f t="shared" ca="1" si="50"/>
        <v>16.098591666666668</v>
      </c>
      <c r="C1139" s="66">
        <f t="shared" ca="1" si="50"/>
        <v>16.098591666666668</v>
      </c>
      <c r="D1139" s="66">
        <f t="shared" ca="1" si="50"/>
        <v>16.103125000000002</v>
      </c>
      <c r="E1139" s="66">
        <f t="shared" ca="1" si="50"/>
        <v>18.210533333333338</v>
      </c>
      <c r="F1139" s="66">
        <f t="shared" ca="1" si="50"/>
        <v>18.210533333333338</v>
      </c>
      <c r="G1139" s="66">
        <f t="shared" ca="1" si="50"/>
        <v>18.216141666666665</v>
      </c>
      <c r="H1139" s="66">
        <f t="shared" ca="1" si="50"/>
        <v>33.94530833333333</v>
      </c>
      <c r="I1139" s="66">
        <f t="shared" ca="1" si="50"/>
        <v>33.950916666666664</v>
      </c>
      <c r="J1139" s="66">
        <f t="shared" ca="1" si="50"/>
        <v>18.210533333333338</v>
      </c>
      <c r="K1139" s="66">
        <f t="shared" ca="1" si="50"/>
        <v>18.216141666666665</v>
      </c>
    </row>
    <row r="1140" spans="1:11" ht="15">
      <c r="A1140" s="3">
        <v>2092</v>
      </c>
      <c r="B1140" s="66">
        <f t="shared" ref="B1140:K1148" ca="1" si="51">AVERAGE(OFFSET(B$593,($A1140-$A$1110)*12,0,12,1))</f>
        <v>16.336183333333331</v>
      </c>
      <c r="C1140" s="66">
        <f t="shared" ca="1" si="51"/>
        <v>16.336183333333331</v>
      </c>
      <c r="D1140" s="66">
        <f t="shared" ca="1" si="51"/>
        <v>16.340733333333336</v>
      </c>
      <c r="E1140" s="66">
        <f t="shared" ca="1" si="51"/>
        <v>18.467549999999999</v>
      </c>
      <c r="F1140" s="66">
        <f t="shared" ca="1" si="51"/>
        <v>18.467549999999999</v>
      </c>
      <c r="G1140" s="66">
        <f t="shared" ca="1" si="51"/>
        <v>18.473141666666667</v>
      </c>
      <c r="H1140" s="66">
        <f t="shared" ca="1" si="51"/>
        <v>34.433433333333333</v>
      </c>
      <c r="I1140" s="66">
        <f t="shared" ca="1" si="51"/>
        <v>34.439008333333341</v>
      </c>
      <c r="J1140" s="66">
        <f t="shared" ca="1" si="51"/>
        <v>18.467549999999999</v>
      </c>
      <c r="K1140" s="66">
        <f t="shared" ca="1" si="51"/>
        <v>18.473141666666667</v>
      </c>
    </row>
    <row r="1141" spans="1:11" ht="15">
      <c r="A1141" s="3">
        <v>2093</v>
      </c>
      <c r="B1141" s="66">
        <f t="shared" ca="1" si="51"/>
        <v>16.573799999999999</v>
      </c>
      <c r="C1141" s="66">
        <f t="shared" ca="1" si="51"/>
        <v>16.573799999999999</v>
      </c>
      <c r="D1141" s="66">
        <f t="shared" ca="1" si="51"/>
        <v>16.578358333333338</v>
      </c>
      <c r="E1141" s="66">
        <f t="shared" ca="1" si="51"/>
        <v>18.724558333333331</v>
      </c>
      <c r="F1141" s="66">
        <f t="shared" ca="1" si="51"/>
        <v>18.724558333333331</v>
      </c>
      <c r="G1141" s="66">
        <f t="shared" ca="1" si="51"/>
        <v>18.730158333333335</v>
      </c>
      <c r="H1141" s="66">
        <f t="shared" ca="1" si="51"/>
        <v>34.921533333333336</v>
      </c>
      <c r="I1141" s="66">
        <f t="shared" ca="1" si="51"/>
        <v>34.927133333333337</v>
      </c>
      <c r="J1141" s="66">
        <f t="shared" ca="1" si="51"/>
        <v>18.724558333333331</v>
      </c>
      <c r="K1141" s="66">
        <f t="shared" ca="1" si="51"/>
        <v>18.730158333333335</v>
      </c>
    </row>
    <row r="1142" spans="1:11" ht="15">
      <c r="A1142" s="3">
        <v>2094</v>
      </c>
      <c r="B1142" s="66">
        <f t="shared" ca="1" si="51"/>
        <v>16.81141666666667</v>
      </c>
      <c r="C1142" s="66">
        <f t="shared" ca="1" si="51"/>
        <v>16.81141666666667</v>
      </c>
      <c r="D1142" s="66">
        <f t="shared" ca="1" si="51"/>
        <v>16.815958333333331</v>
      </c>
      <c r="E1142" s="66">
        <f t="shared" ca="1" si="51"/>
        <v>18.981583333333333</v>
      </c>
      <c r="F1142" s="66">
        <f t="shared" ca="1" si="51"/>
        <v>18.981583333333333</v>
      </c>
      <c r="G1142" s="66">
        <f t="shared" ca="1" si="51"/>
        <v>18.98715</v>
      </c>
      <c r="H1142" s="66">
        <f t="shared" ca="1" si="51"/>
        <v>35.409675</v>
      </c>
      <c r="I1142" s="66">
        <f t="shared" ca="1" si="51"/>
        <v>35.415258333333334</v>
      </c>
      <c r="J1142" s="66">
        <f t="shared" ca="1" si="51"/>
        <v>18.981583333333333</v>
      </c>
      <c r="K1142" s="66">
        <f t="shared" ca="1" si="51"/>
        <v>18.98715</v>
      </c>
    </row>
    <row r="1143" spans="1:11" ht="15">
      <c r="A1143" s="3">
        <v>2095</v>
      </c>
      <c r="B1143" s="66">
        <f t="shared" ca="1" si="51"/>
        <v>17.049025</v>
      </c>
      <c r="C1143" s="66">
        <f t="shared" ca="1" si="51"/>
        <v>17.049025</v>
      </c>
      <c r="D1143" s="66">
        <f t="shared" ca="1" si="51"/>
        <v>17.053583333333332</v>
      </c>
      <c r="E1143" s="66">
        <f t="shared" ca="1" si="51"/>
        <v>19.238591666666668</v>
      </c>
      <c r="F1143" s="66">
        <f t="shared" ca="1" si="51"/>
        <v>19.238591666666668</v>
      </c>
      <c r="G1143" s="66">
        <f t="shared" ca="1" si="51"/>
        <v>19.244158333333331</v>
      </c>
      <c r="H1143" s="66">
        <f t="shared" ca="1" si="51"/>
        <v>35.897775000000003</v>
      </c>
      <c r="I1143" s="66">
        <f t="shared" ca="1" si="51"/>
        <v>35.903366666666663</v>
      </c>
      <c r="J1143" s="66">
        <f t="shared" ca="1" si="51"/>
        <v>19.238591666666668</v>
      </c>
      <c r="K1143" s="66">
        <f t="shared" ca="1" si="51"/>
        <v>19.244158333333331</v>
      </c>
    </row>
    <row r="1144" spans="1:11" ht="15">
      <c r="A1144" s="3">
        <v>2096</v>
      </c>
      <c r="B1144" s="66">
        <f t="shared" ca="1" si="51"/>
        <v>17.286658333333332</v>
      </c>
      <c r="C1144" s="66">
        <f t="shared" ca="1" si="51"/>
        <v>17.286658333333332</v>
      </c>
      <c r="D1144" s="66">
        <f t="shared" ca="1" si="51"/>
        <v>17.291191666666666</v>
      </c>
      <c r="E1144" s="66">
        <f t="shared" ca="1" si="51"/>
        <v>19.49559166666667</v>
      </c>
      <c r="F1144" s="66">
        <f t="shared" ca="1" si="51"/>
        <v>19.49559166666667</v>
      </c>
      <c r="G1144" s="66">
        <f t="shared" ca="1" si="51"/>
        <v>19.501183333333334</v>
      </c>
      <c r="H1144" s="66">
        <f t="shared" ca="1" si="51"/>
        <v>36.385874999999999</v>
      </c>
      <c r="I1144" s="66">
        <f t="shared" ca="1" si="51"/>
        <v>36.391491666666674</v>
      </c>
      <c r="J1144" s="66">
        <f t="shared" ca="1" si="51"/>
        <v>19.49559166666667</v>
      </c>
      <c r="K1144" s="66">
        <f t="shared" ca="1" si="51"/>
        <v>19.501183333333334</v>
      </c>
    </row>
    <row r="1145" spans="1:11" ht="15">
      <c r="A1145" s="3">
        <v>2097</v>
      </c>
      <c r="B1145" s="66">
        <f t="shared" ca="1" si="51"/>
        <v>17.524258333333332</v>
      </c>
      <c r="C1145" s="66">
        <f t="shared" ca="1" si="51"/>
        <v>17.524258333333332</v>
      </c>
      <c r="D1145" s="66">
        <f t="shared" ca="1" si="51"/>
        <v>17.528816666666668</v>
      </c>
      <c r="E1145" s="66">
        <f t="shared" ca="1" si="51"/>
        <v>19.752591666666664</v>
      </c>
      <c r="F1145" s="66">
        <f t="shared" ca="1" si="51"/>
        <v>19.752591666666664</v>
      </c>
      <c r="G1145" s="66">
        <f t="shared" ca="1" si="51"/>
        <v>19.758191666666669</v>
      </c>
      <c r="H1145" s="66">
        <f t="shared" ca="1" si="51"/>
        <v>36.873983333333335</v>
      </c>
      <c r="I1145" s="66">
        <f t="shared" ca="1" si="51"/>
        <v>36.879599999999996</v>
      </c>
      <c r="J1145" s="66">
        <f t="shared" ca="1" si="51"/>
        <v>19.752591666666664</v>
      </c>
      <c r="K1145" s="66">
        <f t="shared" ca="1" si="51"/>
        <v>19.758191666666669</v>
      </c>
    </row>
    <row r="1146" spans="1:11" ht="15">
      <c r="A1146" s="3">
        <v>2098</v>
      </c>
      <c r="B1146" s="66">
        <f t="shared" ca="1" si="51"/>
        <v>17.761866666666666</v>
      </c>
      <c r="C1146" s="66">
        <f t="shared" ca="1" si="51"/>
        <v>17.761866666666666</v>
      </c>
      <c r="D1146" s="66">
        <f t="shared" ca="1" si="51"/>
        <v>17.766424999999998</v>
      </c>
      <c r="E1146" s="66">
        <f t="shared" ca="1" si="51"/>
        <v>20.009608333333329</v>
      </c>
      <c r="F1146" s="66">
        <f t="shared" ca="1" si="51"/>
        <v>20.009608333333329</v>
      </c>
      <c r="G1146" s="66">
        <f t="shared" ca="1" si="51"/>
        <v>20.015199999999997</v>
      </c>
      <c r="H1146" s="66">
        <f t="shared" ca="1" si="51"/>
        <v>37.362124999999999</v>
      </c>
      <c r="I1146" s="66">
        <f t="shared" ca="1" si="51"/>
        <v>37.367708333333333</v>
      </c>
      <c r="J1146" s="66">
        <f t="shared" ca="1" si="51"/>
        <v>20.009608333333329</v>
      </c>
      <c r="K1146" s="66">
        <f t="shared" ca="1" si="51"/>
        <v>20.015199999999997</v>
      </c>
    </row>
    <row r="1147" spans="1:11" ht="15">
      <c r="A1147" s="3">
        <v>2099</v>
      </c>
      <c r="B1147" s="66">
        <f t="shared" ca="1" si="51"/>
        <v>17.999491666666668</v>
      </c>
      <c r="C1147" s="66">
        <f t="shared" ca="1" si="51"/>
        <v>17.999491666666668</v>
      </c>
      <c r="D1147" s="66">
        <f t="shared" ca="1" si="51"/>
        <v>18.004033333333332</v>
      </c>
      <c r="E1147" s="66">
        <f t="shared" ca="1" si="51"/>
        <v>20.266633333333331</v>
      </c>
      <c r="F1147" s="66">
        <f t="shared" ca="1" si="51"/>
        <v>20.266633333333331</v>
      </c>
      <c r="G1147" s="66">
        <f t="shared" ca="1" si="51"/>
        <v>20.272199999999998</v>
      </c>
      <c r="H1147" s="66">
        <f t="shared" ca="1" si="51"/>
        <v>37.850241666666655</v>
      </c>
      <c r="I1147" s="66">
        <f t="shared" ca="1" si="51"/>
        <v>37.855816666666662</v>
      </c>
      <c r="J1147" s="66">
        <f t="shared" ca="1" si="51"/>
        <v>20.266633333333331</v>
      </c>
      <c r="K1147" s="66">
        <f t="shared" ca="1" si="51"/>
        <v>20.272199999999998</v>
      </c>
    </row>
    <row r="1148" spans="1:11" ht="15">
      <c r="A1148" s="3">
        <v>2100</v>
      </c>
      <c r="B1148" s="66">
        <f t="shared" ca="1" si="51"/>
        <v>18.237108333333328</v>
      </c>
      <c r="C1148" s="66">
        <f t="shared" ca="1" si="51"/>
        <v>18.237108333333328</v>
      </c>
      <c r="D1148" s="66">
        <f t="shared" ca="1" si="51"/>
        <v>18.241650000000003</v>
      </c>
      <c r="E1148" s="66">
        <f t="shared" ca="1" si="51"/>
        <v>20.523624999999999</v>
      </c>
      <c r="F1148" s="66">
        <f t="shared" ca="1" si="51"/>
        <v>20.523624999999999</v>
      </c>
      <c r="G1148" s="66">
        <f t="shared" ca="1" si="51"/>
        <v>20.529216666666667</v>
      </c>
      <c r="H1148" s="66">
        <f t="shared" ca="1" si="51"/>
        <v>38.338341666666672</v>
      </c>
      <c r="I1148" s="66">
        <f t="shared" ca="1" si="51"/>
        <v>38.343950000000007</v>
      </c>
      <c r="J1148" s="66">
        <f t="shared" ca="1" si="51"/>
        <v>20.523624999999999</v>
      </c>
      <c r="K1148" s="66">
        <f t="shared" ca="1" si="51"/>
        <v>20.529216666666667</v>
      </c>
    </row>
  </sheetData>
  <mergeCells count="7">
    <mergeCell ref="B14:D14"/>
    <mergeCell ref="L14:M14"/>
    <mergeCell ref="N14:O14"/>
    <mergeCell ref="L13:O13"/>
    <mergeCell ref="E14:G14"/>
    <mergeCell ref="J14:K14"/>
    <mergeCell ref="H14:I14"/>
  </mergeCells>
  <pageMargins left="0.25" right="0.25" top="0.5" bottom="0.5" header="0.25" footer="0.25"/>
  <pageSetup paperSize="5" scale="70" orientation="landscape" r:id="rId1"/>
  <headerFooter alignWithMargins="0">
    <oddFooter>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locked="0" defaultSize="0" autoLine="0" autoPict="0">
                <anchor moveWithCells="1">
                  <from>
                    <xdr:col>5</xdr:col>
                    <xdr:colOff>371475</xdr:colOff>
                    <xdr:row>11</xdr:row>
                    <xdr:rowOff>38100</xdr:rowOff>
                  </from>
                  <to>
                    <xdr:col>6</xdr:col>
                    <xdr:colOff>381000</xdr:colOff>
                    <xdr:row>12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E41"/>
  <sheetViews>
    <sheetView showGridLines="0" zoomScale="70" zoomScaleNormal="70" workbookViewId="0">
      <selection activeCell="A6" sqref="A6"/>
    </sheetView>
  </sheetViews>
  <sheetFormatPr defaultColWidth="8.88671875" defaultRowHeight="15.75"/>
  <cols>
    <col min="1" max="1" width="8.88671875" style="79"/>
    <col min="2" max="2" width="15.5546875" style="79" bestFit="1" customWidth="1"/>
    <col min="3" max="3" width="9.5546875" style="79" bestFit="1" customWidth="1"/>
    <col min="4" max="16384" width="8.88671875" style="79"/>
  </cols>
  <sheetData>
    <row r="1" spans="1:3">
      <c r="A1" s="87" t="s">
        <v>64</v>
      </c>
    </row>
    <row r="2" spans="1:3">
      <c r="A2" s="87" t="s">
        <v>65</v>
      </c>
    </row>
    <row r="3" spans="1:3">
      <c r="A3" s="87" t="s">
        <v>66</v>
      </c>
    </row>
    <row r="4" spans="1:3">
      <c r="A4" s="87" t="s">
        <v>67</v>
      </c>
    </row>
    <row r="5" spans="1:3">
      <c r="A5" s="87" t="s">
        <v>69</v>
      </c>
    </row>
    <row r="6" spans="1:3">
      <c r="A6" s="87" t="s">
        <v>73</v>
      </c>
    </row>
    <row r="12" spans="1:3">
      <c r="B12" s="84" t="s">
        <v>63</v>
      </c>
      <c r="C12" s="84" t="s">
        <v>54</v>
      </c>
    </row>
    <row r="13" spans="1:3">
      <c r="B13" s="86" t="s">
        <v>61</v>
      </c>
      <c r="C13" s="96">
        <v>2</v>
      </c>
    </row>
    <row r="14" spans="1:3">
      <c r="B14" s="86" t="s">
        <v>60</v>
      </c>
      <c r="C14" s="98"/>
    </row>
    <row r="15" spans="1:3">
      <c r="B15" s="85" t="s">
        <v>59</v>
      </c>
      <c r="C15" s="97"/>
    </row>
    <row r="18" spans="2:3">
      <c r="B18" s="84" t="s">
        <v>55</v>
      </c>
      <c r="C18" s="84" t="s">
        <v>54</v>
      </c>
    </row>
    <row r="19" spans="2:3">
      <c r="B19" s="86" t="s">
        <v>61</v>
      </c>
      <c r="C19" s="96">
        <v>2</v>
      </c>
    </row>
    <row r="20" spans="2:3">
      <c r="B20" s="86" t="s">
        <v>60</v>
      </c>
      <c r="C20" s="98"/>
    </row>
    <row r="21" spans="2:3">
      <c r="B21" s="85" t="s">
        <v>59</v>
      </c>
      <c r="C21" s="97"/>
    </row>
    <row r="25" spans="2:3">
      <c r="B25" s="84" t="s">
        <v>62</v>
      </c>
      <c r="C25" s="84" t="s">
        <v>54</v>
      </c>
    </row>
    <row r="26" spans="2:3">
      <c r="B26" s="86" t="s">
        <v>61</v>
      </c>
      <c r="C26" s="96">
        <v>2</v>
      </c>
    </row>
    <row r="27" spans="2:3">
      <c r="B27" s="86" t="s">
        <v>60</v>
      </c>
      <c r="C27" s="98"/>
    </row>
    <row r="28" spans="2:3">
      <c r="B28" s="85" t="s">
        <v>59</v>
      </c>
      <c r="C28" s="97"/>
    </row>
    <row r="31" spans="2:3">
      <c r="B31" s="84" t="s">
        <v>58</v>
      </c>
      <c r="C31" s="84" t="s">
        <v>54</v>
      </c>
    </row>
    <row r="32" spans="2:3">
      <c r="B32" s="83" t="s">
        <v>57</v>
      </c>
      <c r="C32" s="96">
        <v>1</v>
      </c>
    </row>
    <row r="33" spans="2:5">
      <c r="B33" s="82" t="s">
        <v>56</v>
      </c>
      <c r="C33" s="97"/>
    </row>
    <row r="35" spans="2:5">
      <c r="B35" s="84" t="s">
        <v>55</v>
      </c>
      <c r="C35" s="84" t="s">
        <v>54</v>
      </c>
    </row>
    <row r="36" spans="2:5">
      <c r="B36" s="83" t="s">
        <v>53</v>
      </c>
      <c r="C36" s="96">
        <v>1</v>
      </c>
    </row>
    <row r="37" spans="2:5">
      <c r="B37" s="82" t="s">
        <v>52</v>
      </c>
      <c r="C37" s="97"/>
    </row>
    <row r="41" spans="2:5">
      <c r="C41" s="81"/>
      <c r="E41" s="80"/>
    </row>
  </sheetData>
  <mergeCells count="5">
    <mergeCell ref="C36:C37"/>
    <mergeCell ref="C26:C28"/>
    <mergeCell ref="C32:C33"/>
    <mergeCell ref="C13:C15"/>
    <mergeCell ref="C19:C21"/>
  </mergeCells>
  <pageMargins left="0.25" right="0.25" top="0.5" bottom="0.5" header="0.25" footer="0.25"/>
  <pageSetup orientation="portrait" r:id="rId1"/>
  <headerFooter alignWithMargins="0">
    <oddFooter>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RAP-NATURAL GAS PRICES</vt:lpstr>
      <vt:lpstr>RAP TEMPLATE-GAS AVAILABILITY</vt:lpstr>
      <vt:lpstr>RAP-HEAVY &amp; LIGHT OIL &amp; WTI</vt:lpstr>
      <vt:lpstr>RAP-SOLID FUEL PRICES</vt:lpstr>
      <vt:lpstr>CONTROL</vt:lpstr>
      <vt:lpstr>'RAP TEMPLATE-GAS AVAILABILITY'!Print_Area</vt:lpstr>
      <vt:lpstr>'RAP-HEAVY &amp; LIGHT OIL &amp; WTI'!Print_Area</vt:lpstr>
      <vt:lpstr>'RAP-NATURAL GAS PRICES'!Print_Area</vt:lpstr>
      <vt:lpstr>'RAP-SOLID FUEL PRICES'!Print_Area</vt:lpstr>
      <vt:lpstr>'RAP TEMPLATE-GAS AVAILABILITY'!Print_Titles</vt:lpstr>
      <vt:lpstr>'RAP-HEAVY &amp; LIGHT OIL &amp; WTI'!Print_Titles</vt:lpstr>
      <vt:lpstr>'RAP-NATURAL GAS PRICES'!Print_Titles</vt:lpstr>
      <vt:lpstr>'RAP-SOLID FUEL PRICES'!Print_Titles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2016-07-29T14:06:47Z</dcterms:created>
  <dcterms:modified xsi:type="dcterms:W3CDTF">2016-07-29T14:06:54Z</dcterms:modified>
</cp:coreProperties>
</file>